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userName="Jan Havlíček" reservationPassword="B4F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D7639F-62A0-475A-9625-392E05E57674}" xr6:coauthVersionLast="47" xr6:coauthVersionMax="47" xr10:uidLastSave="{00000000-0000-0000-0000-000000000000}"/>
  <bookViews>
    <workbookView xWindow="-120" yWindow="-120" windowWidth="38640" windowHeight="15720" tabRatio="627" firstSheet="2" activeTab="9"/>
  </bookViews>
  <sheets>
    <sheet name="Other" sheetId="21" r:id="rId1"/>
    <sheet name="IT &amp; Pooling" sheetId="10" r:id="rId2"/>
    <sheet name="CES IT" sheetId="18" r:id="rId3"/>
    <sheet name="East Capacity" sheetId="17" r:id="rId4"/>
    <sheet name="May Matrix" sheetId="12" r:id="rId5"/>
    <sheet name="Rates" sheetId="20" r:id="rId6"/>
    <sheet name="Notes" sheetId="5" r:id="rId7"/>
    <sheet name="Offseason Rate" sheetId="16" r:id="rId8"/>
    <sheet name="Special Rates" sheetId="11" r:id="rId9"/>
    <sheet name="Basis" sheetId="1" r:id="rId10"/>
  </sheets>
  <definedNames>
    <definedName name="_xlnm.Print_Area" localSheetId="9">Basis!$A$33:$I$42</definedName>
    <definedName name="_xlnm.Print_Area" localSheetId="3">'East Capacity'!$12:$29</definedName>
    <definedName name="_xlnm.Print_Area" localSheetId="4">'May Matrix'!$A$3:$L$74</definedName>
    <definedName name="_xlnm.Print_Area" localSheetId="5">Rates!$S$1:$X$72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C17" i="1"/>
  <c r="D17" i="1"/>
  <c r="F17" i="1"/>
  <c r="I17" i="1"/>
  <c r="I19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F28" i="1"/>
  <c r="H28" i="1"/>
  <c r="I28" i="1"/>
  <c r="D29" i="1"/>
  <c r="E29" i="1"/>
  <c r="F29" i="1"/>
  <c r="H29" i="1"/>
  <c r="I29" i="1"/>
  <c r="N29" i="1"/>
  <c r="C30" i="1"/>
  <c r="D30" i="1"/>
  <c r="F30" i="1"/>
  <c r="I30" i="1"/>
  <c r="N30" i="1"/>
  <c r="N31" i="1"/>
  <c r="I32" i="1"/>
  <c r="N32" i="1"/>
  <c r="L33" i="1"/>
  <c r="N33" i="1"/>
  <c r="L35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C39" i="1"/>
  <c r="D39" i="1"/>
  <c r="F39" i="1"/>
  <c r="H39" i="1"/>
  <c r="I39" i="1"/>
  <c r="I41" i="1"/>
  <c r="C45" i="1"/>
  <c r="D45" i="1"/>
  <c r="E45" i="1"/>
  <c r="I45" i="1"/>
  <c r="C46" i="1"/>
  <c r="D46" i="1"/>
  <c r="E46" i="1"/>
  <c r="I46" i="1"/>
  <c r="C50" i="1"/>
  <c r="I50" i="1"/>
  <c r="C51" i="1"/>
  <c r="I51" i="1"/>
  <c r="C55" i="1"/>
  <c r="I55" i="1"/>
  <c r="C56" i="1"/>
  <c r="I56" i="1"/>
  <c r="C57" i="1"/>
  <c r="I57" i="1"/>
  <c r="C62" i="1"/>
  <c r="I62" i="1"/>
  <c r="C63" i="1"/>
  <c r="I63" i="1"/>
  <c r="C64" i="1"/>
  <c r="I64" i="1"/>
  <c r="C65" i="1"/>
  <c r="I65" i="1"/>
  <c r="D74" i="1"/>
  <c r="E74" i="1"/>
  <c r="F74" i="1"/>
  <c r="I74" i="1"/>
  <c r="E75" i="1"/>
  <c r="I75" i="1"/>
  <c r="I76" i="1"/>
  <c r="I79" i="1"/>
  <c r="C88" i="1"/>
  <c r="C89" i="1"/>
  <c r="D102" i="1"/>
  <c r="E102" i="1"/>
  <c r="G102" i="1"/>
  <c r="H102" i="1"/>
  <c r="K102" i="1"/>
  <c r="L102" i="1"/>
  <c r="M102" i="1"/>
  <c r="N102" i="1"/>
  <c r="O102" i="1"/>
  <c r="D103" i="1"/>
  <c r="E103" i="1"/>
  <c r="G103" i="1"/>
  <c r="H103" i="1"/>
  <c r="K103" i="1"/>
  <c r="L103" i="1"/>
  <c r="M103" i="1"/>
  <c r="N103" i="1"/>
  <c r="O103" i="1"/>
  <c r="D104" i="1"/>
  <c r="O104" i="1"/>
  <c r="C105" i="1"/>
  <c r="D105" i="1"/>
  <c r="C106" i="1"/>
  <c r="C107" i="1"/>
  <c r="C108" i="1"/>
  <c r="D108" i="1"/>
  <c r="D110" i="1"/>
  <c r="E110" i="1"/>
  <c r="G110" i="1"/>
  <c r="H110" i="1"/>
  <c r="K110" i="1"/>
  <c r="L110" i="1"/>
  <c r="M110" i="1"/>
  <c r="N110" i="1"/>
  <c r="O110" i="1"/>
  <c r="D111" i="1"/>
  <c r="E111" i="1"/>
  <c r="G111" i="1"/>
  <c r="H111" i="1"/>
  <c r="K111" i="1"/>
  <c r="L111" i="1"/>
  <c r="M111" i="1"/>
  <c r="N111" i="1"/>
  <c r="O111" i="1"/>
  <c r="D112" i="1"/>
  <c r="O112" i="1"/>
  <c r="C113" i="1"/>
  <c r="D113" i="1"/>
  <c r="M113" i="1"/>
  <c r="O114" i="1"/>
  <c r="O115" i="1"/>
  <c r="M116" i="1"/>
  <c r="D132" i="1"/>
  <c r="E132" i="1"/>
  <c r="G132" i="1"/>
  <c r="H132" i="1"/>
  <c r="L132" i="1"/>
  <c r="M132" i="1"/>
  <c r="N132" i="1"/>
  <c r="O132" i="1"/>
  <c r="D133" i="1"/>
  <c r="E133" i="1"/>
  <c r="G133" i="1"/>
  <c r="H133" i="1"/>
  <c r="L133" i="1"/>
  <c r="M133" i="1"/>
  <c r="N133" i="1"/>
  <c r="O133" i="1"/>
  <c r="D134" i="1"/>
  <c r="O134" i="1"/>
  <c r="C135" i="1"/>
  <c r="D135" i="1"/>
  <c r="C136" i="1"/>
  <c r="C137" i="1"/>
  <c r="C138" i="1"/>
  <c r="D138" i="1"/>
  <c r="D140" i="1"/>
  <c r="E140" i="1"/>
  <c r="G140" i="1"/>
  <c r="H140" i="1"/>
  <c r="L140" i="1"/>
  <c r="M140" i="1"/>
  <c r="N140" i="1"/>
  <c r="O140" i="1"/>
  <c r="D141" i="1"/>
  <c r="E141" i="1"/>
  <c r="G141" i="1"/>
  <c r="H141" i="1"/>
  <c r="L141" i="1"/>
  <c r="M141" i="1"/>
  <c r="N141" i="1"/>
  <c r="O141" i="1"/>
  <c r="D142" i="1"/>
  <c r="O142" i="1"/>
  <c r="C143" i="1"/>
  <c r="D143" i="1"/>
  <c r="M143" i="1"/>
  <c r="O144" i="1"/>
  <c r="O145" i="1"/>
  <c r="M146" i="1"/>
  <c r="D152" i="1"/>
  <c r="E152" i="1"/>
  <c r="G152" i="1"/>
  <c r="H152" i="1"/>
  <c r="L152" i="1"/>
  <c r="M152" i="1"/>
  <c r="N152" i="1"/>
  <c r="O152" i="1"/>
  <c r="D153" i="1"/>
  <c r="E153" i="1"/>
  <c r="G153" i="1"/>
  <c r="H153" i="1"/>
  <c r="L153" i="1"/>
  <c r="M153" i="1"/>
  <c r="N153" i="1"/>
  <c r="O153" i="1"/>
  <c r="D154" i="1"/>
  <c r="O154" i="1"/>
  <c r="C155" i="1"/>
  <c r="D155" i="1"/>
  <c r="C156" i="1"/>
  <c r="C157" i="1"/>
  <c r="C158" i="1"/>
  <c r="D158" i="1"/>
  <c r="D160" i="1"/>
  <c r="E160" i="1"/>
  <c r="G160" i="1"/>
  <c r="H160" i="1"/>
  <c r="L160" i="1"/>
  <c r="M160" i="1"/>
  <c r="N160" i="1"/>
  <c r="O160" i="1"/>
  <c r="D161" i="1"/>
  <c r="E161" i="1"/>
  <c r="G161" i="1"/>
  <c r="H161" i="1"/>
  <c r="L161" i="1"/>
  <c r="M161" i="1"/>
  <c r="N161" i="1"/>
  <c r="O161" i="1"/>
  <c r="D162" i="1"/>
  <c r="O162" i="1"/>
  <c r="C163" i="1"/>
  <c r="D163" i="1"/>
  <c r="M163" i="1"/>
  <c r="O164" i="1"/>
  <c r="O165" i="1"/>
  <c r="M166" i="1"/>
  <c r="I12" i="18"/>
  <c r="O12" i="18"/>
  <c r="S12" i="18"/>
  <c r="Q13" i="18"/>
  <c r="S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Q25" i="18"/>
  <c r="S25" i="18"/>
  <c r="T25" i="18"/>
  <c r="I13" i="17"/>
  <c r="O13" i="17"/>
  <c r="S13" i="17"/>
  <c r="I14" i="17"/>
  <c r="O14" i="17"/>
  <c r="S14" i="17"/>
  <c r="I15" i="17"/>
  <c r="O15" i="17"/>
  <c r="S15" i="17"/>
  <c r="I16" i="17"/>
  <c r="O16" i="17"/>
  <c r="S16" i="17"/>
  <c r="I17" i="17"/>
  <c r="O17" i="17"/>
  <c r="S17" i="17"/>
  <c r="O18" i="17"/>
  <c r="S18" i="17"/>
  <c r="O19" i="17"/>
  <c r="S19" i="17"/>
  <c r="I22" i="17"/>
  <c r="O22" i="17"/>
  <c r="S22" i="17"/>
  <c r="I23" i="17"/>
  <c r="O23" i="17"/>
  <c r="S23" i="17"/>
  <c r="I24" i="17"/>
  <c r="O24" i="17"/>
  <c r="S24" i="17"/>
  <c r="I25" i="17"/>
  <c r="S25" i="17"/>
  <c r="Q27" i="17"/>
  <c r="S27" i="17"/>
  <c r="S29" i="17"/>
  <c r="I32" i="17"/>
  <c r="S32" i="17"/>
  <c r="I33" i="17"/>
  <c r="O33" i="17"/>
  <c r="S33" i="17"/>
  <c r="I34" i="17"/>
  <c r="O34" i="17"/>
  <c r="S34" i="17"/>
  <c r="I35" i="17"/>
  <c r="O35" i="17"/>
  <c r="S35" i="17"/>
  <c r="I36" i="17"/>
  <c r="O36" i="17"/>
  <c r="S36" i="17"/>
  <c r="I37" i="17"/>
  <c r="O37" i="17"/>
  <c r="S37" i="17"/>
  <c r="O38" i="17"/>
  <c r="S38" i="17"/>
  <c r="Q40" i="17"/>
  <c r="S40" i="17"/>
  <c r="S43" i="17"/>
  <c r="O47" i="17"/>
  <c r="S47" i="17"/>
  <c r="O48" i="17"/>
  <c r="S48" i="17"/>
  <c r="O49" i="17"/>
  <c r="S49" i="17"/>
  <c r="O50" i="17"/>
  <c r="S50" i="17"/>
  <c r="O51" i="17"/>
  <c r="S51" i="17"/>
  <c r="O52" i="17"/>
  <c r="S52" i="17"/>
  <c r="O53" i="17"/>
  <c r="S53" i="17"/>
  <c r="O54" i="17"/>
  <c r="S54" i="17"/>
  <c r="O55" i="17"/>
  <c r="S55" i="17"/>
  <c r="O56" i="17"/>
  <c r="S56" i="17"/>
  <c r="O57" i="17"/>
  <c r="S57" i="17"/>
  <c r="Q59" i="17"/>
  <c r="S59" i="17"/>
  <c r="S60" i="17"/>
  <c r="S61" i="17"/>
  <c r="I64" i="17"/>
  <c r="O64" i="17"/>
  <c r="S64" i="17"/>
  <c r="I65" i="17"/>
  <c r="O65" i="17"/>
  <c r="S65" i="17"/>
  <c r="Q67" i="17"/>
  <c r="S67" i="17"/>
  <c r="S68" i="17"/>
  <c r="S69" i="17"/>
  <c r="I72" i="17"/>
  <c r="O72" i="17"/>
  <c r="S72" i="17"/>
  <c r="I73" i="17"/>
  <c r="O73" i="17"/>
  <c r="S73" i="17"/>
  <c r="Q75" i="17"/>
  <c r="S75" i="17"/>
  <c r="S76" i="17"/>
  <c r="S77" i="17"/>
  <c r="I82" i="17"/>
  <c r="O82" i="17"/>
  <c r="S82" i="17"/>
  <c r="I83" i="17"/>
  <c r="O83" i="17"/>
  <c r="S83" i="17"/>
  <c r="T84" i="17"/>
  <c r="Q85" i="17"/>
  <c r="S85" i="17"/>
  <c r="S86" i="17"/>
  <c r="S87" i="17"/>
  <c r="O90" i="17"/>
  <c r="S90" i="17"/>
  <c r="S91" i="17"/>
  <c r="Q93" i="17"/>
  <c r="S93" i="17"/>
  <c r="S95" i="17"/>
  <c r="I98" i="17"/>
  <c r="S98" i="17"/>
  <c r="I99" i="17"/>
  <c r="S99" i="17"/>
  <c r="Q101" i="17"/>
  <c r="S101" i="17"/>
  <c r="S103" i="17"/>
  <c r="I106" i="17"/>
  <c r="S106" i="17"/>
  <c r="I107" i="17"/>
  <c r="S107" i="17"/>
  <c r="S108" i="17"/>
  <c r="I109" i="17"/>
  <c r="S109" i="17"/>
  <c r="S110" i="17"/>
  <c r="I111" i="17"/>
  <c r="S111" i="17"/>
  <c r="I112" i="17"/>
  <c r="S112" i="17"/>
  <c r="S113" i="17"/>
  <c r="S114" i="17"/>
  <c r="S115" i="17"/>
  <c r="S116" i="17"/>
  <c r="S117" i="17"/>
  <c r="Q122" i="17"/>
  <c r="S122" i="17"/>
  <c r="S123" i="17"/>
  <c r="S124" i="17"/>
  <c r="I127" i="17"/>
  <c r="O127" i="17"/>
  <c r="S127" i="17"/>
  <c r="I128" i="17"/>
  <c r="O128" i="17"/>
  <c r="S128" i="17"/>
  <c r="O129" i="17"/>
  <c r="T130" i="17"/>
  <c r="C131" i="17"/>
  <c r="Q131" i="17"/>
  <c r="S131" i="17"/>
  <c r="S132" i="17"/>
  <c r="S133" i="17"/>
  <c r="I136" i="17"/>
  <c r="S136" i="17"/>
  <c r="S137" i="17"/>
  <c r="I138" i="17"/>
  <c r="S138" i="17"/>
  <c r="S139" i="17"/>
  <c r="Q140" i="17"/>
  <c r="S140" i="17"/>
  <c r="S142" i="17"/>
  <c r="S145" i="17"/>
  <c r="S146" i="17"/>
  <c r="Q148" i="17"/>
  <c r="S148" i="17"/>
  <c r="S150" i="17"/>
  <c r="I153" i="17"/>
  <c r="S153" i="17"/>
  <c r="I154" i="17"/>
  <c r="I155" i="17"/>
  <c r="S155" i="17"/>
  <c r="I156" i="17"/>
  <c r="S156" i="17"/>
  <c r="I157" i="17"/>
  <c r="S157" i="17"/>
  <c r="Q159" i="17"/>
  <c r="S159" i="17"/>
  <c r="S160" i="17"/>
  <c r="S161" i="17"/>
  <c r="O58" i="10"/>
  <c r="T58" i="10"/>
  <c r="K3" i="12"/>
  <c r="K4" i="12"/>
  <c r="B5" i="12"/>
  <c r="C5" i="12"/>
  <c r="D5" i="12"/>
  <c r="E5" i="12"/>
  <c r="G5" i="12"/>
  <c r="H5" i="12"/>
  <c r="D6" i="12"/>
  <c r="E6" i="12"/>
  <c r="G6" i="12"/>
  <c r="H6" i="12"/>
  <c r="K6" i="12"/>
  <c r="D7" i="12"/>
  <c r="E7" i="12"/>
  <c r="G7" i="12"/>
  <c r="H7" i="12"/>
  <c r="K7" i="12"/>
  <c r="E8" i="12"/>
  <c r="H8" i="12"/>
  <c r="F9" i="12"/>
  <c r="G10" i="12"/>
  <c r="H11" i="12"/>
  <c r="K12" i="12"/>
  <c r="K13" i="12"/>
  <c r="B14" i="12"/>
  <c r="C14" i="12"/>
  <c r="D14" i="12"/>
  <c r="E14" i="12"/>
  <c r="K14" i="12"/>
  <c r="N14" i="12"/>
  <c r="C17" i="12"/>
  <c r="D17" i="12"/>
  <c r="E17" i="12"/>
  <c r="D18" i="12"/>
  <c r="E18" i="12"/>
  <c r="E19" i="12"/>
  <c r="H20" i="12"/>
  <c r="N22" i="12"/>
  <c r="N24" i="12"/>
  <c r="N25" i="12"/>
  <c r="B27" i="12"/>
  <c r="C27" i="12"/>
  <c r="D27" i="12"/>
  <c r="E27" i="12"/>
  <c r="F27" i="12"/>
  <c r="G27" i="12"/>
  <c r="H27" i="12"/>
  <c r="I27" i="12"/>
  <c r="J27" i="12"/>
  <c r="K27" i="12"/>
  <c r="N27" i="12"/>
  <c r="C28" i="12"/>
  <c r="F28" i="12"/>
  <c r="N28" i="12"/>
  <c r="B29" i="12"/>
  <c r="D29" i="12"/>
  <c r="E29" i="12"/>
  <c r="G29" i="12"/>
  <c r="H29" i="12"/>
  <c r="I29" i="12"/>
  <c r="J29" i="12"/>
  <c r="K29" i="12"/>
  <c r="J30" i="12"/>
  <c r="K31" i="12"/>
  <c r="I32" i="12"/>
  <c r="J32" i="12"/>
  <c r="K32" i="12"/>
  <c r="K33" i="12"/>
  <c r="B35" i="12"/>
  <c r="B36" i="12"/>
  <c r="I36" i="12"/>
  <c r="J36" i="12"/>
  <c r="K36" i="12"/>
  <c r="I37" i="12"/>
  <c r="J37" i="12"/>
  <c r="K37" i="12"/>
  <c r="B41" i="12"/>
  <c r="C41" i="12"/>
  <c r="D41" i="12"/>
  <c r="E41" i="12"/>
  <c r="F41" i="12"/>
  <c r="G41" i="12"/>
  <c r="J41" i="12"/>
  <c r="K41" i="12"/>
  <c r="C42" i="12"/>
  <c r="D42" i="12"/>
  <c r="E42" i="12"/>
  <c r="F42" i="12"/>
  <c r="G42" i="12"/>
  <c r="J42" i="12"/>
  <c r="K42" i="12"/>
  <c r="C43" i="12"/>
  <c r="D43" i="12"/>
  <c r="E43" i="12"/>
  <c r="F43" i="12"/>
  <c r="G43" i="12"/>
  <c r="J43" i="12"/>
  <c r="K43" i="12"/>
  <c r="C44" i="12"/>
  <c r="D44" i="12"/>
  <c r="E44" i="12"/>
  <c r="F44" i="12"/>
  <c r="G44" i="12"/>
  <c r="J44" i="12"/>
  <c r="K44" i="12"/>
  <c r="E45" i="12"/>
  <c r="F45" i="12"/>
  <c r="G45" i="12"/>
  <c r="J45" i="12"/>
  <c r="K45" i="12"/>
  <c r="F46" i="12"/>
  <c r="G46" i="12"/>
  <c r="K46" i="12"/>
  <c r="G47" i="12"/>
  <c r="K47" i="12"/>
  <c r="B51" i="12"/>
  <c r="C51" i="12"/>
  <c r="D51" i="12"/>
  <c r="E51" i="12"/>
  <c r="G51" i="12"/>
  <c r="H51" i="12"/>
  <c r="I51" i="12"/>
  <c r="J51" i="12"/>
  <c r="J52" i="12"/>
  <c r="K54" i="12"/>
  <c r="B56" i="12"/>
  <c r="C56" i="12"/>
  <c r="D56" i="12"/>
  <c r="G56" i="12"/>
  <c r="C57" i="12"/>
  <c r="D57" i="12"/>
  <c r="D58" i="12"/>
  <c r="H60" i="12"/>
  <c r="J60" i="12"/>
  <c r="K60" i="12"/>
  <c r="L60" i="12"/>
  <c r="I61" i="12"/>
  <c r="F62" i="12"/>
  <c r="J62" i="12"/>
  <c r="K62" i="12"/>
  <c r="L62" i="12"/>
  <c r="B63" i="12"/>
  <c r="E63" i="12"/>
  <c r="F63" i="12"/>
  <c r="B64" i="12"/>
  <c r="E64" i="12"/>
  <c r="F64" i="12"/>
  <c r="B65" i="12"/>
  <c r="E65" i="12"/>
  <c r="B66" i="12"/>
  <c r="E66" i="12"/>
  <c r="I66" i="12"/>
  <c r="J66" i="12"/>
  <c r="K66" i="12"/>
  <c r="B67" i="12"/>
  <c r="E67" i="12"/>
  <c r="I67" i="12"/>
  <c r="J67" i="12"/>
  <c r="K67" i="12"/>
  <c r="B68" i="12"/>
  <c r="E68" i="12"/>
  <c r="B69" i="12"/>
  <c r="E69" i="12"/>
  <c r="B70" i="12"/>
  <c r="E70" i="12"/>
  <c r="B71" i="12"/>
  <c r="B72" i="12"/>
  <c r="E72" i="12"/>
  <c r="M14" i="5"/>
  <c r="N14" i="5"/>
  <c r="M15" i="5"/>
  <c r="H3" i="16"/>
  <c r="H4" i="16"/>
  <c r="H5" i="16"/>
  <c r="H6" i="16"/>
  <c r="H7" i="16"/>
  <c r="K14" i="16"/>
  <c r="Q14" i="16"/>
  <c r="B15" i="16"/>
  <c r="E15" i="16"/>
  <c r="H15" i="16"/>
  <c r="K15" i="16"/>
  <c r="N15" i="16"/>
  <c r="Q15" i="16"/>
  <c r="B16" i="16"/>
  <c r="E16" i="16"/>
  <c r="H16" i="16"/>
  <c r="K16" i="16"/>
  <c r="N16" i="16"/>
  <c r="Q16" i="16"/>
  <c r="B17" i="16"/>
  <c r="E17" i="16"/>
  <c r="H17" i="16"/>
  <c r="K17" i="16"/>
  <c r="N17" i="16"/>
  <c r="Q17" i="16"/>
  <c r="B20" i="16"/>
  <c r="E20" i="16"/>
  <c r="H20" i="16"/>
  <c r="K20" i="16"/>
  <c r="Q20" i="16"/>
  <c r="B21" i="16"/>
  <c r="E21" i="16"/>
  <c r="H21" i="16"/>
  <c r="K21" i="16"/>
  <c r="N21" i="16"/>
  <c r="Q21" i="16"/>
  <c r="B22" i="16"/>
  <c r="E22" i="16"/>
  <c r="H22" i="16"/>
  <c r="K22" i="16"/>
  <c r="N22" i="16"/>
  <c r="Q22" i="16"/>
  <c r="K23" i="16"/>
  <c r="N23" i="16"/>
  <c r="Q23" i="16"/>
  <c r="B25" i="16"/>
  <c r="E25" i="16"/>
  <c r="H25" i="16"/>
  <c r="B26" i="16"/>
  <c r="E26" i="16"/>
  <c r="H26" i="16"/>
  <c r="K26" i="16"/>
  <c r="B27" i="16"/>
  <c r="E27" i="16"/>
  <c r="H27" i="16"/>
  <c r="K27" i="16"/>
  <c r="Q27" i="16"/>
  <c r="K28" i="16"/>
  <c r="Q28" i="16"/>
  <c r="K29" i="16"/>
  <c r="Q29" i="16"/>
  <c r="B30" i="16"/>
  <c r="E30" i="16"/>
  <c r="H30" i="16"/>
  <c r="B31" i="16"/>
  <c r="E31" i="16"/>
  <c r="H31" i="16"/>
  <c r="B32" i="16"/>
  <c r="E32" i="16"/>
  <c r="H32" i="16"/>
  <c r="K32" i="16"/>
  <c r="K33" i="16"/>
  <c r="Q33" i="16"/>
  <c r="K34" i="16"/>
  <c r="Q34" i="16"/>
  <c r="B35" i="16"/>
  <c r="E35" i="16"/>
  <c r="H35" i="16"/>
  <c r="K35" i="16"/>
  <c r="Q35" i="16"/>
  <c r="B36" i="16"/>
  <c r="E36" i="16"/>
  <c r="H36" i="16"/>
  <c r="B37" i="16"/>
  <c r="E37" i="16"/>
  <c r="H37" i="16"/>
  <c r="K38" i="16"/>
  <c r="K39" i="16"/>
  <c r="Q39" i="16"/>
  <c r="B40" i="16"/>
  <c r="E40" i="16"/>
  <c r="H40" i="16"/>
  <c r="Q40" i="16"/>
  <c r="B41" i="16"/>
  <c r="E41" i="16"/>
  <c r="H41" i="16"/>
  <c r="K41" i="16"/>
  <c r="Q41" i="16"/>
  <c r="B42" i="16"/>
  <c r="E42" i="16"/>
  <c r="H42" i="16"/>
  <c r="B45" i="16"/>
  <c r="E45" i="16"/>
  <c r="H45" i="16"/>
  <c r="B46" i="16"/>
  <c r="E46" i="16"/>
  <c r="H46" i="16"/>
  <c r="B47" i="16"/>
  <c r="E47" i="16"/>
  <c r="H47" i="16"/>
  <c r="B50" i="16"/>
  <c r="E50" i="16"/>
  <c r="H50" i="16"/>
  <c r="B51" i="16"/>
  <c r="E51" i="16"/>
  <c r="H51" i="16"/>
  <c r="B52" i="16"/>
  <c r="E52" i="16"/>
  <c r="H52" i="16"/>
  <c r="B55" i="16"/>
  <c r="E55" i="16"/>
  <c r="H55" i="16"/>
  <c r="B56" i="16"/>
  <c r="E56" i="16"/>
  <c r="H56" i="16"/>
  <c r="B57" i="16"/>
  <c r="E57" i="16"/>
  <c r="H57" i="16"/>
  <c r="B60" i="16"/>
  <c r="E60" i="16"/>
  <c r="H60" i="16"/>
  <c r="B61" i="16"/>
  <c r="E61" i="16"/>
  <c r="H61" i="16"/>
  <c r="B62" i="16"/>
  <c r="E62" i="16"/>
  <c r="H62" i="16"/>
  <c r="B65" i="16"/>
  <c r="E65" i="16"/>
  <c r="H65" i="16"/>
  <c r="B66" i="16"/>
  <c r="E66" i="16"/>
  <c r="H66" i="16"/>
  <c r="B67" i="16"/>
  <c r="E67" i="16"/>
  <c r="H67" i="16"/>
  <c r="B70" i="16"/>
  <c r="E70" i="16"/>
  <c r="H70" i="16"/>
  <c r="B71" i="16"/>
  <c r="E71" i="16"/>
  <c r="H71" i="16"/>
  <c r="B72" i="16"/>
  <c r="E72" i="16"/>
  <c r="H72" i="16"/>
  <c r="B75" i="16"/>
  <c r="E75" i="16"/>
  <c r="H75" i="16"/>
  <c r="B76" i="16"/>
  <c r="E76" i="16"/>
  <c r="H76" i="16"/>
  <c r="B77" i="16"/>
  <c r="E77" i="16"/>
  <c r="H77" i="16"/>
  <c r="B80" i="16"/>
  <c r="E80" i="16"/>
  <c r="H80" i="16"/>
  <c r="B81" i="16"/>
  <c r="E81" i="16"/>
  <c r="H81" i="16"/>
  <c r="B82" i="16"/>
  <c r="E82" i="16"/>
  <c r="H82" i="16"/>
  <c r="B85" i="16"/>
  <c r="E85" i="16"/>
  <c r="H85" i="16"/>
  <c r="B86" i="16"/>
  <c r="E86" i="16"/>
  <c r="H86" i="16"/>
  <c r="B87" i="16"/>
  <c r="E87" i="16"/>
  <c r="H87" i="16"/>
  <c r="B89" i="16"/>
  <c r="B90" i="16"/>
  <c r="E90" i="16"/>
  <c r="H90" i="16"/>
  <c r="B91" i="16"/>
  <c r="E91" i="16"/>
  <c r="H91" i="16"/>
  <c r="B92" i="16"/>
  <c r="E92" i="16"/>
  <c r="H92" i="16"/>
  <c r="B95" i="16"/>
  <c r="E95" i="16"/>
  <c r="H95" i="16"/>
  <c r="B96" i="16"/>
  <c r="E96" i="16"/>
  <c r="H96" i="16"/>
  <c r="B97" i="16"/>
  <c r="E97" i="16"/>
  <c r="H97" i="16"/>
  <c r="B100" i="16"/>
  <c r="E100" i="16"/>
  <c r="H100" i="16"/>
  <c r="B101" i="16"/>
  <c r="E101" i="16"/>
  <c r="H101" i="16"/>
  <c r="B102" i="16"/>
  <c r="E102" i="16"/>
  <c r="H102" i="16"/>
  <c r="B105" i="16"/>
  <c r="E105" i="16"/>
  <c r="H105" i="16"/>
  <c r="B106" i="16"/>
  <c r="E106" i="16"/>
  <c r="H106" i="16"/>
  <c r="B107" i="16"/>
  <c r="E107" i="16"/>
  <c r="H107" i="16"/>
  <c r="B110" i="16"/>
  <c r="E110" i="16"/>
  <c r="B111" i="16"/>
  <c r="E111" i="16"/>
  <c r="B112" i="16"/>
  <c r="E112" i="16"/>
  <c r="B115" i="16"/>
  <c r="E115" i="16"/>
  <c r="B116" i="16"/>
  <c r="E116" i="16"/>
  <c r="B117" i="16"/>
  <c r="E117" i="16"/>
  <c r="B120" i="16"/>
  <c r="E120" i="16"/>
  <c r="B121" i="16"/>
  <c r="E121" i="16"/>
  <c r="B122" i="16"/>
  <c r="E122" i="16"/>
  <c r="B125" i="16"/>
  <c r="E125" i="16"/>
  <c r="B126" i="16"/>
  <c r="E126" i="16"/>
  <c r="B127" i="16"/>
  <c r="E127" i="16"/>
  <c r="E130" i="16"/>
  <c r="B131" i="16"/>
  <c r="E131" i="16"/>
  <c r="B132" i="16"/>
  <c r="E132" i="16"/>
  <c r="B135" i="16"/>
  <c r="E135" i="16"/>
  <c r="B136" i="16"/>
  <c r="E136" i="16"/>
  <c r="B137" i="16"/>
  <c r="E137" i="16"/>
  <c r="B139" i="16"/>
  <c r="B140" i="16"/>
  <c r="B141" i="16"/>
  <c r="B142" i="16"/>
  <c r="B144" i="16"/>
  <c r="B145" i="16"/>
  <c r="B146" i="16"/>
  <c r="B147" i="16"/>
  <c r="B150" i="16"/>
  <c r="B151" i="16"/>
  <c r="B152" i="16"/>
  <c r="B155" i="16"/>
  <c r="B156" i="16"/>
  <c r="B157" i="16"/>
  <c r="B160" i="16"/>
  <c r="B161" i="16"/>
  <c r="B162" i="16"/>
  <c r="B164" i="16"/>
  <c r="B165" i="16"/>
  <c r="B166" i="16"/>
  <c r="B167" i="16"/>
  <c r="B170" i="16"/>
  <c r="B171" i="16"/>
  <c r="B172" i="16"/>
  <c r="B175" i="16"/>
  <c r="B176" i="16"/>
  <c r="B177" i="16"/>
  <c r="B180" i="16"/>
  <c r="B181" i="16"/>
  <c r="B182" i="16"/>
  <c r="B185" i="16"/>
  <c r="B186" i="16"/>
  <c r="B187" i="16"/>
  <c r="B190" i="16"/>
  <c r="B191" i="16"/>
  <c r="B192" i="16"/>
  <c r="B195" i="16"/>
  <c r="B196" i="16"/>
  <c r="B197" i="16"/>
  <c r="B200" i="16"/>
  <c r="B201" i="16"/>
  <c r="B202" i="16"/>
  <c r="B204" i="16"/>
  <c r="B205" i="16"/>
  <c r="B206" i="16"/>
  <c r="B207" i="16"/>
  <c r="B210" i="16"/>
  <c r="B211" i="16"/>
  <c r="B212" i="16"/>
  <c r="B215" i="16"/>
  <c r="B216" i="16"/>
  <c r="B217" i="16"/>
  <c r="B220" i="16"/>
  <c r="B221" i="16"/>
  <c r="B222" i="16"/>
  <c r="B225" i="16"/>
  <c r="B226" i="16"/>
  <c r="B227" i="16"/>
  <c r="D228" i="16"/>
  <c r="B230" i="16"/>
  <c r="B231" i="16"/>
  <c r="B232" i="16"/>
  <c r="B237" i="16"/>
  <c r="B238" i="16"/>
  <c r="D240" i="16"/>
  <c r="D241" i="16"/>
  <c r="B243" i="16"/>
  <c r="B244" i="16"/>
  <c r="B249" i="16"/>
  <c r="B250" i="16"/>
  <c r="B255" i="16"/>
  <c r="B256" i="16"/>
  <c r="B261" i="16"/>
  <c r="B262" i="16"/>
  <c r="D265" i="16"/>
  <c r="B267" i="16"/>
  <c r="B268" i="16"/>
  <c r="B273" i="16"/>
  <c r="B274" i="16"/>
  <c r="B279" i="16"/>
  <c r="B280" i="16"/>
  <c r="J6" i="21"/>
  <c r="D12" i="21"/>
  <c r="G12" i="21"/>
  <c r="J12" i="21"/>
  <c r="D13" i="21"/>
  <c r="G13" i="21"/>
  <c r="J13" i="21"/>
  <c r="M13" i="21"/>
  <c r="N13" i="21"/>
  <c r="D14" i="21"/>
  <c r="G14" i="21"/>
  <c r="J14" i="21"/>
  <c r="D17" i="21"/>
  <c r="G17" i="21"/>
  <c r="J17" i="21"/>
  <c r="N19" i="21"/>
  <c r="G20" i="21"/>
  <c r="N20" i="21"/>
  <c r="D23" i="21"/>
  <c r="G23" i="21"/>
  <c r="D24" i="21"/>
  <c r="E3" i="20"/>
  <c r="N3" i="20"/>
  <c r="AL3" i="20"/>
  <c r="B4" i="20"/>
  <c r="E4" i="20"/>
  <c r="N4" i="20"/>
  <c r="T4" i="20"/>
  <c r="W4" i="20"/>
  <c r="B5" i="20"/>
  <c r="E5" i="20"/>
  <c r="N5" i="20"/>
  <c r="T5" i="20"/>
  <c r="AF5" i="20"/>
  <c r="B6" i="20"/>
  <c r="E6" i="20"/>
  <c r="N6" i="20"/>
  <c r="T6" i="20"/>
  <c r="B7" i="20"/>
  <c r="E7" i="20"/>
  <c r="N7" i="20"/>
  <c r="AF14" i="20"/>
  <c r="AL14" i="20"/>
  <c r="B15" i="20"/>
  <c r="E15" i="20"/>
  <c r="H15" i="20"/>
  <c r="K15" i="20"/>
  <c r="N15" i="20"/>
  <c r="Q15" i="20"/>
  <c r="W15" i="20"/>
  <c r="AC15" i="20"/>
  <c r="AF15" i="20"/>
  <c r="AI15" i="20"/>
  <c r="AL15" i="20"/>
  <c r="AR15" i="20"/>
  <c r="B16" i="20"/>
  <c r="E16" i="20"/>
  <c r="H16" i="20"/>
  <c r="K16" i="20"/>
  <c r="N16" i="20"/>
  <c r="Q16" i="20"/>
  <c r="T16" i="20"/>
  <c r="W16" i="20"/>
  <c r="Z16" i="20"/>
  <c r="AC16" i="20"/>
  <c r="AF16" i="20"/>
  <c r="AI16" i="20"/>
  <c r="AL16" i="20"/>
  <c r="AR16" i="20"/>
  <c r="B17" i="20"/>
  <c r="E17" i="20"/>
  <c r="H17" i="20"/>
  <c r="K17" i="20"/>
  <c r="N17" i="20"/>
  <c r="Q17" i="20"/>
  <c r="T17" i="20"/>
  <c r="W17" i="20"/>
  <c r="Z17" i="20"/>
  <c r="AC17" i="20"/>
  <c r="AF17" i="20"/>
  <c r="AI17" i="20"/>
  <c r="AL17" i="20"/>
  <c r="AR17" i="20"/>
  <c r="AO18" i="20"/>
  <c r="AO19" i="20"/>
  <c r="B20" i="20"/>
  <c r="E20" i="20"/>
  <c r="H20" i="20"/>
  <c r="K20" i="20"/>
  <c r="N20" i="20"/>
  <c r="Q20" i="20"/>
  <c r="W20" i="20"/>
  <c r="AF20" i="20"/>
  <c r="AL20" i="20"/>
  <c r="B21" i="20"/>
  <c r="E21" i="20"/>
  <c r="H21" i="20"/>
  <c r="K21" i="20"/>
  <c r="N21" i="20"/>
  <c r="Q21" i="20"/>
  <c r="T21" i="20"/>
  <c r="W21" i="20"/>
  <c r="Z21" i="20"/>
  <c r="AC21" i="20"/>
  <c r="AF21" i="20"/>
  <c r="AI21" i="20"/>
  <c r="AL21" i="20"/>
  <c r="AR21" i="20"/>
  <c r="B22" i="20"/>
  <c r="E22" i="20"/>
  <c r="H22" i="20"/>
  <c r="K22" i="20"/>
  <c r="N22" i="20"/>
  <c r="Q22" i="20"/>
  <c r="T22" i="20"/>
  <c r="W22" i="20"/>
  <c r="Z22" i="20"/>
  <c r="AC22" i="20"/>
  <c r="AF22" i="20"/>
  <c r="AI22" i="20"/>
  <c r="AL22" i="20"/>
  <c r="AR22" i="20"/>
  <c r="AC23" i="20"/>
  <c r="AF23" i="20"/>
  <c r="AI23" i="20"/>
  <c r="AL23" i="20"/>
  <c r="AR23" i="20"/>
  <c r="B25" i="20"/>
  <c r="E25" i="20"/>
  <c r="H25" i="20"/>
  <c r="K25" i="20"/>
  <c r="N25" i="20"/>
  <c r="Q25" i="20"/>
  <c r="W25" i="20"/>
  <c r="Z25" i="20"/>
  <c r="B26" i="20"/>
  <c r="E26" i="20"/>
  <c r="H26" i="20"/>
  <c r="K26" i="20"/>
  <c r="N26" i="20"/>
  <c r="Q26" i="20"/>
  <c r="T26" i="20"/>
  <c r="W26" i="20"/>
  <c r="B27" i="20"/>
  <c r="E27" i="20"/>
  <c r="H27" i="20"/>
  <c r="K27" i="20"/>
  <c r="N27" i="20"/>
  <c r="Q27" i="20"/>
  <c r="T27" i="20"/>
  <c r="W27" i="20"/>
  <c r="Z27" i="20"/>
  <c r="AF27" i="20"/>
  <c r="AI27" i="20"/>
  <c r="AL27" i="20"/>
  <c r="Z28" i="20"/>
  <c r="AF28" i="20"/>
  <c r="AI28" i="20"/>
  <c r="AL28" i="20"/>
  <c r="AR28" i="20"/>
  <c r="AF29" i="20"/>
  <c r="AI29" i="20"/>
  <c r="AL29" i="20"/>
  <c r="AR29" i="20"/>
  <c r="B30" i="20"/>
  <c r="E30" i="20"/>
  <c r="H30" i="20"/>
  <c r="K30" i="20"/>
  <c r="N30" i="20"/>
  <c r="Q30" i="20"/>
  <c r="B31" i="20"/>
  <c r="E31" i="20"/>
  <c r="H31" i="20"/>
  <c r="K31" i="20"/>
  <c r="N31" i="20"/>
  <c r="Q31" i="20"/>
  <c r="T31" i="20"/>
  <c r="W31" i="20"/>
  <c r="B32" i="20"/>
  <c r="E32" i="20"/>
  <c r="H32" i="20"/>
  <c r="K32" i="20"/>
  <c r="N32" i="20"/>
  <c r="Q32" i="20"/>
  <c r="T32" i="20"/>
  <c r="W32" i="20"/>
  <c r="AC32" i="20"/>
  <c r="AC33" i="20"/>
  <c r="AF33" i="20"/>
  <c r="AI33" i="20"/>
  <c r="AL33" i="20"/>
  <c r="AC34" i="20"/>
  <c r="AF34" i="20"/>
  <c r="AI34" i="20"/>
  <c r="AL34" i="20"/>
  <c r="AR34" i="20"/>
  <c r="B35" i="20"/>
  <c r="E35" i="20"/>
  <c r="H35" i="20"/>
  <c r="K35" i="20"/>
  <c r="N35" i="20"/>
  <c r="W35" i="20"/>
  <c r="AF35" i="20"/>
  <c r="AI35" i="20"/>
  <c r="AL35" i="20"/>
  <c r="AR35" i="20"/>
  <c r="B36" i="20"/>
  <c r="E36" i="20"/>
  <c r="H36" i="20"/>
  <c r="K36" i="20"/>
  <c r="N36" i="20"/>
  <c r="T36" i="20"/>
  <c r="W36" i="20"/>
  <c r="AI36" i="20"/>
  <c r="B37" i="20"/>
  <c r="E37" i="20"/>
  <c r="H37" i="20"/>
  <c r="K37" i="20"/>
  <c r="N37" i="20"/>
  <c r="T37" i="20"/>
  <c r="W37" i="20"/>
  <c r="AC38" i="20"/>
  <c r="AI38" i="20"/>
  <c r="AC39" i="20"/>
  <c r="AF39" i="20"/>
  <c r="AR39" i="20"/>
  <c r="B40" i="20"/>
  <c r="E40" i="20"/>
  <c r="H40" i="20"/>
  <c r="K40" i="20"/>
  <c r="N40" i="20"/>
  <c r="AC40" i="20"/>
  <c r="AF40" i="20"/>
  <c r="AI40" i="20"/>
  <c r="AR40" i="20"/>
  <c r="B41" i="20"/>
  <c r="E41" i="20"/>
  <c r="H41" i="20"/>
  <c r="K41" i="20"/>
  <c r="N41" i="20"/>
  <c r="T41" i="20"/>
  <c r="AF41" i="20"/>
  <c r="AI41" i="20"/>
  <c r="AR41" i="20"/>
  <c r="B42" i="20"/>
  <c r="E42" i="20"/>
  <c r="H42" i="20"/>
  <c r="K42" i="20"/>
  <c r="N42" i="20"/>
  <c r="T42" i="20"/>
  <c r="AI42" i="20"/>
  <c r="B45" i="20"/>
  <c r="E45" i="20"/>
  <c r="H45" i="20"/>
  <c r="K45" i="20"/>
  <c r="N45" i="20"/>
  <c r="B46" i="20"/>
  <c r="E46" i="20"/>
  <c r="H46" i="20"/>
  <c r="K46" i="20"/>
  <c r="N46" i="20"/>
  <c r="AR46" i="20"/>
  <c r="B47" i="20"/>
  <c r="E47" i="20"/>
  <c r="H47" i="20"/>
  <c r="K47" i="20"/>
  <c r="N47" i="20"/>
  <c r="T47" i="20"/>
  <c r="AR47" i="20"/>
  <c r="T48" i="20"/>
  <c r="AR48" i="20"/>
  <c r="E50" i="20"/>
  <c r="H50" i="20"/>
  <c r="K50" i="20"/>
  <c r="N50" i="20"/>
  <c r="B51" i="20"/>
  <c r="E51" i="20"/>
  <c r="H51" i="20"/>
  <c r="K51" i="20"/>
  <c r="N51" i="20"/>
  <c r="B52" i="20"/>
  <c r="E52" i="20"/>
  <c r="H52" i="20"/>
  <c r="K52" i="20"/>
  <c r="N52" i="20"/>
  <c r="T53" i="20"/>
  <c r="T54" i="20"/>
  <c r="B55" i="20"/>
  <c r="E55" i="20"/>
  <c r="H55" i="20"/>
  <c r="K55" i="20"/>
  <c r="N55" i="20"/>
  <c r="T55" i="20"/>
  <c r="B56" i="20"/>
  <c r="E56" i="20"/>
  <c r="H56" i="20"/>
  <c r="K56" i="20"/>
  <c r="N56" i="20"/>
  <c r="B57" i="20"/>
  <c r="E57" i="20"/>
  <c r="H57" i="20"/>
  <c r="K57" i="20"/>
  <c r="N57" i="20"/>
  <c r="B60" i="20"/>
  <c r="E60" i="20"/>
  <c r="H60" i="20"/>
  <c r="K60" i="20"/>
  <c r="N60" i="20"/>
  <c r="B61" i="20"/>
  <c r="E61" i="20"/>
  <c r="H61" i="20"/>
  <c r="K61" i="20"/>
  <c r="N61" i="20"/>
  <c r="B62" i="20"/>
  <c r="E62" i="20"/>
  <c r="H62" i="20"/>
  <c r="K62" i="20"/>
  <c r="N62" i="20"/>
  <c r="B65" i="20"/>
  <c r="E65" i="20"/>
  <c r="H65" i="20"/>
  <c r="K65" i="20"/>
  <c r="N65" i="20"/>
  <c r="B66" i="20"/>
  <c r="E66" i="20"/>
  <c r="H66" i="20"/>
  <c r="K66" i="20"/>
  <c r="N66" i="20"/>
  <c r="B67" i="20"/>
  <c r="E67" i="20"/>
  <c r="H67" i="20"/>
  <c r="K67" i="20"/>
  <c r="N67" i="20"/>
  <c r="B70" i="20"/>
  <c r="E70" i="20"/>
  <c r="H70" i="20"/>
  <c r="K70" i="20"/>
  <c r="N70" i="20"/>
  <c r="B71" i="20"/>
  <c r="E71" i="20"/>
  <c r="H71" i="20"/>
  <c r="K71" i="20"/>
  <c r="N71" i="20"/>
  <c r="B72" i="20"/>
  <c r="E72" i="20"/>
  <c r="H72" i="20"/>
  <c r="K72" i="20"/>
  <c r="N72" i="20"/>
  <c r="B75" i="20"/>
  <c r="H75" i="20"/>
  <c r="K75" i="20"/>
  <c r="N75" i="20"/>
  <c r="B76" i="20"/>
  <c r="E76" i="20"/>
  <c r="H76" i="20"/>
  <c r="K76" i="20"/>
  <c r="N76" i="20"/>
  <c r="B77" i="20"/>
  <c r="E77" i="20"/>
  <c r="H77" i="20"/>
  <c r="K77" i="20"/>
  <c r="N77" i="20"/>
  <c r="B80" i="20"/>
  <c r="E80" i="20"/>
  <c r="H80" i="20"/>
  <c r="K80" i="20"/>
  <c r="N80" i="20"/>
  <c r="B81" i="20"/>
  <c r="E81" i="20"/>
  <c r="H81" i="20"/>
  <c r="K81" i="20"/>
  <c r="N81" i="20"/>
  <c r="B82" i="20"/>
  <c r="E82" i="20"/>
  <c r="H82" i="20"/>
  <c r="K82" i="20"/>
  <c r="N82" i="20"/>
  <c r="B85" i="20"/>
  <c r="E85" i="20"/>
  <c r="H85" i="20"/>
  <c r="K85" i="20"/>
  <c r="N85" i="20"/>
  <c r="B86" i="20"/>
  <c r="E86" i="20"/>
  <c r="H86" i="20"/>
  <c r="K86" i="20"/>
  <c r="N86" i="20"/>
  <c r="B87" i="20"/>
  <c r="E87" i="20"/>
  <c r="H87" i="20"/>
  <c r="K87" i="20"/>
  <c r="N87" i="20"/>
  <c r="H89" i="20"/>
  <c r="B90" i="20"/>
  <c r="E90" i="20"/>
  <c r="H90" i="20"/>
  <c r="K90" i="20"/>
  <c r="N90" i="20"/>
  <c r="B91" i="20"/>
  <c r="E91" i="20"/>
  <c r="H91" i="20"/>
  <c r="K91" i="20"/>
  <c r="N91" i="20"/>
  <c r="B92" i="20"/>
  <c r="E92" i="20"/>
  <c r="H92" i="20"/>
  <c r="K92" i="20"/>
  <c r="N92" i="20"/>
  <c r="B95" i="20"/>
  <c r="E95" i="20"/>
  <c r="H95" i="20"/>
  <c r="K95" i="20"/>
  <c r="N95" i="20"/>
  <c r="B96" i="20"/>
  <c r="E96" i="20"/>
  <c r="H96" i="20"/>
  <c r="K96" i="20"/>
  <c r="N96" i="20"/>
  <c r="B97" i="20"/>
  <c r="E97" i="20"/>
  <c r="H97" i="20"/>
  <c r="K97" i="20"/>
  <c r="N97" i="20"/>
  <c r="B100" i="20"/>
  <c r="E100" i="20"/>
  <c r="H100" i="20"/>
  <c r="K100" i="20"/>
  <c r="N100" i="20"/>
  <c r="B101" i="20"/>
  <c r="E101" i="20"/>
  <c r="H101" i="20"/>
  <c r="K101" i="20"/>
  <c r="N101" i="20"/>
  <c r="B102" i="20"/>
  <c r="E102" i="20"/>
  <c r="H102" i="20"/>
  <c r="K102" i="20"/>
  <c r="N102" i="20"/>
  <c r="P102" i="20"/>
  <c r="Q102" i="20"/>
  <c r="S102" i="20"/>
  <c r="T102" i="20"/>
  <c r="H105" i="20"/>
  <c r="K105" i="20"/>
  <c r="N105" i="20"/>
  <c r="B106" i="20"/>
  <c r="H106" i="20"/>
  <c r="K106" i="20"/>
  <c r="N106" i="20"/>
  <c r="B107" i="20"/>
  <c r="H107" i="20"/>
  <c r="K107" i="20"/>
  <c r="N107" i="20"/>
  <c r="P107" i="20"/>
  <c r="Q107" i="20"/>
  <c r="S107" i="20"/>
  <c r="T107" i="20"/>
  <c r="Q108" i="20"/>
  <c r="T108" i="20"/>
  <c r="B110" i="20"/>
  <c r="H110" i="20"/>
  <c r="K110" i="20"/>
  <c r="B111" i="20"/>
  <c r="H111" i="20"/>
  <c r="K111" i="20"/>
  <c r="B112" i="20"/>
  <c r="H112" i="20"/>
  <c r="K112" i="20"/>
  <c r="B115" i="20"/>
  <c r="H115" i="20"/>
  <c r="K115" i="20"/>
  <c r="B116" i="20"/>
  <c r="H116" i="20"/>
  <c r="K116" i="20"/>
  <c r="B117" i="20"/>
  <c r="H117" i="20"/>
  <c r="K117" i="20"/>
  <c r="B120" i="20"/>
  <c r="H120" i="20"/>
  <c r="K120" i="20"/>
  <c r="B121" i="20"/>
  <c r="H121" i="20"/>
  <c r="K121" i="20"/>
  <c r="B122" i="20"/>
  <c r="H122" i="20"/>
  <c r="K122" i="20"/>
  <c r="B125" i="20"/>
  <c r="H125" i="20"/>
  <c r="K125" i="20"/>
  <c r="B126" i="20"/>
  <c r="H126" i="20"/>
  <c r="K126" i="20"/>
  <c r="B127" i="20"/>
  <c r="H127" i="20"/>
  <c r="K127" i="20"/>
  <c r="B130" i="20"/>
  <c r="H130" i="20"/>
  <c r="K130" i="20"/>
  <c r="B131" i="20"/>
  <c r="H131" i="20"/>
  <c r="K131" i="20"/>
  <c r="B132" i="20"/>
  <c r="H132" i="20"/>
  <c r="K132" i="20"/>
  <c r="B135" i="20"/>
  <c r="K135" i="20"/>
  <c r="B136" i="20"/>
  <c r="H136" i="20"/>
  <c r="K136" i="20"/>
  <c r="B137" i="20"/>
  <c r="H137" i="20"/>
  <c r="K137" i="20"/>
  <c r="H139" i="20"/>
  <c r="B140" i="20"/>
  <c r="H140" i="20"/>
  <c r="B141" i="20"/>
  <c r="H141" i="20"/>
  <c r="B142" i="20"/>
  <c r="H142" i="20"/>
  <c r="H144" i="20"/>
  <c r="H145" i="20"/>
  <c r="H146" i="20"/>
  <c r="H147" i="20"/>
  <c r="H150" i="20"/>
  <c r="H151" i="20"/>
  <c r="H152" i="20"/>
  <c r="H155" i="20"/>
  <c r="H156" i="20"/>
  <c r="H157" i="20"/>
  <c r="H160" i="20"/>
  <c r="H161" i="20"/>
  <c r="H162" i="20"/>
  <c r="H164" i="20"/>
  <c r="H165" i="20"/>
  <c r="H166" i="20"/>
  <c r="H167" i="20"/>
  <c r="H170" i="20"/>
  <c r="H171" i="20"/>
  <c r="H172" i="20"/>
  <c r="H175" i="20"/>
  <c r="H176" i="20"/>
  <c r="H177" i="20"/>
  <c r="H180" i="20"/>
  <c r="H181" i="20"/>
  <c r="H182" i="20"/>
  <c r="H185" i="20"/>
  <c r="H186" i="20"/>
  <c r="H187" i="20"/>
  <c r="H190" i="20"/>
  <c r="H191" i="20"/>
  <c r="H192" i="20"/>
  <c r="H195" i="20"/>
  <c r="H196" i="20"/>
  <c r="H197" i="20"/>
  <c r="H200" i="20"/>
  <c r="H201" i="20"/>
  <c r="H202" i="20"/>
  <c r="H204" i="20"/>
  <c r="H205" i="20"/>
  <c r="H206" i="20"/>
  <c r="H207" i="20"/>
  <c r="H210" i="20"/>
  <c r="H211" i="20"/>
  <c r="H212" i="20"/>
  <c r="H215" i="20"/>
  <c r="H216" i="20"/>
  <c r="H217" i="20"/>
  <c r="H220" i="20"/>
  <c r="H221" i="20"/>
  <c r="H222" i="20"/>
  <c r="H225" i="20"/>
  <c r="H226" i="20"/>
  <c r="H227" i="20"/>
  <c r="H230" i="20"/>
  <c r="H231" i="20"/>
  <c r="H232" i="20"/>
  <c r="H237" i="20"/>
  <c r="H238" i="20"/>
  <c r="H243" i="20"/>
  <c r="H244" i="20"/>
  <c r="H249" i="20"/>
  <c r="H250" i="20"/>
  <c r="H255" i="20"/>
  <c r="H256" i="20"/>
  <c r="H261" i="20"/>
  <c r="H262" i="20"/>
  <c r="H267" i="20"/>
  <c r="H268" i="20"/>
  <c r="H273" i="20"/>
  <c r="H274" i="20"/>
  <c r="H279" i="20"/>
  <c r="H280" i="20"/>
  <c r="F11" i="11"/>
  <c r="F12" i="11"/>
  <c r="F18" i="11"/>
  <c r="F19" i="11"/>
  <c r="F28" i="11"/>
  <c r="F29" i="11"/>
  <c r="F35" i="11"/>
  <c r="F36" i="11"/>
  <c r="F45" i="11"/>
  <c r="F46" i="11"/>
  <c r="F52" i="11"/>
  <c r="F53" i="11"/>
  <c r="F62" i="11"/>
  <c r="F63" i="11"/>
  <c r="F70" i="11"/>
  <c r="F71" i="11"/>
  <c r="F78" i="11"/>
  <c r="F80" i="11"/>
  <c r="F81" i="11"/>
  <c r="F102" i="11"/>
  <c r="F105" i="11"/>
  <c r="F106" i="11"/>
  <c r="F113" i="11"/>
  <c r="F114" i="11"/>
  <c r="F130" i="11"/>
  <c r="F131" i="11"/>
  <c r="F139" i="11"/>
  <c r="F140" i="11"/>
  <c r="F148" i="11"/>
  <c r="F149" i="11"/>
  <c r="F157" i="11"/>
  <c r="F158" i="11"/>
</calcChain>
</file>

<file path=xl/comments1.xml><?xml version="1.0" encoding="utf-8"?>
<comments xmlns="http://schemas.openxmlformats.org/spreadsheetml/2006/main">
  <authors>
    <author>Steve Gillespie</author>
    <author>cgerman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  <comment ref="E83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Emporia Zone 5, Meter 941
Fuel includes forward hauls in Zone 5 &amp; Zone 6
</t>
        </r>
      </text>
    </comment>
    <comment ref="E8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93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9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FT St 210 meter 9170 to Doyle meter 3162</t>
        </r>
      </text>
    </comment>
    <comment ref="B12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Backhaul from Z6 to Z4, forward haul in Z4 to Doyle meter 3162</t>
        </r>
      </text>
    </comment>
    <comment ref="B133" authorId="1" shapeId="0">
      <text>
        <r>
          <rPr>
            <b/>
            <sz val="8"/>
            <color indexed="81"/>
            <rFont val="Tahoma"/>
          </rPr>
          <t>cgerman</t>
        </r>
        <r>
          <rPr>
            <sz val="8"/>
            <color indexed="81"/>
            <rFont val="Tahoma"/>
          </rPr>
          <t>l 
Forward haul Z6-Z6, Backhaul Z6-Z4, forward haul in Z4 to Doyle meter 3162</t>
        </r>
      </text>
    </comment>
  </commentList>
</comments>
</file>

<file path=xl/sharedStrings.xml><?xml version="1.0" encoding="utf-8"?>
<sst xmlns="http://schemas.openxmlformats.org/spreadsheetml/2006/main" count="3186" uniqueCount="790">
  <si>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</si>
  <si>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</si>
  <si>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</si>
  <si>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</si>
  <si>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</si>
  <si>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</si>
  <si>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</si>
  <si>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</si>
  <si>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</si>
  <si>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</si>
  <si>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</si>
  <si>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</si>
  <si>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</si>
  <si>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</si>
  <si>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</si>
  <si>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</si>
  <si>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</si>
  <si>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</si>
  <si>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</si>
  <si>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</si>
  <si>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</si>
  <si>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</si>
  <si>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</si>
  <si>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</si>
  <si>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</si>
  <si>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</si>
  <si>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</si>
  <si>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</si>
  <si>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</si>
  <si>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</si>
  <si>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</si>
  <si>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</si>
  <si>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</si>
  <si>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</si>
  <si>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</si>
  <si>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</si>
  <si>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</si>
  <si>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</si>
  <si>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</si>
  <si>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</si>
  <si>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</si>
  <si>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</si>
  <si>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</si>
  <si>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</si>
  <si>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</si>
  <si>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</si>
  <si>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</si>
  <si>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</si>
  <si>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</si>
  <si>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</si>
  <si>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</si>
  <si>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</si>
  <si>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</si>
  <si>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</si>
  <si>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</si>
  <si>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</si>
  <si>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</si>
  <si>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</si>
  <si>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</si>
  <si>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</si>
  <si>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</si>
  <si>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</si>
  <si>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</si>
  <si>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</si>
  <si>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</si>
  <si>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</si>
  <si>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</si>
  <si>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</si>
  <si>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</si>
  <si>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</si>
  <si>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</si>
  <si>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tennessee</t>
  </si>
  <si>
    <t>Z5 - Wright</t>
  </si>
  <si>
    <t>Z6 - Various</t>
  </si>
  <si>
    <t>Niagara</t>
  </si>
  <si>
    <t>ela</t>
  </si>
  <si>
    <t>wla</t>
  </si>
  <si>
    <t>iroq</t>
  </si>
  <si>
    <t>r-1250-05</t>
  </si>
  <si>
    <t xml:space="preserve">  waddington </t>
  </si>
  <si>
    <t>wright</t>
  </si>
  <si>
    <t>cr-1250-08</t>
  </si>
  <si>
    <t>ECT</t>
  </si>
  <si>
    <t>Ela</t>
  </si>
  <si>
    <t>Stx</t>
  </si>
  <si>
    <t>Wla</t>
  </si>
  <si>
    <t xml:space="preserve">Gas Daily </t>
  </si>
  <si>
    <t>formulas</t>
  </si>
  <si>
    <t>st 85</t>
  </si>
  <si>
    <t>zn 0</t>
  </si>
  <si>
    <t>On Price</t>
  </si>
  <si>
    <t>M3</t>
  </si>
  <si>
    <t>st 65</t>
  </si>
  <si>
    <t>zn 1 800</t>
  </si>
  <si>
    <t>st 45</t>
  </si>
  <si>
    <t>stx</t>
  </si>
  <si>
    <t>st 30</t>
  </si>
  <si>
    <t>m1</t>
  </si>
  <si>
    <t>Rates No 37.02</t>
  </si>
  <si>
    <t>Rates No 4</t>
  </si>
  <si>
    <t>Fuel No 44</t>
  </si>
  <si>
    <t>Fuel changes each month</t>
  </si>
  <si>
    <t>(1-1)</t>
  </si>
  <si>
    <t>(1-1) it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</si>
  <si>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</si>
  <si>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</si>
  <si>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</si>
  <si>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</si>
  <si>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</si>
  <si>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</si>
  <si>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</si>
  <si>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</si>
  <si>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</si>
  <si>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</si>
  <si>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</si>
  <si>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</si>
  <si>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(1-2)</t>
  </si>
  <si>
    <t>(1-2) it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</si>
  <si>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</si>
  <si>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</si>
  <si>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</si>
  <si>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</si>
  <si>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</si>
  <si>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</si>
  <si>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</si>
  <si>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</si>
  <si>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(stx-ela)</t>
  </si>
  <si>
    <t>(winter)it</t>
  </si>
  <si>
    <t>(1-5)</t>
  </si>
  <si>
    <t>(2-2) it</t>
  </si>
  <si>
    <t>(stx-m1)</t>
  </si>
  <si>
    <t>(off-off)its2</t>
  </si>
  <si>
    <t>(gath)it</t>
  </si>
  <si>
    <t>tgt 1-4</t>
  </si>
  <si>
    <t>(1-6)</t>
  </si>
  <si>
    <t>(2-3)IT</t>
  </si>
  <si>
    <t>(stx-m2)</t>
  </si>
  <si>
    <t>(on-on)its2</t>
  </si>
  <si>
    <t>tgt SL-1</t>
  </si>
  <si>
    <t>(2-2)</t>
  </si>
  <si>
    <t>(2-4) it</t>
  </si>
  <si>
    <t>(stx-m3)</t>
  </si>
  <si>
    <t>(2-3)</t>
  </si>
  <si>
    <t>(3-3)IT</t>
  </si>
  <si>
    <t>(wla-wla)</t>
  </si>
  <si>
    <t>(2-5)</t>
  </si>
  <si>
    <t>(3-4) it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</si>
  <si>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</si>
  <si>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</si>
  <si>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</si>
  <si>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</si>
  <si>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</si>
  <si>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</si>
  <si>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</si>
  <si>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</si>
  <si>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</si>
  <si>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</si>
  <si>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</si>
  <si>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</si>
  <si>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</si>
  <si>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</si>
  <si>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</si>
  <si>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</si>
  <si>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</si>
  <si>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</si>
  <si>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</si>
  <si>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 xml:space="preserve">(4-4) </t>
  </si>
  <si>
    <t>fuel(0.0)</t>
  </si>
  <si>
    <t>(ela-ela)</t>
  </si>
  <si>
    <t xml:space="preserve">(4-6) </t>
  </si>
  <si>
    <t>(ela-m1)</t>
  </si>
  <si>
    <t>(4a-4a)</t>
  </si>
  <si>
    <t>(ela-m2)</t>
  </si>
  <si>
    <t>(5-5)</t>
  </si>
  <si>
    <t>(ela-m3)</t>
  </si>
  <si>
    <t>(6-6)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</si>
  <si>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</si>
  <si>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</si>
  <si>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</si>
  <si>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</si>
  <si>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</si>
  <si>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</si>
  <si>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</si>
  <si>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</si>
  <si>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</si>
  <si>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</si>
  <si>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</si>
  <si>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(5-5) IT</t>
  </si>
  <si>
    <t>Price</t>
  </si>
  <si>
    <t>Tennessee</t>
  </si>
  <si>
    <t>(etx-wla)</t>
  </si>
  <si>
    <t>(etx-stx)</t>
  </si>
  <si>
    <t>Fuel</t>
  </si>
  <si>
    <t>Iroq Fuel</t>
  </si>
  <si>
    <t>Z1 - Z1</t>
  </si>
  <si>
    <t>Z1 -Z2</t>
  </si>
  <si>
    <t>Z2 - Z2</t>
  </si>
  <si>
    <t>Volume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</si>
  <si>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</si>
  <si>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</si>
  <si>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</si>
  <si>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</si>
  <si>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</si>
  <si>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</si>
  <si>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</si>
  <si>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</si>
  <si>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</si>
  <si>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</si>
  <si>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</si>
  <si>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</si>
  <si>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</si>
  <si>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</si>
  <si>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</si>
  <si>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</si>
  <si>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</si>
  <si>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</si>
  <si>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</si>
  <si>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</si>
  <si>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</si>
  <si>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</si>
  <si>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</si>
  <si>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</si>
  <si>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</si>
  <si>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</si>
  <si>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</si>
  <si>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</si>
  <si>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</si>
  <si>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</si>
  <si>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</si>
  <si>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</si>
  <si>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</si>
  <si>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</si>
  <si>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</si>
  <si>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</si>
  <si>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</si>
  <si>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</si>
  <si>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</si>
  <si>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</si>
  <si>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</si>
  <si>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(3-6) it</t>
  </si>
  <si>
    <t>Comm</t>
  </si>
  <si>
    <t>IT 1-2</t>
  </si>
  <si>
    <t>Rates 25 &amp; 28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</si>
  <si>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</si>
  <si>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</si>
  <si>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</si>
  <si>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</si>
  <si>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</si>
  <si>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</si>
  <si>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</si>
  <si>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</si>
  <si>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</si>
  <si>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</si>
  <si>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</si>
  <si>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</si>
  <si>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</si>
  <si>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</si>
  <si>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</si>
  <si>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</si>
  <si>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</si>
  <si>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</si>
  <si>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Injection</t>
  </si>
  <si>
    <t>Withdrawal</t>
  </si>
  <si>
    <t>(off-off)fts2</t>
  </si>
  <si>
    <t>(ml-ml)fts1</t>
  </si>
  <si>
    <t>(ml-ml)its1</t>
  </si>
  <si>
    <t>PENDING NEW FUELS</t>
  </si>
  <si>
    <t>PENDING Rates &amp; Fuel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</si>
  <si>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</si>
  <si>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</si>
  <si>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</si>
  <si>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</si>
  <si>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</si>
  <si>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</si>
  <si>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</si>
  <si>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</si>
  <si>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</si>
  <si>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</si>
  <si>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</si>
  <si>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</si>
  <si>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</si>
  <si>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</si>
  <si>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</si>
  <si>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</si>
  <si>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</si>
  <si>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</si>
  <si>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</si>
  <si>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</si>
  <si>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</si>
  <si>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</si>
  <si>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</si>
  <si>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</si>
  <si>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</si>
  <si>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</si>
  <si>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</si>
  <si>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</si>
  <si>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</si>
  <si>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</si>
  <si>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</si>
  <si>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</si>
  <si>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</si>
  <si>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</si>
  <si>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</si>
  <si>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</si>
  <si>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</si>
  <si>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</si>
  <si>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</si>
  <si>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</si>
  <si>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</si>
  <si>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</si>
  <si>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</si>
  <si>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</si>
  <si>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</si>
  <si>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</si>
  <si>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Formula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</si>
  <si>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</si>
  <si>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</si>
  <si>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</si>
  <si>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</si>
  <si>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</si>
  <si>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</si>
  <si>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</si>
  <si>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</si>
  <si>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</si>
  <si>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</si>
  <si>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</si>
  <si>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</si>
  <si>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</si>
  <si>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</si>
  <si>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</si>
  <si>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</si>
  <si>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</si>
  <si>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</si>
  <si>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</si>
  <si>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</si>
  <si>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</si>
  <si>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</si>
  <si>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IT-BH</t>
  </si>
  <si>
    <t>Backhaul IT contract</t>
  </si>
  <si>
    <t>Buy</t>
  </si>
  <si>
    <t>Offshore and Onshore are IT rates</t>
  </si>
  <si>
    <t>Equitrans</t>
  </si>
  <si>
    <t>Storage SS-3</t>
  </si>
  <si>
    <t>Commodity</t>
  </si>
  <si>
    <t>Storage Transport Service STS-1</t>
  </si>
  <si>
    <t>Transport Leidy to Bug Contract 2.2173  Sheet No 37E  FTA-R</t>
  </si>
  <si>
    <t>ACA + GRI</t>
  </si>
  <si>
    <t>No Great Plains Surcharge</t>
  </si>
  <si>
    <t>Z6 NY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</si>
  <si>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</si>
  <si>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</si>
  <si>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</si>
  <si>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</si>
  <si>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</si>
  <si>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</si>
  <si>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</si>
  <si>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</si>
  <si>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</si>
  <si>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</si>
  <si>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</si>
  <si>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</si>
  <si>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</si>
  <si>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</si>
  <si>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</si>
  <si>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</si>
  <si>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</si>
  <si>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</si>
  <si>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</si>
  <si>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</si>
  <si>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</si>
  <si>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</si>
  <si>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</si>
  <si>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</si>
  <si>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</si>
  <si>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</si>
  <si>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</si>
  <si>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</si>
  <si>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</si>
  <si>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</si>
  <si>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</si>
  <si>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</si>
  <si>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</si>
  <si>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</si>
  <si>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</si>
  <si>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</si>
  <si>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</si>
  <si>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</si>
  <si>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</si>
  <si>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</si>
  <si>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Tenn 800</t>
  </si>
  <si>
    <t>Bridgeline Gas Distribution Co. LLC</t>
  </si>
  <si>
    <t>1-70-185</t>
  </si>
  <si>
    <t>Set up in Sitara</t>
  </si>
  <si>
    <t>FGT, Trco, &amp; Lig</t>
  </si>
  <si>
    <t>Transport expense using Prices shown below</t>
  </si>
  <si>
    <t>Items have been checked</t>
  </si>
  <si>
    <t>Need to verify</t>
  </si>
  <si>
    <t>Reliant - Entex</t>
  </si>
  <si>
    <t>FS-MA</t>
  </si>
  <si>
    <t>Winter Fuel Dec-Mar</t>
  </si>
  <si>
    <t>I00454</t>
  </si>
  <si>
    <t>fuel(.22)</t>
  </si>
  <si>
    <t>fuel(2.68)</t>
  </si>
  <si>
    <t>fuel(1.69)</t>
  </si>
  <si>
    <t>Fuel No 40</t>
  </si>
  <si>
    <t>Rates 21</t>
  </si>
  <si>
    <t>Marco</t>
  </si>
  <si>
    <t>TETCO FT Commodity using April - November Fuels</t>
  </si>
  <si>
    <t>ENA</t>
  </si>
  <si>
    <t>Disc It</t>
  </si>
  <si>
    <t>Iroquois</t>
  </si>
  <si>
    <t>R-1250-99</t>
  </si>
  <si>
    <t>Park &amp; Loan</t>
  </si>
  <si>
    <t>R-1250-01</t>
  </si>
  <si>
    <t>Brazos 105</t>
  </si>
  <si>
    <t>It to M2</t>
  </si>
  <si>
    <t>It to M3</t>
  </si>
  <si>
    <t>Rates No  42</t>
  </si>
  <si>
    <t>CDS and FT-1</t>
  </si>
  <si>
    <t>Est demand</t>
  </si>
  <si>
    <t>Act demand</t>
  </si>
  <si>
    <t>CES</t>
  </si>
  <si>
    <t>entex strg</t>
  </si>
  <si>
    <t>reimbursed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</si>
  <si>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</si>
  <si>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</si>
  <si>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</si>
  <si>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</si>
  <si>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</si>
  <si>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</si>
  <si>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</si>
  <si>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</si>
  <si>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</si>
  <si>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</si>
  <si>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</si>
  <si>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</si>
  <si>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</si>
  <si>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</si>
  <si>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</si>
  <si>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Trco</t>
  </si>
  <si>
    <t>zone 1</t>
  </si>
  <si>
    <t xml:space="preserve">LGS </t>
  </si>
  <si>
    <t>LGS strg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</si>
  <si>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</si>
  <si>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</si>
  <si>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</si>
  <si>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</si>
  <si>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</si>
  <si>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</si>
  <si>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</si>
  <si>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</si>
  <si>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</si>
  <si>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</si>
  <si>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New Sitara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</si>
  <si>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</si>
  <si>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</si>
  <si>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</si>
  <si>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</si>
  <si>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</si>
  <si>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</si>
  <si>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Mainline capacity</t>
  </si>
  <si>
    <t>24,000 - NGPL Chalkely, 16,000 - Venice</t>
  </si>
  <si>
    <t>20,000 - Sonat Shadyside, 20,000 - FGT</t>
  </si>
  <si>
    <t>Onshore capacity - 16,000 of Venice capacity.</t>
  </si>
  <si>
    <t>8,285 - Mobil Lowry, 8,774 - Erath, 3,200 - Henry, 5,395 - Venice</t>
  </si>
  <si>
    <t>801 Leach</t>
  </si>
  <si>
    <t>CES/Agency</t>
  </si>
  <si>
    <t>demand</t>
  </si>
  <si>
    <t>Col Gas</t>
  </si>
  <si>
    <t>Broad run</t>
  </si>
  <si>
    <t>CALP</t>
  </si>
  <si>
    <t>Type</t>
  </si>
  <si>
    <t>FTS</t>
  </si>
  <si>
    <t>Tetco</t>
  </si>
  <si>
    <t>St 65</t>
  </si>
  <si>
    <t>Evergreen</t>
  </si>
  <si>
    <t>all</t>
  </si>
  <si>
    <t>1.1501</t>
  </si>
  <si>
    <t>CES IT Contract</t>
  </si>
  <si>
    <t>Total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</si>
  <si>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</si>
  <si>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</si>
  <si>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</si>
  <si>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</si>
  <si>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</si>
  <si>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</si>
  <si>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</si>
  <si>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</si>
  <si>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</si>
  <si>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</si>
  <si>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</si>
  <si>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</si>
  <si>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</si>
  <si>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</si>
  <si>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</si>
  <si>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</si>
  <si>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</si>
  <si>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</si>
  <si>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</si>
  <si>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fuel(1.31)</t>
  </si>
  <si>
    <t>Tenn Net 284</t>
  </si>
  <si>
    <t>Tenn +GRI</t>
  </si>
  <si>
    <t>Iroq -GRI</t>
  </si>
  <si>
    <t>Summer Apr-Nov</t>
  </si>
  <si>
    <t>Updtd Fuel 12/1/2000</t>
  </si>
  <si>
    <t>fuel(.58)</t>
  </si>
  <si>
    <t>Stingray</t>
  </si>
  <si>
    <t>Updated eff 3/1/2000</t>
  </si>
  <si>
    <t>KO Transmission</t>
  </si>
  <si>
    <t>019</t>
  </si>
  <si>
    <t>Acquired from CES</t>
  </si>
  <si>
    <t>Cap Auction</t>
  </si>
  <si>
    <t>19E</t>
  </si>
  <si>
    <t>Mainline</t>
  </si>
  <si>
    <t>Central Texas</t>
  </si>
  <si>
    <t>Energynorth</t>
  </si>
  <si>
    <t>Y</t>
  </si>
  <si>
    <t>Rates update 1/1/2000</t>
  </si>
  <si>
    <t>Tenn NET 284</t>
  </si>
  <si>
    <t>CNG Fuel</t>
  </si>
  <si>
    <t xml:space="preserve">             Texas Gas FT Commodity</t>
  </si>
  <si>
    <t>CGAS Fuel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</si>
  <si>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</si>
  <si>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</si>
  <si>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</si>
  <si>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</si>
  <si>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</si>
  <si>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</si>
  <si>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</si>
  <si>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</si>
  <si>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</si>
  <si>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</si>
  <si>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</si>
  <si>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</si>
  <si>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</si>
  <si>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</si>
  <si>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</si>
  <si>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</si>
  <si>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</si>
  <si>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</si>
  <si>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</si>
  <si>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Rates No 14</t>
  </si>
  <si>
    <t>Updtd Rates 3/1/00</t>
  </si>
  <si>
    <t>Fuel No 15</t>
  </si>
  <si>
    <t>Disc IT</t>
  </si>
  <si>
    <t>Rates 18 &amp; 19</t>
  </si>
  <si>
    <t>Texas Gas</t>
  </si>
  <si>
    <t>(6-6)  FT</t>
  </si>
  <si>
    <t>NFG</t>
  </si>
  <si>
    <t>Rates No 8</t>
  </si>
  <si>
    <t>Rates update 5/1/2000</t>
  </si>
  <si>
    <t>NFGS</t>
  </si>
  <si>
    <t>Zn 1</t>
  </si>
  <si>
    <t>Zn 2</t>
  </si>
  <si>
    <t>Zn 3</t>
  </si>
  <si>
    <t>fuel(2.00)</t>
  </si>
  <si>
    <t>Fuel No.8,</t>
  </si>
  <si>
    <t>All Fuel is 0.02%</t>
  </si>
  <si>
    <t>Niagara Zone 3</t>
  </si>
  <si>
    <t>TGP/NFG Niagara</t>
  </si>
  <si>
    <t xml:space="preserve">      (5-5) FT</t>
  </si>
  <si>
    <t>TGP Backhaul</t>
  </si>
  <si>
    <t>fuel(0.005)</t>
  </si>
  <si>
    <t>Zn 3 - 65</t>
  </si>
  <si>
    <t>to:  St. 65</t>
  </si>
  <si>
    <t xml:space="preserve">   TETCO </t>
  </si>
  <si>
    <t xml:space="preserve">Buy </t>
  </si>
  <si>
    <t>Onshore - authorized overrun</t>
  </si>
  <si>
    <t>Trco St 30</t>
  </si>
  <si>
    <t>Term=yr to yr, evergreen with 6 month termination notice.  ENA acquired this from Access Energy in 1993</t>
  </si>
  <si>
    <t>ENA acquired this from Access Energy in 1993</t>
  </si>
  <si>
    <t>Demand charge billed on receipt volume</t>
  </si>
  <si>
    <t>Reimbursements</t>
  </si>
  <si>
    <t>Net Demand</t>
  </si>
  <si>
    <t xml:space="preserve">           Algonquin</t>
  </si>
  <si>
    <t xml:space="preserve">    Commodity and Fuel</t>
  </si>
  <si>
    <t>801 - Leach</t>
  </si>
  <si>
    <t>4 BG&amp;E</t>
  </si>
  <si>
    <t>Belfry</t>
  </si>
  <si>
    <t>(6-5)  FT</t>
  </si>
  <si>
    <t>13.36, see deal 224102</t>
  </si>
  <si>
    <t>La Gas Serv</t>
  </si>
  <si>
    <t>Tiered- FGT-.02/LIG .015/Tran .01</t>
  </si>
  <si>
    <t>Month</t>
  </si>
  <si>
    <t>93036/229817</t>
  </si>
  <si>
    <t>Henry Hub</t>
  </si>
  <si>
    <t>23n-2</t>
  </si>
  <si>
    <t>CNR</t>
  </si>
  <si>
    <t>cnr02</t>
  </si>
  <si>
    <t>23-5</t>
  </si>
  <si>
    <t>A-To Pull Nelson's CNR Buy</t>
  </si>
  <si>
    <t>B-To Pull Nelson's CNR Buy</t>
  </si>
  <si>
    <t>C-To Pull Nelson's CNR Buy</t>
  </si>
  <si>
    <t>TRCO IT Rates</t>
  </si>
  <si>
    <t>Note:  2-2, 2-3, and 3-3 rates do not include surcharges.</t>
  </si>
  <si>
    <t>Chandeleur</t>
  </si>
  <si>
    <t>CI-30</t>
  </si>
  <si>
    <t>FGT</t>
  </si>
  <si>
    <t>Sea Robin</t>
  </si>
  <si>
    <t>???</t>
  </si>
  <si>
    <t>FSRP3</t>
  </si>
  <si>
    <t>Reimbursements/CES</t>
  </si>
  <si>
    <t>TETCO IT</t>
  </si>
  <si>
    <t>Agency/St of FGT</t>
  </si>
  <si>
    <t xml:space="preserve">Buy  </t>
  </si>
  <si>
    <t>Koch</t>
  </si>
  <si>
    <t>Entergy New Orleans</t>
  </si>
  <si>
    <t>Nopsi</t>
  </si>
  <si>
    <t>All receipts</t>
  </si>
  <si>
    <t>Seasonal MDQ, Nov-Mar 85,000 dth, April 42,500 dth, May-Sep 29,750 dth, Oct 42,500 dth</t>
  </si>
  <si>
    <t>145753 / 233132</t>
  </si>
  <si>
    <t>Fuel 44</t>
  </si>
  <si>
    <t>IGS</t>
  </si>
  <si>
    <t>Rates Eff 7/1/00</t>
  </si>
  <si>
    <t>#29788, Belfry</t>
  </si>
  <si>
    <t>#24770, Mainline capacity</t>
  </si>
  <si>
    <t>#25471, Onshore capacity - 5,395 venice capacity.</t>
  </si>
  <si>
    <t>Nov 1 - Mar 31</t>
  </si>
  <si>
    <t>Winter Fuel</t>
  </si>
  <si>
    <t>Winter Fuel Nov-Mar</t>
  </si>
  <si>
    <t xml:space="preserve">    "ELA Rate Assumes $0.0622 'IT'"</t>
  </si>
  <si>
    <t>FT-Niag to Leidy</t>
  </si>
  <si>
    <t>8107  Evangeline</t>
  </si>
  <si>
    <t>8046  mamou</t>
  </si>
  <si>
    <t>B00693-033141</t>
  </si>
  <si>
    <t>H02262</t>
  </si>
  <si>
    <t>A02353</t>
  </si>
  <si>
    <t>ISS</t>
  </si>
  <si>
    <t>IAS</t>
  </si>
  <si>
    <t>Use when borrowing gas then paying back.</t>
  </si>
  <si>
    <t>Use when parking gas first then withdrawing.</t>
  </si>
  <si>
    <t xml:space="preserve"> 312309 / 362289</t>
  </si>
  <si>
    <t>Dominion SP</t>
  </si>
  <si>
    <t>Egan Storage</t>
  </si>
  <si>
    <t>ENA-00001</t>
  </si>
  <si>
    <t>(1-3) IT</t>
  </si>
  <si>
    <t>m/l ITS2</t>
  </si>
  <si>
    <t>Leach FT1</t>
  </si>
  <si>
    <t>(5-4) IT</t>
  </si>
  <si>
    <t>(1-4) IT</t>
  </si>
  <si>
    <t>(0-3)  IT</t>
  </si>
  <si>
    <t>(6-5) IT</t>
  </si>
  <si>
    <t>(1-5) IT</t>
  </si>
  <si>
    <t>(5-6) IT</t>
  </si>
  <si>
    <t>(6-6) IT</t>
  </si>
  <si>
    <t>(0-4)  IT</t>
  </si>
  <si>
    <t>(6-4)  FT</t>
  </si>
  <si>
    <t>8T001N</t>
  </si>
  <si>
    <t>8T001S</t>
  </si>
  <si>
    <t>8G001N</t>
  </si>
  <si>
    <t>8G001S</t>
  </si>
  <si>
    <t>Reimbursement captured on sales ticket 548711</t>
  </si>
  <si>
    <t>Leidy-Doyle</t>
  </si>
  <si>
    <t>St 210-Doyle</t>
  </si>
  <si>
    <t>(6-4) IT</t>
  </si>
  <si>
    <t>(6-3) IT</t>
  </si>
  <si>
    <t>(4-5) it</t>
  </si>
  <si>
    <t>#12479 - Cook School</t>
  </si>
  <si>
    <t>Z4 Cambridge #020064, and Dungannon #020060</t>
  </si>
  <si>
    <t>Fuel Waiver</t>
  </si>
  <si>
    <t>Fuel discounted to .5%</t>
  </si>
  <si>
    <t>(5-3) IT</t>
  </si>
  <si>
    <t>Ft/It combo</t>
  </si>
  <si>
    <t>Rates No 23A &amp; 22</t>
  </si>
  <si>
    <t>(0-6)  IT</t>
  </si>
  <si>
    <t>(1-6) IT</t>
  </si>
  <si>
    <t>(4-6) IT</t>
  </si>
  <si>
    <t>Leidy-Emporia</t>
  </si>
  <si>
    <t>Leidy to Emporia</t>
  </si>
  <si>
    <t>Leidy to AGL</t>
  </si>
  <si>
    <t>Leidy to Doyle</t>
  </si>
  <si>
    <t>St 210 to Doyle</t>
  </si>
  <si>
    <t>Leidy-AGL</t>
  </si>
  <si>
    <t>Ormet</t>
  </si>
  <si>
    <t>(0-0) FT special</t>
  </si>
  <si>
    <t>(0-1) FT special</t>
  </si>
  <si>
    <t>(L-L) FT special</t>
  </si>
  <si>
    <t>(1-1) FT special</t>
  </si>
  <si>
    <t>(1-2) FT special</t>
  </si>
  <si>
    <t>(1-3) FT special</t>
  </si>
  <si>
    <t>(0-2) FT special</t>
  </si>
  <si>
    <t>(0-3) FT special</t>
  </si>
  <si>
    <t>special rates per victoria versen</t>
  </si>
  <si>
    <t>TENNESSEE GAS PIPELINE: SPECIAL TRANS. RATES</t>
  </si>
  <si>
    <t>FEBRUARY, 2001</t>
  </si>
  <si>
    <t>Updtd Rates 2/1/2001</t>
  </si>
  <si>
    <t>Note:</t>
  </si>
  <si>
    <t>Effective 2/1/01</t>
  </si>
  <si>
    <t>Tenn contract with all receipts and deliveries in Zones 0, 1, &amp; 2.  Only deliveries to Broad Run allowed in Zone 3</t>
  </si>
  <si>
    <t>MDQ= 144,000 dt.</t>
  </si>
  <si>
    <t>See deal 595311</t>
  </si>
  <si>
    <t>2/1/2001   Transco fuels change effective 4/1/2001</t>
  </si>
  <si>
    <t>Receipt</t>
  </si>
  <si>
    <t>Delivery</t>
  </si>
  <si>
    <t>Zone 4A to Zone 4A = .59%</t>
  </si>
  <si>
    <t>Summer Fuel Apr-Nov</t>
  </si>
  <si>
    <t>Book</t>
  </si>
  <si>
    <t>TP1</t>
  </si>
  <si>
    <t>Gulf4</t>
  </si>
  <si>
    <t>Gulf2</t>
  </si>
  <si>
    <t>Gulf3</t>
  </si>
  <si>
    <t>TP2</t>
  </si>
  <si>
    <t>Tp1</t>
  </si>
  <si>
    <t>TP3</t>
  </si>
  <si>
    <t>Rates eff 4/1/2001</t>
  </si>
  <si>
    <t>Rates No 42</t>
  </si>
  <si>
    <t>Updated 12/1/200</t>
  </si>
  <si>
    <t>Rates eff 1/1/2001</t>
  </si>
  <si>
    <t>FT SL-SL</t>
  </si>
  <si>
    <t>FR SL-4</t>
  </si>
  <si>
    <t>FT 1-4</t>
  </si>
  <si>
    <t>FT SL-1</t>
  </si>
  <si>
    <t>FT 1-SL</t>
  </si>
  <si>
    <t>Updated eff 1/1/2001</t>
  </si>
  <si>
    <t>Summer Fuel Apr-Oct</t>
  </si>
  <si>
    <t>EFFECTIVE 4/1/01</t>
  </si>
  <si>
    <t>Updtd Rates 3/14/01 sg</t>
  </si>
  <si>
    <t>fuel(.552)</t>
  </si>
  <si>
    <t>fuel(.697)</t>
  </si>
  <si>
    <t>fuel(2.902)</t>
  </si>
  <si>
    <t>Eff 4/1/01</t>
  </si>
  <si>
    <t>Cap Rel</t>
  </si>
  <si>
    <t>Purchase</t>
  </si>
  <si>
    <t>CDC</t>
  </si>
  <si>
    <t>Zone 1</t>
  </si>
  <si>
    <t>Zone 0</t>
  </si>
  <si>
    <t>TGT SL</t>
  </si>
  <si>
    <t>tetco</t>
  </si>
  <si>
    <t>m3</t>
  </si>
  <si>
    <t>Utos</t>
  </si>
  <si>
    <t>Disc</t>
  </si>
  <si>
    <t>access</t>
  </si>
  <si>
    <t>Discounted IT commocity to $.1122</t>
  </si>
  <si>
    <t>707486/709458</t>
  </si>
  <si>
    <t>INCLUDES GRI ($0.0070) and Great Plains Surcharge ($0.0097)</t>
  </si>
  <si>
    <t>705565/705791/705917</t>
  </si>
  <si>
    <t>T0174180000</t>
  </si>
  <si>
    <t>#200103000030</t>
  </si>
  <si>
    <t>700422/702561/703030</t>
  </si>
  <si>
    <t>T0174190000</t>
  </si>
  <si>
    <t>#200103000043</t>
  </si>
  <si>
    <t>700431/702580/703033</t>
  </si>
  <si>
    <t>East Desk Transportation Capacity for May , 2001</t>
  </si>
  <si>
    <t xml:space="preserve">ENA </t>
  </si>
  <si>
    <t>6/31/01</t>
  </si>
  <si>
    <t>640975/637893/637892/637891</t>
  </si>
  <si>
    <t>Storage</t>
  </si>
  <si>
    <t>#23287</t>
  </si>
  <si>
    <t>Dec - Mar</t>
  </si>
  <si>
    <t>EES</t>
  </si>
  <si>
    <t>Prod</t>
  </si>
  <si>
    <t>Z3</t>
  </si>
  <si>
    <t>FSNG101</t>
  </si>
  <si>
    <t>Florida Z2</t>
  </si>
  <si>
    <t>Florida Z3</t>
  </si>
  <si>
    <t>fuel (2.4%)</t>
  </si>
  <si>
    <t>FT commodity</t>
  </si>
  <si>
    <t>FTcommodity</t>
  </si>
  <si>
    <t>Florida Z2 IT</t>
  </si>
  <si>
    <t>IT commodity</t>
  </si>
  <si>
    <t>Florida Z3 IT</t>
  </si>
  <si>
    <t>ITS</t>
  </si>
  <si>
    <t xml:space="preserve">         Florida Gas Transmission</t>
  </si>
  <si>
    <t>(3-4) FT</t>
  </si>
  <si>
    <t>St 85</t>
  </si>
  <si>
    <t>FTS1</t>
  </si>
  <si>
    <t>FTS2</t>
  </si>
  <si>
    <t>Florida Z2-FTS1</t>
  </si>
  <si>
    <t>Florida Z3 -FTS1</t>
  </si>
  <si>
    <t>Florida Z3 -FTS2</t>
  </si>
  <si>
    <t>Florida Z2 -FTS2</t>
  </si>
  <si>
    <t>Any Zone-Market (z2 $)</t>
  </si>
  <si>
    <t>Any Zone-Market (z3 $)</t>
  </si>
  <si>
    <t>Z1</t>
  </si>
  <si>
    <t>Z6 NY - #6386</t>
  </si>
  <si>
    <t>#23419</t>
  </si>
  <si>
    <t>-.30</t>
  </si>
  <si>
    <t>#23495</t>
  </si>
  <si>
    <t>National Fuel</t>
  </si>
  <si>
    <t>Niag to Leidy</t>
  </si>
  <si>
    <t>Leidy -Z6</t>
  </si>
  <si>
    <t>Total Transport</t>
  </si>
  <si>
    <t>Niag</t>
  </si>
  <si>
    <t>Ny</t>
  </si>
  <si>
    <t>NYMX</t>
  </si>
  <si>
    <t>Jun</t>
  </si>
  <si>
    <t>Jul</t>
  </si>
  <si>
    <t>Aug</t>
  </si>
  <si>
    <t>Sep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</si>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</sst>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3" formatCode="_(* #,##0.0000_);_(* \(#,##0.0000\);_(* &quot;-&quot;??_);_(@_)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  <numFmt numFmtId="198" formatCode="0.00000"/>
    <numFmt numFmtId="202" formatCode="&quot;$&quot;#,##0.000"/>
  </numFmts>
  <fonts count="26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3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0" fontId="0" fillId="0" borderId="0" xfId="0" applyFill="1" applyBorder="1"/>
    <xf numFmtId="0" fontId="13" fillId="0" borderId="0" xfId="0" applyFont="1" applyFill="1"/>
    <xf numFmtId="0" fontId="13" fillId="0" borderId="0" xfId="0" applyNumberFormat="1" applyFont="1" applyFill="1"/>
    <xf numFmtId="0" fontId="13" fillId="0" borderId="0" xfId="0" applyFont="1" applyFill="1" applyAlignment="1">
      <alignment horizontal="left"/>
    </xf>
    <xf numFmtId="38" fontId="13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center"/>
    </xf>
    <xf numFmtId="14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3" fillId="0" borderId="0" xfId="1" applyNumberFormat="1" applyFont="1" applyFill="1" applyAlignment="1">
      <alignment horizontal="center"/>
    </xf>
    <xf numFmtId="175" fontId="13" fillId="0" borderId="0" xfId="1" applyNumberFormat="1" applyFont="1" applyFill="1"/>
    <xf numFmtId="177" fontId="13" fillId="0" borderId="0" xfId="1" applyNumberFormat="1" applyFont="1" applyFill="1"/>
    <xf numFmtId="177" fontId="13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43" fontId="13" fillId="0" borderId="4" xfId="1" applyFont="1" applyFill="1" applyBorder="1"/>
    <xf numFmtId="175" fontId="13" fillId="0" borderId="5" xfId="1" applyNumberFormat="1" applyFont="1" applyFill="1" applyBorder="1"/>
    <xf numFmtId="0" fontId="13" fillId="0" borderId="6" xfId="0" applyFont="1" applyFill="1" applyBorder="1"/>
    <xf numFmtId="175" fontId="13" fillId="0" borderId="7" xfId="1" applyNumberFormat="1" applyFont="1" applyFill="1" applyBorder="1"/>
    <xf numFmtId="0" fontId="13" fillId="0" borderId="0" xfId="0" applyFont="1" applyFill="1" applyBorder="1"/>
    <xf numFmtId="175" fontId="13" fillId="0" borderId="0" xfId="1" applyNumberFormat="1" applyFont="1" applyFill="1" applyBorder="1"/>
    <xf numFmtId="175" fontId="13" fillId="0" borderId="0" xfId="0" applyNumberFormat="1" applyFont="1" applyFill="1"/>
    <xf numFmtId="43" fontId="13" fillId="0" borderId="0" xfId="1" applyFont="1" applyFill="1" applyAlignment="1">
      <alignment horizontal="right"/>
    </xf>
    <xf numFmtId="187" fontId="13" fillId="0" borderId="0" xfId="2" applyNumberFormat="1" applyFont="1" applyFill="1"/>
    <xf numFmtId="0" fontId="13" fillId="0" borderId="0" xfId="0" applyFont="1" applyFill="1" applyAlignment="1">
      <alignment horizontal="right"/>
    </xf>
    <xf numFmtId="175" fontId="13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4" xfId="0" applyFont="1" applyFill="1" applyBorder="1"/>
    <xf numFmtId="174" fontId="1" fillId="0" borderId="8" xfId="0" applyNumberFormat="1" applyFont="1" applyFill="1" applyBorder="1"/>
    <xf numFmtId="0" fontId="1" fillId="0" borderId="0" xfId="0" applyFont="1" applyFill="1" applyBorder="1"/>
    <xf numFmtId="174" fontId="0" fillId="0" borderId="9" xfId="0" applyNumberFormat="1" applyFill="1" applyBorder="1"/>
    <xf numFmtId="168" fontId="0" fillId="0" borderId="8" xfId="0" applyNumberFormat="1" applyFill="1" applyBorder="1"/>
    <xf numFmtId="168" fontId="0" fillId="0" borderId="0" xfId="0" applyNumberFormat="1" applyFill="1" applyBorder="1"/>
    <xf numFmtId="168" fontId="11" fillId="0" borderId="8" xfId="0" applyNumberFormat="1" applyFont="1" applyFill="1" applyBorder="1"/>
    <xf numFmtId="168" fontId="11" fillId="0" borderId="0" xfId="0" applyNumberFormat="1" applyFont="1" applyFill="1" applyBorder="1"/>
    <xf numFmtId="0" fontId="0" fillId="0" borderId="9" xfId="0" applyFill="1" applyBorder="1"/>
    <xf numFmtId="168" fontId="1" fillId="0" borderId="8" xfId="0" applyNumberFormat="1" applyFont="1" applyFill="1" applyBorder="1"/>
    <xf numFmtId="168" fontId="1" fillId="0" borderId="0" xfId="0" applyNumberFormat="1" applyFont="1" applyFill="1" applyBorder="1"/>
    <xf numFmtId="0" fontId="9" fillId="0" borderId="9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8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3" fillId="0" borderId="0" xfId="1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187" fontId="13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0" xfId="0" applyFont="1" applyFill="1" applyBorder="1"/>
    <xf numFmtId="0" fontId="13" fillId="0" borderId="11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left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3" fillId="0" borderId="3" xfId="0" applyFont="1" applyFill="1" applyBorder="1"/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167" fontId="0" fillId="0" borderId="0" xfId="2" applyNumberFormat="1" applyFont="1" applyFill="1"/>
    <xf numFmtId="0" fontId="1" fillId="0" borderId="5" xfId="0" applyFont="1" applyFill="1" applyBorder="1"/>
    <xf numFmtId="174" fontId="10" fillId="0" borderId="9" xfId="0" applyNumberFormat="1" applyFont="1" applyFill="1" applyBorder="1"/>
    <xf numFmtId="0" fontId="1" fillId="0" borderId="8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7" fontId="0" fillId="0" borderId="0" xfId="0" applyNumberFormat="1" applyFill="1"/>
    <xf numFmtId="16" fontId="0" fillId="0" borderId="0" xfId="0" applyNumberFormat="1" applyFill="1"/>
    <xf numFmtId="193" fontId="1" fillId="0" borderId="8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8" xfId="2" applyNumberFormat="1" applyFont="1" applyFill="1" applyBorder="1" applyAlignment="1"/>
    <xf numFmtId="167" fontId="13" fillId="0" borderId="0" xfId="2" applyNumberFormat="1" applyFont="1" applyFill="1" applyAlignment="1">
      <alignment horizontal="center"/>
    </xf>
    <xf numFmtId="167" fontId="13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168" fontId="0" fillId="5" borderId="8" xfId="0" applyNumberFormat="1" applyFill="1" applyBorder="1"/>
    <xf numFmtId="168" fontId="11" fillId="5" borderId="8" xfId="0" applyNumberFormat="1" applyFont="1" applyFill="1" applyBorder="1"/>
    <xf numFmtId="168" fontId="1" fillId="5" borderId="8" xfId="0" applyNumberFormat="1" applyFont="1" applyFill="1" applyBorder="1"/>
    <xf numFmtId="168" fontId="0" fillId="5" borderId="0" xfId="0" applyNumberFormat="1" applyFill="1" applyBorder="1"/>
    <xf numFmtId="168" fontId="11" fillId="5" borderId="0" xfId="0" applyNumberFormat="1" applyFont="1" applyFill="1" applyBorder="1"/>
    <xf numFmtId="168" fontId="1" fillId="5" borderId="0" xfId="0" applyNumberFormat="1" applyFont="1" applyFill="1" applyBorder="1"/>
    <xf numFmtId="174" fontId="1" fillId="5" borderId="0" xfId="0" applyNumberFormat="1" applyFont="1" applyFill="1" applyBorder="1"/>
    <xf numFmtId="168" fontId="2" fillId="5" borderId="0" xfId="0" applyNumberFormat="1" applyFont="1" applyFill="1" applyBorder="1"/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165" fontId="13" fillId="2" borderId="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0" xfId="0" applyFont="1" applyFill="1" applyBorder="1" applyAlignment="1">
      <alignment horizontal="left"/>
    </xf>
    <xf numFmtId="174" fontId="10" fillId="2" borderId="9" xfId="0" applyNumberFormat="1" applyFont="1" applyFill="1" applyBorder="1"/>
    <xf numFmtId="174" fontId="1" fillId="2" borderId="8" xfId="0" applyNumberFormat="1" applyFont="1" applyFill="1" applyBorder="1"/>
    <xf numFmtId="168" fontId="0" fillId="2" borderId="9" xfId="0" applyNumberFormat="1" applyFill="1" applyBorder="1"/>
    <xf numFmtId="168" fontId="0" fillId="2" borderId="8" xfId="0" applyNumberFormat="1" applyFill="1" applyBorder="1"/>
    <xf numFmtId="168" fontId="11" fillId="2" borderId="8" xfId="0" applyNumberFormat="1" applyFont="1" applyFill="1" applyBorder="1"/>
    <xf numFmtId="168" fontId="1" fillId="2" borderId="8" xfId="0" applyNumberFormat="1" applyFont="1" applyFill="1" applyBorder="1"/>
    <xf numFmtId="174" fontId="10" fillId="2" borderId="4" xfId="0" applyNumberFormat="1" applyFont="1" applyFill="1" applyBorder="1"/>
    <xf numFmtId="174" fontId="1" fillId="2" borderId="5" xfId="0" applyNumberFormat="1" applyFont="1" applyFill="1" applyBorder="1"/>
    <xf numFmtId="168" fontId="2" fillId="2" borderId="8" xfId="0" applyNumberFormat="1" applyFont="1" applyFill="1" applyBorder="1"/>
    <xf numFmtId="168" fontId="0" fillId="2" borderId="6" xfId="0" applyNumberFormat="1" applyFill="1" applyBorder="1"/>
    <xf numFmtId="168" fontId="1" fillId="2" borderId="7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0" fontId="13" fillId="2" borderId="0" xfId="0" applyFont="1" applyFill="1" applyBorder="1"/>
    <xf numFmtId="0" fontId="9" fillId="2" borderId="4" xfId="0" applyFont="1" applyFill="1" applyBorder="1"/>
    <xf numFmtId="0" fontId="1" fillId="2" borderId="5" xfId="0" applyFont="1" applyFill="1" applyBorder="1"/>
    <xf numFmtId="174" fontId="0" fillId="2" borderId="9" xfId="0" applyNumberFormat="1" applyFill="1" applyBorder="1"/>
    <xf numFmtId="0" fontId="0" fillId="2" borderId="9" xfId="0" applyFill="1" applyBorder="1"/>
    <xf numFmtId="0" fontId="13" fillId="5" borderId="0" xfId="0" applyFont="1" applyFill="1" applyBorder="1"/>
    <xf numFmtId="0" fontId="9" fillId="5" borderId="4" xfId="0" applyFont="1" applyFill="1" applyBorder="1"/>
    <xf numFmtId="0" fontId="1" fillId="5" borderId="5" xfId="0" applyFont="1" applyFill="1" applyBorder="1"/>
    <xf numFmtId="174" fontId="0" fillId="5" borderId="9" xfId="0" applyNumberFormat="1" applyFill="1" applyBorder="1"/>
    <xf numFmtId="0" fontId="0" fillId="5" borderId="9" xfId="0" applyFill="1" applyBorder="1"/>
    <xf numFmtId="0" fontId="12" fillId="5" borderId="0" xfId="0" applyFont="1" applyFill="1"/>
    <xf numFmtId="0" fontId="13" fillId="5" borderId="3" xfId="0" applyFont="1" applyFill="1" applyBorder="1"/>
    <xf numFmtId="187" fontId="13" fillId="0" borderId="0" xfId="2" applyNumberFormat="1" applyFont="1" applyFill="1" applyBorder="1"/>
    <xf numFmtId="197" fontId="13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38" fontId="14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5" fillId="0" borderId="0" xfId="0" applyNumberFormat="1" applyFont="1" applyFill="1" applyAlignment="1">
      <alignment horizontal="left"/>
    </xf>
    <xf numFmtId="16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169" fontId="15" fillId="0" borderId="0" xfId="0" applyNumberFormat="1" applyFont="1" applyFill="1" applyAlignment="1">
      <alignment horizontal="center"/>
    </xf>
    <xf numFmtId="170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right"/>
    </xf>
    <xf numFmtId="0" fontId="15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70" fontId="6" fillId="0" borderId="0" xfId="0" quotePrefix="1" applyNumberFormat="1" applyFont="1" applyFill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44" fontId="6" fillId="0" borderId="0" xfId="2" quotePrefix="1" applyNumberFormat="1" applyFont="1" applyFill="1" applyBorder="1" applyAlignment="1">
      <alignment horizontal="right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5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49" fontId="1" fillId="0" borderId="3" xfId="0" applyNumberFormat="1" applyFont="1" applyFill="1" applyBorder="1" applyAlignment="1">
      <alignment horizontal="center"/>
    </xf>
    <xf numFmtId="0" fontId="13" fillId="0" borderId="0" xfId="0" quotePrefix="1" applyNumberFormat="1" applyFont="1" applyFill="1" applyAlignment="1">
      <alignment horizontal="center"/>
    </xf>
    <xf numFmtId="7" fontId="12" fillId="2" borderId="8" xfId="0" applyNumberFormat="1" applyFont="1" applyFill="1" applyBorder="1" applyAlignment="1"/>
    <xf numFmtId="15" fontId="17" fillId="0" borderId="0" xfId="0" applyNumberFormat="1" applyFont="1" applyFill="1" applyAlignment="1">
      <alignment horizontal="center"/>
    </xf>
    <xf numFmtId="165" fontId="2" fillId="5" borderId="0" xfId="0" applyNumberFormat="1" applyFont="1" applyFill="1" applyBorder="1" applyAlignment="1">
      <alignment horizontal="centerContinuous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13" fillId="0" borderId="12" xfId="0" applyFont="1" applyFill="1" applyBorder="1"/>
    <xf numFmtId="0" fontId="13" fillId="0" borderId="5" xfId="0" applyFont="1" applyFill="1" applyBorder="1"/>
    <xf numFmtId="0" fontId="13" fillId="0" borderId="9" xfId="0" applyFont="1" applyFill="1" applyBorder="1"/>
    <xf numFmtId="0" fontId="6" fillId="0" borderId="0" xfId="0" applyFont="1" applyFill="1" applyBorder="1"/>
    <xf numFmtId="0" fontId="12" fillId="0" borderId="4" xfId="0" applyFont="1" applyFill="1" applyBorder="1"/>
    <xf numFmtId="0" fontId="12" fillId="0" borderId="0" xfId="0" applyFont="1" applyFill="1" applyBorder="1"/>
    <xf numFmtId="0" fontId="12" fillId="0" borderId="4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197" fontId="13" fillId="0" borderId="7" xfId="0" applyNumberFormat="1" applyFont="1" applyFill="1" applyBorder="1"/>
    <xf numFmtId="177" fontId="12" fillId="0" borderId="5" xfId="1" applyNumberFormat="1" applyFont="1" applyFill="1" applyBorder="1"/>
    <xf numFmtId="0" fontId="13" fillId="0" borderId="9" xfId="0" applyFont="1" applyFill="1" applyBorder="1" applyAlignment="1">
      <alignment horizontal="right"/>
    </xf>
    <xf numFmtId="183" fontId="13" fillId="0" borderId="8" xfId="1" applyNumberFormat="1" applyFont="1" applyFill="1" applyBorder="1"/>
    <xf numFmtId="183" fontId="13" fillId="0" borderId="8" xfId="0" applyNumberFormat="1" applyFont="1" applyFill="1" applyBorder="1"/>
    <xf numFmtId="183" fontId="13" fillId="0" borderId="13" xfId="1" applyNumberFormat="1" applyFont="1" applyFill="1" applyBorder="1"/>
    <xf numFmtId="177" fontId="12" fillId="0" borderId="4" xfId="1" applyNumberFormat="1" applyFont="1" applyFill="1" applyBorder="1"/>
    <xf numFmtId="0" fontId="12" fillId="0" borderId="12" xfId="0" applyFont="1" applyFill="1" applyBorder="1" applyAlignment="1">
      <alignment horizontal="centerContinuous"/>
    </xf>
    <xf numFmtId="0" fontId="12" fillId="0" borderId="5" xfId="0" applyFont="1" applyFill="1" applyBorder="1" applyAlignment="1">
      <alignment horizontal="centerContinuous"/>
    </xf>
    <xf numFmtId="177" fontId="13" fillId="0" borderId="9" xfId="1" applyNumberFormat="1" applyFont="1" applyFill="1" applyBorder="1"/>
    <xf numFmtId="177" fontId="13" fillId="0" borderId="0" xfId="1" applyNumberFormat="1" applyFont="1" applyFill="1" applyBorder="1" applyAlignment="1">
      <alignment horizontal="center"/>
    </xf>
    <xf numFmtId="177" fontId="12" fillId="0" borderId="8" xfId="1" applyNumberFormat="1" applyFont="1" applyFill="1" applyBorder="1" applyAlignment="1">
      <alignment horizontal="center"/>
    </xf>
    <xf numFmtId="177" fontId="13" fillId="0" borderId="9" xfId="1" applyNumberFormat="1" applyFont="1" applyFill="1" applyBorder="1" applyAlignment="1">
      <alignment horizontal="right"/>
    </xf>
    <xf numFmtId="175" fontId="13" fillId="0" borderId="0" xfId="1" applyNumberFormat="1" applyFont="1" applyFill="1" applyBorder="1" applyAlignment="1">
      <alignment horizontal="center"/>
    </xf>
    <xf numFmtId="197" fontId="13" fillId="0" borderId="8" xfId="0" applyNumberFormat="1" applyFont="1" applyFill="1" applyBorder="1"/>
    <xf numFmtId="175" fontId="13" fillId="0" borderId="0" xfId="0" applyNumberFormat="1" applyFont="1" applyFill="1" applyBorder="1"/>
    <xf numFmtId="43" fontId="13" fillId="0" borderId="9" xfId="1" applyFont="1" applyFill="1" applyBorder="1" applyAlignment="1">
      <alignment horizontal="right"/>
    </xf>
    <xf numFmtId="175" fontId="13" fillId="0" borderId="0" xfId="1" applyNumberFormat="1" applyFont="1" applyFill="1" applyBorder="1" applyAlignment="1"/>
    <xf numFmtId="43" fontId="13" fillId="0" borderId="6" xfId="1" applyFont="1" applyFill="1" applyBorder="1" applyAlignment="1">
      <alignment horizontal="right"/>
    </xf>
    <xf numFmtId="187" fontId="13" fillId="0" borderId="3" xfId="2" applyNumberFormat="1" applyFont="1" applyFill="1" applyBorder="1"/>
    <xf numFmtId="175" fontId="13" fillId="0" borderId="3" xfId="1" applyNumberFormat="1" applyFont="1" applyFill="1" applyBorder="1"/>
    <xf numFmtId="0" fontId="13" fillId="0" borderId="3" xfId="0" applyFont="1" applyFill="1" applyBorder="1" applyAlignment="1">
      <alignment horizontal="center"/>
    </xf>
    <xf numFmtId="197" fontId="13" fillId="0" borderId="3" xfId="0" applyNumberFormat="1" applyFont="1" applyFill="1" applyBorder="1"/>
    <xf numFmtId="0" fontId="13" fillId="0" borderId="12" xfId="0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center"/>
    </xf>
    <xf numFmtId="197" fontId="13" fillId="0" borderId="7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183" fontId="13" fillId="0" borderId="5" xfId="1" applyNumberFormat="1" applyFont="1" applyFill="1" applyBorder="1" applyAlignment="1">
      <alignment horizontal="center"/>
    </xf>
    <xf numFmtId="15" fontId="22" fillId="0" borderId="0" xfId="2" applyNumberFormat="1" applyFont="1" applyFill="1" applyAlignment="1">
      <alignment horizontal="center"/>
    </xf>
    <xf numFmtId="168" fontId="17" fillId="0" borderId="8" xfId="0" applyNumberFormat="1" applyFont="1" applyFill="1" applyBorder="1"/>
    <xf numFmtId="191" fontId="17" fillId="0" borderId="9" xfId="3" applyNumberFormat="1" applyFont="1" applyFill="1" applyBorder="1"/>
    <xf numFmtId="7" fontId="0" fillId="0" borderId="0" xfId="0" applyNumberFormat="1" applyFill="1" applyBorder="1"/>
    <xf numFmtId="0" fontId="12" fillId="0" borderId="14" xfId="0" applyFont="1" applyFill="1" applyBorder="1"/>
    <xf numFmtId="0" fontId="16" fillId="0" borderId="15" xfId="0" applyFont="1" applyFill="1" applyBorder="1" applyAlignment="1">
      <alignment horizontal="center"/>
    </xf>
    <xf numFmtId="0" fontId="12" fillId="0" borderId="16" xfId="0" applyFont="1" applyFill="1" applyBorder="1"/>
    <xf numFmtId="164" fontId="13" fillId="0" borderId="15" xfId="1" applyNumberFormat="1" applyFont="1" applyFill="1" applyBorder="1"/>
    <xf numFmtId="177" fontId="13" fillId="0" borderId="0" xfId="1" applyNumberFormat="1" applyFont="1" applyFill="1" applyBorder="1" applyAlignment="1">
      <alignment horizontal="right"/>
    </xf>
    <xf numFmtId="0" fontId="13" fillId="0" borderId="17" xfId="0" applyFont="1" applyFill="1" applyBorder="1"/>
    <xf numFmtId="0" fontId="13" fillId="0" borderId="18" xfId="0" applyFont="1" applyFill="1" applyBorder="1"/>
    <xf numFmtId="0" fontId="13" fillId="0" borderId="17" xfId="0" applyFont="1" applyFill="1" applyBorder="1" applyAlignment="1">
      <alignment horizontal="center"/>
    </xf>
    <xf numFmtId="177" fontId="13" fillId="0" borderId="0" xfId="1" quotePrefix="1" applyNumberFormat="1" applyFont="1" applyFill="1" applyBorder="1" applyAlignment="1">
      <alignment horizontal="center"/>
    </xf>
    <xf numFmtId="177" fontId="13" fillId="0" borderId="8" xfId="1" quotePrefix="1" applyNumberFormat="1" applyFont="1" applyFill="1" applyBorder="1" applyAlignment="1">
      <alignment horizontal="center"/>
    </xf>
    <xf numFmtId="175" fontId="13" fillId="0" borderId="8" xfId="1" applyNumberFormat="1" applyFont="1" applyFill="1" applyBorder="1"/>
    <xf numFmtId="177" fontId="13" fillId="0" borderId="8" xfId="1" applyNumberFormat="1" applyFont="1" applyFill="1" applyBorder="1" applyAlignment="1">
      <alignment horizontal="center"/>
    </xf>
    <xf numFmtId="175" fontId="13" fillId="0" borderId="0" xfId="1" quotePrefix="1" applyNumberFormat="1" applyFont="1" applyFill="1" applyBorder="1"/>
    <xf numFmtId="177" fontId="13" fillId="0" borderId="6" xfId="1" applyNumberFormat="1" applyFont="1" applyFill="1" applyBorder="1" applyAlignment="1">
      <alignment horizontal="left"/>
    </xf>
    <xf numFmtId="183" fontId="13" fillId="0" borderId="5" xfId="1" applyNumberFormat="1" applyFont="1" applyFill="1" applyBorder="1"/>
    <xf numFmtId="177" fontId="12" fillId="0" borderId="9" xfId="1" applyNumberFormat="1" applyFont="1" applyFill="1" applyBorder="1"/>
    <xf numFmtId="177" fontId="13" fillId="0" borderId="8" xfId="1" applyNumberFormat="1" applyFont="1" applyFill="1" applyBorder="1"/>
    <xf numFmtId="0" fontId="13" fillId="0" borderId="8" xfId="0" applyFont="1" applyFill="1" applyBorder="1"/>
    <xf numFmtId="177" fontId="13" fillId="0" borderId="9" xfId="1" quotePrefix="1" applyNumberFormat="1" applyFont="1" applyFill="1" applyBorder="1" applyAlignment="1">
      <alignment horizontal="right"/>
    </xf>
    <xf numFmtId="175" fontId="13" fillId="0" borderId="0" xfId="1" quotePrefix="1" applyNumberFormat="1" applyFont="1" applyFill="1" applyBorder="1" applyAlignment="1">
      <alignment horizontal="right"/>
    </xf>
    <xf numFmtId="177" fontId="13" fillId="0" borderId="6" xfId="1" applyNumberFormat="1" applyFont="1" applyFill="1" applyBorder="1"/>
    <xf numFmtId="0" fontId="12" fillId="0" borderId="9" xfId="0" applyFont="1" applyFill="1" applyBorder="1"/>
    <xf numFmtId="43" fontId="13" fillId="0" borderId="0" xfId="0" applyNumberFormat="1" applyFont="1" applyFill="1" applyBorder="1"/>
    <xf numFmtId="43" fontId="13" fillId="0" borderId="8" xfId="0" applyNumberFormat="1" applyFont="1" applyFill="1" applyBorder="1"/>
    <xf numFmtId="0" fontId="12" fillId="0" borderId="6" xfId="0" applyFont="1" applyFill="1" applyBorder="1"/>
    <xf numFmtId="175" fontId="13" fillId="0" borderId="3" xfId="0" applyNumberFormat="1" applyFont="1" applyFill="1" applyBorder="1"/>
    <xf numFmtId="43" fontId="13" fillId="0" borderId="7" xfId="0" applyNumberFormat="1" applyFont="1" applyFill="1" applyBorder="1"/>
    <xf numFmtId="175" fontId="13" fillId="0" borderId="9" xfId="1" applyNumberFormat="1" applyFont="1" applyFill="1" applyBorder="1"/>
    <xf numFmtId="177" fontId="13" fillId="0" borderId="19" xfId="1" applyNumberFormat="1" applyFont="1" applyFill="1" applyBorder="1"/>
    <xf numFmtId="175" fontId="13" fillId="0" borderId="20" xfId="1" applyNumberFormat="1" applyFont="1" applyFill="1" applyBorder="1"/>
    <xf numFmtId="0" fontId="13" fillId="0" borderId="21" xfId="0" applyFont="1" applyFill="1" applyBorder="1"/>
    <xf numFmtId="0" fontId="13" fillId="0" borderId="7" xfId="0" applyFont="1" applyFill="1" applyBorder="1"/>
    <xf numFmtId="0" fontId="8" fillId="0" borderId="17" xfId="0" applyFont="1" applyFill="1" applyBorder="1" applyAlignment="1">
      <alignment horizontal="left"/>
    </xf>
    <xf numFmtId="177" fontId="8" fillId="0" borderId="22" xfId="1" applyNumberFormat="1" applyFont="1" applyFill="1" applyBorder="1" applyAlignment="1">
      <alignment horizontal="right"/>
    </xf>
    <xf numFmtId="175" fontId="13" fillId="0" borderId="0" xfId="0" applyNumberFormat="1" applyFont="1" applyFill="1" applyBorder="1" applyAlignment="1">
      <alignment horizontal="center"/>
    </xf>
    <xf numFmtId="175" fontId="13" fillId="0" borderId="0" xfId="2" applyNumberFormat="1" applyFont="1" applyFill="1" applyBorder="1" applyAlignment="1">
      <alignment horizontal="center"/>
    </xf>
    <xf numFmtId="175" fontId="13" fillId="0" borderId="8" xfId="1" applyNumberFormat="1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15" fontId="22" fillId="0" borderId="23" xfId="2" applyNumberFormat="1" applyFont="1" applyFill="1" applyBorder="1" applyAlignment="1">
      <alignment horizontal="center"/>
    </xf>
    <xf numFmtId="38" fontId="13" fillId="0" borderId="0" xfId="0" applyNumberFormat="1" applyFont="1" applyFill="1"/>
    <xf numFmtId="38" fontId="7" fillId="0" borderId="0" xfId="0" applyNumberFormat="1" applyFont="1" applyFill="1" applyBorder="1" applyAlignment="1">
      <alignment horizontal="left"/>
    </xf>
    <xf numFmtId="170" fontId="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" fontId="15" fillId="0" borderId="1" xfId="0" applyNumberFormat="1" applyFont="1" applyFill="1" applyBorder="1" applyAlignment="1">
      <alignment horizontal="left"/>
    </xf>
    <xf numFmtId="16" fontId="15" fillId="0" borderId="1" xfId="0" applyNumberFormat="1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169" fontId="15" fillId="0" borderId="1" xfId="0" applyNumberFormat="1" applyFont="1" applyFill="1" applyBorder="1" applyAlignment="1">
      <alignment horizontal="center"/>
    </xf>
    <xf numFmtId="170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38" fontId="14" fillId="0" borderId="1" xfId="0" applyNumberFormat="1" applyFont="1" applyFill="1" applyBorder="1" applyAlignment="1">
      <alignment horizontal="right"/>
    </xf>
    <xf numFmtId="38" fontId="15" fillId="0" borderId="1" xfId="0" applyNumberFormat="1" applyFont="1" applyFill="1" applyBorder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6" fontId="14" fillId="0" borderId="1" xfId="0" applyNumberFormat="1" applyFont="1" applyFill="1" applyBorder="1" applyAlignment="1">
      <alignment horizontal="left"/>
    </xf>
    <xf numFmtId="16" fontId="14" fillId="0" borderId="1" xfId="0" applyNumberFormat="1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center"/>
    </xf>
    <xf numFmtId="169" fontId="14" fillId="0" borderId="1" xfId="0" applyNumberFormat="1" applyFont="1" applyFill="1" applyBorder="1" applyAlignment="1">
      <alignment horizontal="center"/>
    </xf>
    <xf numFmtId="170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right"/>
    </xf>
    <xf numFmtId="0" fontId="13" fillId="0" borderId="1" xfId="0" applyFont="1" applyFill="1" applyBorder="1"/>
    <xf numFmtId="10" fontId="14" fillId="0" borderId="1" xfId="0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38" fontId="18" fillId="0" borderId="1" xfId="0" applyNumberFormat="1" applyFont="1" applyFill="1" applyBorder="1" applyAlignment="1">
      <alignment horizontal="right"/>
    </xf>
    <xf numFmtId="167" fontId="6" fillId="0" borderId="0" xfId="2" applyNumberFormat="1" applyFont="1" applyFill="1" applyBorder="1" applyAlignment="1">
      <alignment horizontal="right"/>
    </xf>
    <xf numFmtId="0" fontId="12" fillId="0" borderId="24" xfId="0" applyFont="1" applyFill="1" applyBorder="1"/>
    <xf numFmtId="0" fontId="13" fillId="0" borderId="25" xfId="0" applyFont="1" applyFill="1" applyBorder="1"/>
    <xf numFmtId="0" fontId="13" fillId="0" borderId="25" xfId="0" applyFont="1" applyFill="1" applyBorder="1" applyAlignment="1">
      <alignment horizontal="right"/>
    </xf>
    <xf numFmtId="0" fontId="13" fillId="0" borderId="4" xfId="0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38" fontId="6" fillId="0" borderId="26" xfId="0" applyNumberFormat="1" applyFont="1" applyFill="1" applyBorder="1" applyAlignment="1">
      <alignment horizontal="right"/>
    </xf>
    <xf numFmtId="38" fontId="6" fillId="0" borderId="2" xfId="0" applyNumberFormat="1" applyFont="1" applyFill="1" applyBorder="1" applyAlignment="1">
      <alignment horizontal="right"/>
    </xf>
    <xf numFmtId="12" fontId="6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left"/>
    </xf>
    <xf numFmtId="8" fontId="6" fillId="0" borderId="0" xfId="0" applyNumberFormat="1" applyFont="1" applyFill="1" applyAlignment="1">
      <alignment horizontal="right"/>
    </xf>
    <xf numFmtId="0" fontId="13" fillId="0" borderId="27" xfId="0" applyFont="1" applyFill="1" applyBorder="1" applyAlignment="1">
      <alignment horizontal="right"/>
    </xf>
    <xf numFmtId="187" fontId="13" fillId="0" borderId="28" xfId="2" applyNumberFormat="1" applyFont="1" applyFill="1" applyBorder="1"/>
    <xf numFmtId="0" fontId="23" fillId="0" borderId="0" xfId="0" applyFont="1" applyFill="1" applyAlignment="1">
      <alignment horizontal="center"/>
    </xf>
    <xf numFmtId="202" fontId="24" fillId="0" borderId="27" xfId="0" applyNumberFormat="1" applyFont="1" applyFill="1" applyBorder="1" applyAlignment="1">
      <alignment horizontal="center"/>
    </xf>
    <xf numFmtId="170" fontId="17" fillId="0" borderId="9" xfId="3" applyNumberFormat="1" applyFont="1" applyFill="1" applyBorder="1"/>
    <xf numFmtId="197" fontId="13" fillId="0" borderId="0" xfId="0" applyNumberFormat="1" applyFont="1" applyFill="1" applyBorder="1" applyAlignment="1">
      <alignment horizontal="center"/>
    </xf>
    <xf numFmtId="177" fontId="13" fillId="0" borderId="12" xfId="1" applyNumberFormat="1" applyFont="1" applyFill="1" applyBorder="1" applyAlignment="1">
      <alignment horizontal="center"/>
    </xf>
    <xf numFmtId="177" fontId="13" fillId="0" borderId="5" xfId="1" applyNumberFormat="1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97" fontId="13" fillId="0" borderId="8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Alignment="1">
      <alignment horizontal="center"/>
    </xf>
    <xf numFmtId="0" fontId="11" fillId="2" borderId="8" xfId="0" applyNumberFormat="1" applyFont="1" applyFill="1" applyBorder="1"/>
    <xf numFmtId="164" fontId="11" fillId="2" borderId="8" xfId="0" applyNumberFormat="1" applyFont="1" applyFill="1" applyBorder="1"/>
    <xf numFmtId="191" fontId="17" fillId="0" borderId="0" xfId="3" applyNumberFormat="1" applyFont="1" applyFill="1" applyBorder="1"/>
    <xf numFmtId="0" fontId="0" fillId="6" borderId="0" xfId="0" applyFill="1"/>
    <xf numFmtId="167" fontId="0" fillId="0" borderId="0" xfId="0" applyNumberFormat="1" applyFill="1"/>
    <xf numFmtId="1" fontId="6" fillId="0" borderId="3" xfId="0" quotePrefix="1" applyNumberFormat="1" applyFont="1" applyFill="1" applyBorder="1" applyAlignment="1">
      <alignment horizontal="center"/>
    </xf>
    <xf numFmtId="0" fontId="6" fillId="0" borderId="3" xfId="0" quotePrefix="1" applyNumberFormat="1" applyFont="1" applyFill="1" applyBorder="1" applyAlignment="1">
      <alignment horizontal="right"/>
    </xf>
    <xf numFmtId="0" fontId="6" fillId="0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1" fillId="3" borderId="0" xfId="0" applyFont="1" applyFill="1" applyBorder="1" applyAlignment="1">
      <alignment horizontal="centerContinuous"/>
    </xf>
    <xf numFmtId="0" fontId="12" fillId="3" borderId="0" xfId="0" applyFont="1" applyFill="1" applyBorder="1" applyAlignment="1">
      <alignment horizontal="left"/>
    </xf>
    <xf numFmtId="0" fontId="13" fillId="3" borderId="0" xfId="0" applyFont="1" applyFill="1" applyBorder="1"/>
    <xf numFmtId="165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center"/>
    </xf>
    <xf numFmtId="165" fontId="13" fillId="3" borderId="0" xfId="0" applyNumberFormat="1" applyFont="1" applyFill="1" applyBorder="1" applyAlignment="1">
      <alignment horizontal="center"/>
    </xf>
    <xf numFmtId="0" fontId="12" fillId="3" borderId="3" xfId="0" applyFont="1" applyFill="1" applyBorder="1" applyAlignment="1">
      <alignment horizontal="left"/>
    </xf>
    <xf numFmtId="165" fontId="13" fillId="3" borderId="3" xfId="0" applyNumberFormat="1" applyFont="1" applyFill="1" applyBorder="1" applyAlignment="1">
      <alignment horizontal="center"/>
    </xf>
    <xf numFmtId="0" fontId="12" fillId="3" borderId="0" xfId="0" applyFont="1" applyFill="1"/>
    <xf numFmtId="0" fontId="13" fillId="3" borderId="3" xfId="0" applyFont="1" applyFill="1" applyBorder="1"/>
    <xf numFmtId="198" fontId="11" fillId="2" borderId="8" xfId="0" applyNumberFormat="1" applyFont="1" applyFill="1" applyBorder="1"/>
    <xf numFmtId="164" fontId="6" fillId="0" borderId="0" xfId="0" applyNumberFormat="1" applyFont="1" applyFill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8" fontId="0" fillId="0" borderId="9" xfId="0" applyNumberFormat="1" applyFill="1" applyBorder="1"/>
    <xf numFmtId="0" fontId="25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left"/>
    </xf>
    <xf numFmtId="38" fontId="8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centerContinuous"/>
    </xf>
    <xf numFmtId="167" fontId="2" fillId="0" borderId="0" xfId="2" applyNumberFormat="1" applyFont="1" applyFill="1" applyBorder="1" applyAlignment="1"/>
    <xf numFmtId="165" fontId="2" fillId="0" borderId="0" xfId="0" quotePrefix="1" applyNumberFormat="1" applyFont="1" applyFill="1" applyBorder="1" applyAlignment="1">
      <alignment horizontal="center"/>
    </xf>
    <xf numFmtId="165" fontId="13" fillId="0" borderId="3" xfId="0" applyNumberFormat="1" applyFont="1" applyFill="1" applyBorder="1" applyAlignment="1">
      <alignment horizontal="center"/>
    </xf>
    <xf numFmtId="175" fontId="12" fillId="0" borderId="0" xfId="1" applyNumberFormat="1" applyFont="1" applyFill="1"/>
    <xf numFmtId="16" fontId="1" fillId="0" borderId="8" xfId="0" applyNumberFormat="1" applyFont="1" applyFill="1" applyBorder="1"/>
    <xf numFmtId="167" fontId="11" fillId="0" borderId="8" xfId="2" applyNumberFormat="1" applyFont="1" applyFill="1" applyBorder="1"/>
    <xf numFmtId="8" fontId="11" fillId="0" borderId="8" xfId="0" applyNumberFormat="1" applyFont="1" applyFill="1" applyBorder="1"/>
    <xf numFmtId="7" fontId="1" fillId="0" borderId="0" xfId="0" applyNumberFormat="1" applyFont="1" applyFill="1" applyBorder="1" applyAlignment="1"/>
    <xf numFmtId="193" fontId="1" fillId="0" borderId="0" xfId="0" applyNumberFormat="1" applyFont="1" applyFill="1" applyBorder="1"/>
    <xf numFmtId="174" fontId="10" fillId="0" borderId="0" xfId="0" applyNumberFormat="1" applyFont="1" applyFill="1" applyBorder="1"/>
    <xf numFmtId="0" fontId="1" fillId="4" borderId="29" xfId="0" applyFont="1" applyFill="1" applyBorder="1" applyAlignment="1">
      <alignment horizontal="center"/>
    </xf>
    <xf numFmtId="165" fontId="13" fillId="4" borderId="0" xfId="0" applyNumberFormat="1" applyFont="1" applyFill="1" applyBorder="1" applyAlignment="1"/>
    <xf numFmtId="0" fontId="9" fillId="2" borderId="9" xfId="0" applyFont="1" applyFill="1" applyBorder="1"/>
    <xf numFmtId="0" fontId="1" fillId="2" borderId="0" xfId="0" applyFont="1" applyFill="1" applyBorder="1"/>
    <xf numFmtId="177" fontId="0" fillId="2" borderId="0" xfId="0" applyNumberFormat="1" applyFill="1"/>
    <xf numFmtId="0" fontId="17" fillId="2" borderId="0" xfId="0" applyFont="1" applyFill="1" applyBorder="1" applyAlignment="1">
      <alignment horizontal="left"/>
    </xf>
    <xf numFmtId="7" fontId="2" fillId="2" borderId="0" xfId="0" applyNumberFormat="1" applyFont="1" applyFill="1" applyBorder="1" applyAlignment="1">
      <alignment horizontal="center"/>
    </xf>
    <xf numFmtId="191" fontId="17" fillId="2" borderId="9" xfId="3" applyNumberFormat="1" applyFont="1" applyFill="1" applyBorder="1"/>
    <xf numFmtId="0" fontId="1" fillId="2" borderId="8" xfId="0" applyFont="1" applyFill="1" applyBorder="1"/>
    <xf numFmtId="16" fontId="1" fillId="2" borderId="8" xfId="0" applyNumberFormat="1" applyFont="1" applyFill="1" applyBorder="1"/>
    <xf numFmtId="0" fontId="18" fillId="2" borderId="9" xfId="0" applyFont="1" applyFill="1" applyBorder="1"/>
    <xf numFmtId="170" fontId="17" fillId="2" borderId="9" xfId="3" applyNumberFormat="1" applyFont="1" applyFill="1" applyBorder="1"/>
    <xf numFmtId="170" fontId="17" fillId="2" borderId="0" xfId="3" applyNumberFormat="1" applyFont="1" applyFill="1" applyBorder="1"/>
    <xf numFmtId="165" fontId="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94" fontId="6" fillId="2" borderId="0" xfId="0" applyNumberFormat="1" applyFont="1" applyFill="1" applyBorder="1" applyAlignment="1">
      <alignment horizontal="center"/>
    </xf>
    <xf numFmtId="168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Border="1" applyAlignment="1">
      <alignment horizontal="center"/>
    </xf>
    <xf numFmtId="0" fontId="9" fillId="8" borderId="9" xfId="0" applyFont="1" applyFill="1" applyBorder="1"/>
    <xf numFmtId="16" fontId="1" fillId="8" borderId="8" xfId="0" applyNumberFormat="1" applyFont="1" applyFill="1" applyBorder="1"/>
    <xf numFmtId="0" fontId="0" fillId="8" borderId="9" xfId="0" applyFill="1" applyBorder="1"/>
    <xf numFmtId="168" fontId="17" fillId="8" borderId="8" xfId="0" applyNumberFormat="1" applyFont="1" applyFill="1" applyBorder="1"/>
    <xf numFmtId="168" fontId="0" fillId="8" borderId="8" xfId="0" applyNumberFormat="1" applyFill="1" applyBorder="1"/>
    <xf numFmtId="191" fontId="17" fillId="8" borderId="9" xfId="3" applyNumberFormat="1" applyFont="1" applyFill="1" applyBorder="1"/>
    <xf numFmtId="168" fontId="11" fillId="8" borderId="8" xfId="0" applyNumberFormat="1" applyFont="1" applyFill="1" applyBorder="1"/>
    <xf numFmtId="168" fontId="1" fillId="8" borderId="8" xfId="0" applyNumberFormat="1" applyFont="1" applyFill="1" applyBorder="1"/>
    <xf numFmtId="167" fontId="2" fillId="8" borderId="8" xfId="2" applyNumberFormat="1" applyFont="1" applyFill="1" applyBorder="1" applyAlignment="1"/>
    <xf numFmtId="165" fontId="2" fillId="8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75" fontId="13" fillId="0" borderId="9" xfId="1" quotePrefix="1" applyNumberFormat="1" applyFont="1" applyFill="1" applyBorder="1" applyAlignment="1">
      <alignment horizontal="center"/>
    </xf>
    <xf numFmtId="0" fontId="6" fillId="0" borderId="8" xfId="0" applyFont="1" applyFill="1" applyBorder="1"/>
    <xf numFmtId="0" fontId="6" fillId="0" borderId="8" xfId="0" applyFont="1" applyFill="1" applyBorder="1" applyAlignment="1">
      <alignment horizontal="center"/>
    </xf>
    <xf numFmtId="175" fontId="6" fillId="0" borderId="9" xfId="1" quotePrefix="1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7" xfId="0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0" fillId="2" borderId="28" xfId="0" applyFill="1" applyBorder="1" applyAlignment="1">
      <alignment horizontal="centerContinuous"/>
    </xf>
    <xf numFmtId="0" fontId="0" fillId="2" borderId="30" xfId="0" applyFill="1" applyBorder="1" applyAlignment="1">
      <alignment horizontal="center"/>
    </xf>
    <xf numFmtId="0" fontId="0" fillId="2" borderId="30" xfId="0" applyFill="1" applyBorder="1" applyAlignment="1">
      <alignment horizontal="left"/>
    </xf>
    <xf numFmtId="0" fontId="0" fillId="2" borderId="30" xfId="0" applyFill="1" applyBorder="1"/>
    <xf numFmtId="0" fontId="0" fillId="2" borderId="0" xfId="0" applyFill="1" applyAlignment="1">
      <alignment horizontal="left"/>
    </xf>
    <xf numFmtId="170" fontId="0" fillId="2" borderId="0" xfId="3" applyNumberFormat="1" applyFont="1" applyFill="1" applyAlignment="1">
      <alignment horizontal="center"/>
    </xf>
    <xf numFmtId="170" fontId="0" fillId="2" borderId="0" xfId="3" applyNumberFormat="1" applyFont="1" applyFill="1" applyAlignment="1">
      <alignment horizontal="left"/>
    </xf>
    <xf numFmtId="170" fontId="0" fillId="2" borderId="0" xfId="3" applyNumberFormat="1" applyFont="1" applyFill="1"/>
    <xf numFmtId="1" fontId="0" fillId="0" borderId="0" xfId="0" applyNumberFormat="1" applyFill="1"/>
    <xf numFmtId="43" fontId="0" fillId="0" borderId="0" xfId="0" applyNumberFormat="1" applyFill="1"/>
    <xf numFmtId="167" fontId="13" fillId="0" borderId="0" xfId="2" quotePrefix="1" applyNumberFormat="1" applyFont="1" applyFill="1"/>
    <xf numFmtId="14" fontId="0" fillId="0" borderId="0" xfId="0" applyNumberFormat="1"/>
    <xf numFmtId="44" fontId="0" fillId="0" borderId="0" xfId="2" applyFont="1"/>
    <xf numFmtId="0" fontId="13" fillId="7" borderId="0" xfId="0" applyFont="1" applyFill="1" applyBorder="1" applyAlignment="1">
      <alignment horizontal="left"/>
    </xf>
    <xf numFmtId="165" fontId="1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170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left"/>
    </xf>
    <xf numFmtId="38" fontId="6" fillId="9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left"/>
    </xf>
    <xf numFmtId="3" fontId="6" fillId="9" borderId="0" xfId="0" applyNumberFormat="1" applyFont="1" applyFill="1" applyAlignment="1">
      <alignment horizontal="right"/>
    </xf>
    <xf numFmtId="38" fontId="6" fillId="9" borderId="0" xfId="0" applyNumberFormat="1" applyFont="1" applyFill="1" applyBorder="1" applyAlignment="1">
      <alignment horizontal="right"/>
    </xf>
    <xf numFmtId="38" fontId="6" fillId="9" borderId="2" xfId="0" applyNumberFormat="1" applyFont="1" applyFill="1" applyBorder="1" applyAlignment="1">
      <alignment horizontal="right"/>
    </xf>
    <xf numFmtId="38" fontId="6" fillId="9" borderId="26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Continuous" vertical="center"/>
    </xf>
    <xf numFmtId="0" fontId="0" fillId="0" borderId="1" xfId="0" applyFill="1" applyBorder="1" applyAlignment="1">
      <alignment horizontal="centerContinuous" vertical="center"/>
    </xf>
    <xf numFmtId="14" fontId="8" fillId="0" borderId="0" xfId="0" applyNumberFormat="1" applyFont="1" applyFill="1" applyAlignment="1">
      <alignment horizontal="center"/>
    </xf>
    <xf numFmtId="38" fontId="8" fillId="0" borderId="0" xfId="0" applyNumberFormat="1" applyFont="1" applyFill="1" applyAlignment="1">
      <alignment horizontal="center"/>
    </xf>
    <xf numFmtId="169" fontId="8" fillId="0" borderId="0" xfId="0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38" fontId="8" fillId="0" borderId="0" xfId="0" applyNumberFormat="1" applyFont="1" applyFill="1" applyAlignment="1">
      <alignment horizontal="right"/>
    </xf>
    <xf numFmtId="38" fontId="8" fillId="9" borderId="0" xfId="0" applyNumberFormat="1" applyFont="1" applyFill="1" applyAlignment="1">
      <alignment horizontal="right"/>
    </xf>
    <xf numFmtId="0" fontId="6" fillId="0" borderId="0" xfId="2" applyNumberFormat="1" applyFont="1" applyFill="1" applyAlignment="1">
      <alignment horizontal="right"/>
    </xf>
    <xf numFmtId="197" fontId="0" fillId="0" borderId="0" xfId="0" applyNumberFormat="1" applyFill="1"/>
    <xf numFmtId="187" fontId="19" fillId="0" borderId="31" xfId="2" applyNumberFormat="1" applyFont="1" applyFill="1" applyBorder="1" applyAlignment="1">
      <alignment horizontal="center"/>
    </xf>
    <xf numFmtId="0" fontId="13" fillId="0" borderId="32" xfId="0" applyFont="1" applyFill="1" applyBorder="1"/>
    <xf numFmtId="167" fontId="13" fillId="0" borderId="0" xfId="0" applyNumberFormat="1" applyFont="1" applyFill="1" applyBorder="1"/>
    <xf numFmtId="187" fontId="8" fillId="0" borderId="32" xfId="2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4" fontId="0" fillId="0" borderId="0" xfId="0" applyNumberFormat="1"/>
    <xf numFmtId="168" fontId="0" fillId="0" borderId="0" xfId="0" applyNumberFormat="1"/>
    <xf numFmtId="191" fontId="0" fillId="0" borderId="0" xfId="2" applyNumberFormat="1" applyFont="1"/>
    <xf numFmtId="44" fontId="0" fillId="0" borderId="1" xfId="2" applyFont="1" applyBorder="1"/>
    <xf numFmtId="44" fontId="13" fillId="0" borderId="0" xfId="2" applyNumberFormat="1" applyFont="1" applyFill="1" applyBorder="1"/>
    <xf numFmtId="44" fontId="13" fillId="0" borderId="0" xfId="0" applyNumberFormat="1" applyFont="1" applyFill="1" applyBorder="1"/>
    <xf numFmtId="202" fontId="0" fillId="0" borderId="0" xfId="0" applyNumberFormat="1" applyFill="1" applyAlignment="1">
      <alignment horizontal="center"/>
    </xf>
    <xf numFmtId="10" fontId="6" fillId="0" borderId="3" xfId="0" applyNumberFormat="1" applyFont="1" applyFill="1" applyBorder="1"/>
    <xf numFmtId="0" fontId="8" fillId="0" borderId="8" xfId="0" applyFont="1" applyFill="1" applyBorder="1" applyAlignment="1">
      <alignment horizontal="center"/>
    </xf>
    <xf numFmtId="44" fontId="13" fillId="0" borderId="8" xfId="0" applyNumberFormat="1" applyFont="1" applyFill="1" applyBorder="1"/>
    <xf numFmtId="44" fontId="13" fillId="0" borderId="8" xfId="1" applyNumberFormat="1" applyFont="1" applyFill="1" applyBorder="1"/>
    <xf numFmtId="10" fontId="6" fillId="0" borderId="7" xfId="0" applyNumberFormat="1" applyFont="1" applyFill="1" applyBorder="1"/>
    <xf numFmtId="0" fontId="13" fillId="0" borderId="33" xfId="0" applyFont="1" applyFill="1" applyBorder="1"/>
    <xf numFmtId="0" fontId="6" fillId="0" borderId="12" xfId="0" applyFont="1" applyFill="1" applyBorder="1"/>
    <xf numFmtId="0" fontId="6" fillId="0" borderId="5" xfId="0" applyFont="1" applyFill="1" applyBorder="1"/>
    <xf numFmtId="38" fontId="7" fillId="4" borderId="0" xfId="0" applyNumberFormat="1" applyFont="1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169" fontId="6" fillId="4" borderId="0" xfId="0" applyNumberFormat="1" applyFont="1" applyFill="1" applyAlignment="1">
      <alignment horizontal="center"/>
    </xf>
    <xf numFmtId="168" fontId="6" fillId="4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38" fontId="6" fillId="4" borderId="0" xfId="0" applyNumberFormat="1" applyFont="1" applyFill="1" applyAlignment="1">
      <alignment horizontal="right"/>
    </xf>
    <xf numFmtId="0" fontId="6" fillId="4" borderId="0" xfId="0" applyNumberFormat="1" applyFont="1" applyFill="1" applyAlignment="1">
      <alignment horizontal="center"/>
    </xf>
    <xf numFmtId="0" fontId="0" fillId="4" borderId="0" xfId="0" applyFill="1"/>
    <xf numFmtId="44" fontId="3" fillId="0" borderId="0" xfId="2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4"/>
  <sheetViews>
    <sheetView workbookViewId="0">
      <selection activeCell="D24" sqref="D24"/>
    </sheetView>
  </sheetViews>
  <sheetFormatPr defaultRowHeight="12.75" x14ac:dyDescent="0.2"/>
  <cols>
    <col min="6" max="7" width="10.85546875" customWidth="1"/>
    <col min="8" max="8" width="4.140625" customWidth="1"/>
    <col min="12" max="13" width="10.85546875" customWidth="1"/>
  </cols>
  <sheetData>
    <row r="4" spans="1:14" x14ac:dyDescent="0.2">
      <c r="B4" s="477"/>
    </row>
    <row r="5" spans="1:14" x14ac:dyDescent="0.2">
      <c r="B5" s="477"/>
      <c r="F5" s="60"/>
      <c r="G5" s="478"/>
      <c r="L5" s="60"/>
      <c r="M5" s="478"/>
    </row>
    <row r="6" spans="1:14" x14ac:dyDescent="0.2">
      <c r="A6">
        <v>4.76</v>
      </c>
      <c r="B6" s="477"/>
      <c r="C6" t="s">
        <v>474</v>
      </c>
      <c r="D6">
        <v>4.55</v>
      </c>
      <c r="F6" t="s">
        <v>474</v>
      </c>
      <c r="G6" s="478">
        <v>4.55</v>
      </c>
      <c r="I6" t="s">
        <v>764</v>
      </c>
      <c r="J6" s="515">
        <f>4.57+0.05</f>
        <v>4.62</v>
      </c>
      <c r="L6" s="60"/>
      <c r="M6" s="478">
        <v>4.76</v>
      </c>
      <c r="N6">
        <v>4.76</v>
      </c>
    </row>
    <row r="7" spans="1:14" x14ac:dyDescent="0.2">
      <c r="B7" s="477"/>
      <c r="F7" s="60"/>
      <c r="G7" s="478"/>
      <c r="L7" s="60"/>
      <c r="M7" s="478"/>
    </row>
    <row r="8" spans="1:14" x14ac:dyDescent="0.2">
      <c r="B8" s="477"/>
      <c r="F8" s="60"/>
      <c r="G8" s="478"/>
      <c r="L8" s="60"/>
      <c r="M8" s="478"/>
    </row>
    <row r="9" spans="1:14" x14ac:dyDescent="0.2">
      <c r="B9" s="477"/>
      <c r="F9" s="60"/>
      <c r="G9" s="478"/>
      <c r="L9" s="60"/>
      <c r="M9" s="478"/>
    </row>
    <row r="10" spans="1:14" x14ac:dyDescent="0.2">
      <c r="B10" s="477"/>
      <c r="C10" s="194" t="s">
        <v>22</v>
      </c>
      <c r="D10" s="181" t="s">
        <v>763</v>
      </c>
      <c r="F10" s="194" t="s">
        <v>22</v>
      </c>
      <c r="G10" s="177" t="s">
        <v>159</v>
      </c>
      <c r="I10" s="34" t="s">
        <v>22</v>
      </c>
      <c r="J10" s="34" t="s">
        <v>153</v>
      </c>
      <c r="L10" s="60"/>
      <c r="M10" s="478"/>
    </row>
    <row r="11" spans="1:14" x14ac:dyDescent="0.2">
      <c r="B11" s="477"/>
      <c r="C11" s="194" t="s">
        <v>115</v>
      </c>
      <c r="D11" s="184">
        <v>1.7000000000000001E-2</v>
      </c>
      <c r="F11" s="194" t="s">
        <v>115</v>
      </c>
      <c r="G11" s="179">
        <v>2.7799999999999998E-2</v>
      </c>
      <c r="I11" s="87" t="s">
        <v>115</v>
      </c>
      <c r="J11" s="98">
        <v>0.16719999999999999</v>
      </c>
      <c r="L11" s="60"/>
      <c r="M11" s="478"/>
    </row>
    <row r="12" spans="1:14" x14ac:dyDescent="0.2">
      <c r="B12" s="477"/>
      <c r="C12" s="195" t="s">
        <v>58</v>
      </c>
      <c r="D12" s="184">
        <f>0.0022+0.007+0.0097</f>
        <v>1.89E-2</v>
      </c>
      <c r="F12" s="195" t="s">
        <v>58</v>
      </c>
      <c r="G12" s="184">
        <f>0.0022+0.007+0.0097</f>
        <v>1.89E-2</v>
      </c>
      <c r="I12" s="87" t="s">
        <v>58</v>
      </c>
      <c r="J12" s="88">
        <f>0.0022+0.007+0.0097</f>
        <v>1.89E-2</v>
      </c>
      <c r="L12" s="60"/>
      <c r="M12" s="478"/>
    </row>
    <row r="13" spans="1:14" x14ac:dyDescent="0.2">
      <c r="B13" s="477"/>
      <c r="C13" s="429">
        <v>2.3300000000000001E-2</v>
      </c>
      <c r="D13" s="90">
        <f>(D$6)/(1-C13)-D$6</f>
        <v>0.10854407699395896</v>
      </c>
      <c r="F13" s="429">
        <v>3.8100000000000002E-2</v>
      </c>
      <c r="G13" s="90">
        <f>(G$6)/(1-F13)-G$6</f>
        <v>0.18022143673978608</v>
      </c>
      <c r="I13" s="290">
        <v>1.89E-2</v>
      </c>
      <c r="J13" s="90">
        <f>(J$6)/(1-I13)-J$6</f>
        <v>8.9000101926409059E-2</v>
      </c>
      <c r="L13" s="290">
        <v>2.776E-2</v>
      </c>
      <c r="M13" s="517">
        <f>+L13-0.01</f>
        <v>1.7759999999999998E-2</v>
      </c>
      <c r="N13" s="90">
        <f>(N$6)/(1-M13)-N$6</f>
        <v>8.6066134549600548E-2</v>
      </c>
    </row>
    <row r="14" spans="1:14" x14ac:dyDescent="0.2">
      <c r="B14" s="477"/>
      <c r="C14" s="194"/>
      <c r="D14" s="181">
        <f>SUM(D11:D13)</f>
        <v>0.14444407699395895</v>
      </c>
      <c r="F14" s="187"/>
      <c r="G14" s="181">
        <f>SUM(G11:G13)</f>
        <v>0.22692143673978607</v>
      </c>
      <c r="I14" s="87"/>
      <c r="J14" s="93">
        <f>SUM(J11:J13)</f>
        <v>0.27510010192640905</v>
      </c>
    </row>
    <row r="15" spans="1:14" x14ac:dyDescent="0.2">
      <c r="B15" s="477"/>
      <c r="F15" s="60"/>
      <c r="G15" s="478"/>
      <c r="L15" s="60"/>
      <c r="M15" s="478"/>
    </row>
    <row r="16" spans="1:14" x14ac:dyDescent="0.2">
      <c r="B16" s="477"/>
      <c r="F16" s="60"/>
      <c r="G16" s="478"/>
      <c r="L16" s="60"/>
      <c r="M16" s="478"/>
    </row>
    <row r="17" spans="2:14" x14ac:dyDescent="0.2">
      <c r="B17" s="477"/>
      <c r="D17" s="516">
        <f>+D6+D14</f>
        <v>4.6944440769939586</v>
      </c>
      <c r="F17" s="60"/>
      <c r="G17" s="478">
        <f>+G6+G14</f>
        <v>4.7769214367397863</v>
      </c>
      <c r="J17" s="515">
        <f>+J14+J6</f>
        <v>4.8951001019264089</v>
      </c>
      <c r="L17" s="60"/>
      <c r="M17" s="478"/>
    </row>
    <row r="18" spans="2:14" x14ac:dyDescent="0.2">
      <c r="B18" s="477"/>
      <c r="F18" s="60"/>
      <c r="G18" s="478"/>
      <c r="L18" s="60"/>
      <c r="M18" s="478"/>
    </row>
    <row r="19" spans="2:14" x14ac:dyDescent="0.2">
      <c r="B19" s="477"/>
      <c r="F19" s="60"/>
      <c r="G19" s="478"/>
      <c r="L19" s="60"/>
      <c r="M19" s="478"/>
      <c r="N19" s="516">
        <f>+N6+N13+0.1</f>
        <v>4.9460661345496</v>
      </c>
    </row>
    <row r="20" spans="2:14" x14ac:dyDescent="0.2">
      <c r="B20" s="477"/>
      <c r="F20" s="60"/>
      <c r="G20" s="478">
        <f>+D17-G17</f>
        <v>-8.2477359745827705E-2</v>
      </c>
      <c r="L20" s="60"/>
      <c r="M20" s="478"/>
      <c r="N20" s="516">
        <f>+N19-N6</f>
        <v>0.18606613454960019</v>
      </c>
    </row>
    <row r="21" spans="2:14" x14ac:dyDescent="0.2">
      <c r="B21" s="477"/>
      <c r="F21" s="60"/>
      <c r="G21" s="478">
        <v>0.09</v>
      </c>
      <c r="L21" s="60"/>
      <c r="M21" s="478"/>
    </row>
    <row r="22" spans="2:14" x14ac:dyDescent="0.2">
      <c r="B22" s="477"/>
      <c r="F22" s="60"/>
      <c r="G22" s="478">
        <v>0.1</v>
      </c>
      <c r="L22" s="60"/>
      <c r="M22" s="478"/>
    </row>
    <row r="23" spans="2:14" x14ac:dyDescent="0.2">
      <c r="B23" s="477"/>
      <c r="D23" s="515">
        <f>+D17+G23</f>
        <v>4.8019667172481313</v>
      </c>
      <c r="F23" s="60"/>
      <c r="G23" s="518">
        <f>SUM(G20:G22)</f>
        <v>0.1075226402541723</v>
      </c>
      <c r="L23" s="60"/>
      <c r="M23" s="478"/>
    </row>
    <row r="24" spans="2:14" x14ac:dyDescent="0.2">
      <c r="B24" s="477"/>
      <c r="D24" s="515">
        <f>+D23-D6</f>
        <v>0.25196671724813147</v>
      </c>
      <c r="F24" s="60"/>
      <c r="G24" s="478"/>
      <c r="L24" s="60"/>
      <c r="M24" s="478"/>
    </row>
    <row r="25" spans="2:14" x14ac:dyDescent="0.2">
      <c r="B25" s="477"/>
      <c r="F25" s="60"/>
      <c r="G25" s="478"/>
      <c r="L25" s="60"/>
      <c r="M25" s="478"/>
    </row>
    <row r="26" spans="2:14" x14ac:dyDescent="0.2">
      <c r="B26" s="477"/>
      <c r="F26" s="60"/>
      <c r="G26" s="478"/>
      <c r="L26" s="60"/>
      <c r="M26" s="478"/>
    </row>
    <row r="27" spans="2:14" x14ac:dyDescent="0.2">
      <c r="B27" s="477"/>
      <c r="F27" s="60"/>
      <c r="G27" s="478"/>
      <c r="L27" s="60"/>
      <c r="M27" s="478"/>
    </row>
    <row r="28" spans="2:14" x14ac:dyDescent="0.2">
      <c r="B28" s="477"/>
      <c r="F28" s="60"/>
      <c r="G28" s="478"/>
      <c r="L28" s="60"/>
      <c r="M28" s="478"/>
    </row>
    <row r="29" spans="2:14" x14ac:dyDescent="0.2">
      <c r="B29" s="477"/>
      <c r="F29" s="60"/>
      <c r="G29" s="478"/>
      <c r="L29" s="60"/>
      <c r="M29" s="478"/>
    </row>
    <row r="30" spans="2:14" x14ac:dyDescent="0.2">
      <c r="B30" s="477"/>
      <c r="F30" s="60"/>
      <c r="G30" s="478"/>
      <c r="L30" s="60"/>
      <c r="M30" s="478"/>
    </row>
    <row r="31" spans="2:14" x14ac:dyDescent="0.2">
      <c r="B31" s="477"/>
      <c r="F31" s="60"/>
      <c r="G31" s="478"/>
      <c r="L31" s="60"/>
      <c r="M31" s="478"/>
    </row>
    <row r="32" spans="2:14" x14ac:dyDescent="0.2">
      <c r="B32" s="477"/>
      <c r="F32" s="60"/>
      <c r="G32" s="478"/>
      <c r="L32" s="60"/>
      <c r="M32" s="478"/>
    </row>
    <row r="33" spans="2:13" x14ac:dyDescent="0.2">
      <c r="B33" s="477"/>
      <c r="F33" s="60"/>
      <c r="G33" s="478"/>
      <c r="L33" s="60"/>
      <c r="M33" s="478"/>
    </row>
    <row r="34" spans="2:13" x14ac:dyDescent="0.2">
      <c r="B34" s="477"/>
      <c r="F34" s="60"/>
      <c r="G34" s="478"/>
      <c r="L34" s="60"/>
      <c r="M34" s="478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66"/>
  <sheetViews>
    <sheetView tabSelected="1" topLeftCell="A28" workbookViewId="0">
      <selection activeCell="I40" sqref="I40"/>
    </sheetView>
  </sheetViews>
  <sheetFormatPr defaultRowHeight="12.75" x14ac:dyDescent="0.2"/>
  <cols>
    <col min="3" max="3" width="11.42578125" bestFit="1" customWidth="1"/>
    <col min="12" max="14" width="9.140625" style="105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 t="s">
        <v>250</v>
      </c>
      <c r="F10" s="1" t="s">
        <v>1</v>
      </c>
      <c r="G10" s="1"/>
      <c r="H10" s="1" t="s">
        <v>1</v>
      </c>
      <c r="I10" s="1"/>
      <c r="J10" s="1"/>
    </row>
    <row r="11" spans="1:10" x14ac:dyDescent="0.2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0.71345661997288767</v>
      </c>
      <c r="F12" s="5">
        <f>+D12*E12</f>
        <v>0.23781887332429588</v>
      </c>
      <c r="G12" s="5">
        <v>-8.2500000000000004E-2</v>
      </c>
      <c r="H12" s="5">
        <f>+G12*D12</f>
        <v>-2.75E-2</v>
      </c>
      <c r="I12" s="5">
        <f>+F12+H12</f>
        <v>0.21031887332429589</v>
      </c>
      <c r="J12" s="1"/>
    </row>
    <row r="13" spans="1:10" x14ac:dyDescent="0.2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0.64850831009481336</v>
      </c>
      <c r="F13" s="5">
        <f>+D13*E13</f>
        <v>0.2161694366982711</v>
      </c>
      <c r="G13" s="5">
        <v>-5.7500000000000002E-2</v>
      </c>
      <c r="H13" s="5">
        <f>+G13*D13</f>
        <v>-1.9166666666666665E-2</v>
      </c>
      <c r="I13" s="5">
        <f>+F13+H13</f>
        <v>0.19700277003160444</v>
      </c>
      <c r="J13" s="1"/>
    </row>
    <row r="14" spans="1:10" x14ac:dyDescent="0.2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Rate'!E92</f>
        <v>0.17209088847660323</v>
      </c>
      <c r="F14" s="5">
        <f>+D14*E14</f>
        <v>5.7363629492201071E-2</v>
      </c>
      <c r="G14" s="5">
        <v>-4.4999999999999998E-2</v>
      </c>
      <c r="H14" s="5">
        <f>+G14*D14</f>
        <v>-1.4999999999999999E-2</v>
      </c>
      <c r="I14" s="5">
        <f>+F14+H14</f>
        <v>4.2363629492201071E-2</v>
      </c>
      <c r="J14" s="1"/>
    </row>
    <row r="15" spans="1:10" x14ac:dyDescent="0.2">
      <c r="A15" s="1"/>
      <c r="B15" s="3" t="s">
        <v>12</v>
      </c>
      <c r="C15" s="4">
        <v>0</v>
      </c>
      <c r="D15" s="5">
        <f>+C15/C17</f>
        <v>0</v>
      </c>
      <c r="E15" s="5">
        <f>+'Offseason Rate'!E107</f>
        <v>0.61531471045041086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">
      <c r="A16" s="1"/>
      <c r="B16" s="3" t="s">
        <v>13</v>
      </c>
      <c r="C16" s="6">
        <v>0</v>
      </c>
      <c r="D16" s="7">
        <f>+C16/C17</f>
        <v>0</v>
      </c>
      <c r="E16" s="5">
        <f>+'Offseason Rate'!E92</f>
        <v>0.17209088847660323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4" x14ac:dyDescent="0.2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0.51135193951476809</v>
      </c>
      <c r="G17" s="1"/>
      <c r="H17" s="1"/>
      <c r="I17" s="8">
        <f>SUM(I12:I16)</f>
        <v>0.44968527284810139</v>
      </c>
      <c r="J17" s="1"/>
    </row>
    <row r="18" spans="1:14" x14ac:dyDescent="0.2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4" ht="13.5" thickBot="1" x14ac:dyDescent="0.25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-0.23468527284810139</v>
      </c>
      <c r="J19" s="1"/>
    </row>
    <row r="20" spans="1:14" ht="13.5" thickTop="1" x14ac:dyDescent="0.2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4" x14ac:dyDescent="0.2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4" x14ac:dyDescent="0.2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4" x14ac:dyDescent="0.2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4" x14ac:dyDescent="0.2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4" x14ac:dyDescent="0.2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4" x14ac:dyDescent="0.2">
      <c r="A28" s="1"/>
      <c r="B28" s="3" t="s">
        <v>19</v>
      </c>
      <c r="C28" s="4">
        <v>0</v>
      </c>
      <c r="D28" s="5">
        <f>+C28/C30</f>
        <v>0</v>
      </c>
      <c r="E28" s="5">
        <v>0</v>
      </c>
      <c r="F28" s="5">
        <f>+D28*E28</f>
        <v>0</v>
      </c>
      <c r="G28" s="5">
        <v>-0.01</v>
      </c>
      <c r="H28" s="5">
        <f>+G28*D28</f>
        <v>0</v>
      </c>
      <c r="I28" s="5">
        <f>+F28+H28</f>
        <v>0</v>
      </c>
      <c r="J28" s="1"/>
    </row>
    <row r="29" spans="1:14" x14ac:dyDescent="0.2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  <c r="L29" s="105">
        <v>30</v>
      </c>
      <c r="M29" s="105">
        <v>0.44</v>
      </c>
      <c r="N29" s="105">
        <f>+M29*L29</f>
        <v>13.2</v>
      </c>
    </row>
    <row r="30" spans="1:14" x14ac:dyDescent="0.2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  <c r="L30" s="105">
        <v>31</v>
      </c>
      <c r="M30" s="105">
        <v>0.5</v>
      </c>
      <c r="N30" s="105">
        <f>+M30*L30</f>
        <v>15.5</v>
      </c>
    </row>
    <row r="31" spans="1:14" x14ac:dyDescent="0.2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  <c r="L31" s="105">
        <v>31</v>
      </c>
      <c r="M31" s="105">
        <v>0.5</v>
      </c>
      <c r="N31" s="105">
        <f>+M31*L31</f>
        <v>15.5</v>
      </c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  <c r="L32" s="105">
        <v>30</v>
      </c>
      <c r="M32" s="105">
        <v>0.5</v>
      </c>
      <c r="N32" s="105">
        <f>+M32*L32</f>
        <v>15</v>
      </c>
    </row>
    <row r="33" spans="1:14" ht="13.5" thickTop="1" x14ac:dyDescent="0.2">
      <c r="A33" s="1"/>
      <c r="B33" s="1"/>
      <c r="C33" s="1"/>
      <c r="D33" s="1"/>
      <c r="E33" s="1"/>
      <c r="F33" s="1"/>
      <c r="G33" s="1"/>
      <c r="H33" s="1"/>
      <c r="I33" s="5"/>
      <c r="J33" s="1"/>
      <c r="L33" s="105">
        <f>SUM(L29:L32)</f>
        <v>122</v>
      </c>
      <c r="N33" s="105">
        <f>SUM(N29:N32)</f>
        <v>59.2</v>
      </c>
    </row>
    <row r="34" spans="1:14" x14ac:dyDescent="0.2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4" x14ac:dyDescent="0.2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  <c r="L35" s="105">
        <f>+N33/L33</f>
        <v>0.48524590163934428</v>
      </c>
    </row>
    <row r="36" spans="1:14" x14ac:dyDescent="0.2">
      <c r="A36" s="1"/>
      <c r="B36" s="1" t="s">
        <v>23</v>
      </c>
      <c r="C36" s="4">
        <v>17</v>
      </c>
      <c r="D36" s="5">
        <f>+C36/C39</f>
        <v>0.17</v>
      </c>
      <c r="E36" s="5">
        <f>+Rates!B42</f>
        <v>0.29623761758799322</v>
      </c>
      <c r="F36" s="5">
        <f>+D36*E36</f>
        <v>5.0360394989958854E-2</v>
      </c>
      <c r="G36" s="5">
        <v>-0.04</v>
      </c>
      <c r="H36" s="5">
        <f>+G36*D36</f>
        <v>-6.8000000000000005E-3</v>
      </c>
      <c r="I36" s="5">
        <f>+F36+H36</f>
        <v>4.3560394989958853E-2</v>
      </c>
      <c r="J36" s="1"/>
    </row>
    <row r="37" spans="1:14" x14ac:dyDescent="0.2">
      <c r="A37" s="1"/>
      <c r="B37" s="1" t="s">
        <v>24</v>
      </c>
      <c r="C37" s="4">
        <v>25</v>
      </c>
      <c r="D37" s="5">
        <f>+C37/C39</f>
        <v>0.25</v>
      </c>
      <c r="E37" s="5">
        <f>+Rates!B67</f>
        <v>0.27904566133108666</v>
      </c>
      <c r="F37" s="5">
        <f>+D37*E37</f>
        <v>6.9761415332771665E-2</v>
      </c>
      <c r="G37" s="5">
        <v>-0.01</v>
      </c>
      <c r="H37" s="5">
        <f>+G37*D37</f>
        <v>-2.5000000000000001E-3</v>
      </c>
      <c r="I37" s="5">
        <f>+F37+H37</f>
        <v>6.7261415332771662E-2</v>
      </c>
      <c r="J37" s="1"/>
    </row>
    <row r="38" spans="1:14" x14ac:dyDescent="0.2">
      <c r="A38" s="1"/>
      <c r="B38" s="1" t="s">
        <v>25</v>
      </c>
      <c r="C38" s="6">
        <v>58</v>
      </c>
      <c r="D38" s="7">
        <f>+C38/C39</f>
        <v>0.57999999999999996</v>
      </c>
      <c r="E38" s="5">
        <f>+Rates!B87</f>
        <v>0.25860295659467414</v>
      </c>
      <c r="F38" s="7">
        <f>+D38*E38</f>
        <v>0.149989714824911</v>
      </c>
      <c r="G38" s="5">
        <v>3.5000000000000003E-2</v>
      </c>
      <c r="H38" s="5">
        <f>+G38*D38</f>
        <v>2.0300000000000002E-2</v>
      </c>
      <c r="I38" s="5">
        <f>+F38+H38</f>
        <v>0.17028971482491101</v>
      </c>
      <c r="J38" s="1"/>
    </row>
    <row r="39" spans="1:14" x14ac:dyDescent="0.2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0.27011152514764153</v>
      </c>
      <c r="G39" s="1"/>
      <c r="H39" s="5">
        <f>SUM(H36:H38)</f>
        <v>1.1000000000000001E-2</v>
      </c>
      <c r="I39" s="8">
        <f>SUM(I36:I38)</f>
        <v>0.28111152514764154</v>
      </c>
      <c r="J39" s="1"/>
    </row>
    <row r="40" spans="1:14" x14ac:dyDescent="0.2">
      <c r="A40" s="1"/>
      <c r="B40" s="1"/>
      <c r="C40" s="1"/>
      <c r="D40" s="1"/>
      <c r="E40" s="1"/>
      <c r="F40" s="1"/>
      <c r="G40" s="1"/>
      <c r="H40" s="1" t="s">
        <v>26</v>
      </c>
      <c r="I40" s="9">
        <v>0.44</v>
      </c>
      <c r="J40" s="1"/>
    </row>
    <row r="41" spans="1:14" ht="13.5" thickBot="1" x14ac:dyDescent="0.25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0.15888847485235846</v>
      </c>
      <c r="J41" s="1"/>
      <c r="K41" s="43"/>
    </row>
    <row r="42" spans="1:14" ht="13.5" thickTop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43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44"/>
    </row>
    <row r="44" spans="1:14" x14ac:dyDescent="0.2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4" x14ac:dyDescent="0.2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4" x14ac:dyDescent="0.2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">
      <c r="A62" s="1"/>
      <c r="B62" s="1" t="s">
        <v>40</v>
      </c>
      <c r="C62" s="9">
        <f>+Rates!H32</f>
        <v>0.31309604043807882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-2.3096040438078835E-2</v>
      </c>
      <c r="J62" s="1"/>
    </row>
    <row r="63" spans="1:10" x14ac:dyDescent="0.2">
      <c r="A63" s="1"/>
      <c r="B63" s="1" t="s">
        <v>41</v>
      </c>
      <c r="C63" s="9">
        <f>+Rates!H67</f>
        <v>0.27202921324835494</v>
      </c>
      <c r="D63" s="15">
        <v>-0.06</v>
      </c>
      <c r="E63" s="9">
        <v>0</v>
      </c>
      <c r="F63" s="9">
        <v>0.2175</v>
      </c>
      <c r="H63" s="1"/>
      <c r="I63" s="14">
        <f>+F63-D63-E63-C63</f>
        <v>5.4707867516450293E-3</v>
      </c>
      <c r="J63" s="1"/>
    </row>
    <row r="64" spans="1:10" x14ac:dyDescent="0.2">
      <c r="A64" s="1"/>
      <c r="B64" s="1" t="s">
        <v>42</v>
      </c>
      <c r="C64" s="9">
        <f>+Rates!H37</f>
        <v>0.36820806794055239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-4.3208067940552375E-2</v>
      </c>
      <c r="J64" s="1"/>
    </row>
    <row r="65" spans="1:10" x14ac:dyDescent="0.2">
      <c r="A65" s="1"/>
      <c r="B65" s="1" t="s">
        <v>43</v>
      </c>
      <c r="C65" s="9">
        <f>+Rates!H72</f>
        <v>0.3275180535074782</v>
      </c>
      <c r="D65" s="15">
        <v>-0.06</v>
      </c>
      <c r="E65" s="9">
        <v>0</v>
      </c>
      <c r="F65" s="9">
        <v>0.2525</v>
      </c>
      <c r="H65" s="1"/>
      <c r="I65" s="14">
        <f>+F65-D65-E65-C65</f>
        <v>-1.5018053507478202E-2</v>
      </c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 t="s">
        <v>778</v>
      </c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">
      <c r="A74" s="1"/>
      <c r="B74" s="3" t="s">
        <v>779</v>
      </c>
      <c r="C74" s="4">
        <v>5000</v>
      </c>
      <c r="D74" s="5">
        <f>+C74/C74</f>
        <v>1</v>
      </c>
      <c r="E74" s="5">
        <f>+Rates!AL17</f>
        <v>9.574489795918345E-2</v>
      </c>
      <c r="F74" s="5">
        <f>+D74*E74</f>
        <v>9.574489795918345E-2</v>
      </c>
      <c r="G74" s="5"/>
      <c r="H74" s="5"/>
      <c r="I74" s="5">
        <f>+F74</f>
        <v>9.574489795918345E-2</v>
      </c>
      <c r="J74" s="1"/>
    </row>
    <row r="75" spans="1:10" x14ac:dyDescent="0.2">
      <c r="A75" s="1"/>
      <c r="B75" s="3" t="s">
        <v>780</v>
      </c>
      <c r="C75" s="4" t="s">
        <v>45</v>
      </c>
      <c r="D75" s="5" t="s">
        <v>45</v>
      </c>
      <c r="E75" s="5">
        <f>+Rates!B122</f>
        <v>6.2792845723832133E-2</v>
      </c>
      <c r="F75" s="5" t="s">
        <v>46</v>
      </c>
      <c r="G75" s="5" t="s">
        <v>45</v>
      </c>
      <c r="H75" s="5" t="s">
        <v>45</v>
      </c>
      <c r="I75" s="5">
        <f>+E75</f>
        <v>6.2792845723832133E-2</v>
      </c>
      <c r="J75" s="1"/>
    </row>
    <row r="76" spans="1:10" x14ac:dyDescent="0.2">
      <c r="A76" s="1"/>
      <c r="B76" s="1"/>
      <c r="C76" s="1"/>
      <c r="D76" s="1"/>
      <c r="E76" s="1"/>
      <c r="F76" s="1"/>
      <c r="G76" s="1"/>
      <c r="H76" s="12" t="s">
        <v>781</v>
      </c>
      <c r="I76" s="8">
        <f>+I74+I75</f>
        <v>0.1585377436830156</v>
      </c>
      <c r="J76" s="1"/>
    </row>
    <row r="77" spans="1:10" x14ac:dyDescent="0.2">
      <c r="A77" s="1"/>
      <c r="B77" s="1"/>
      <c r="C77" s="1"/>
      <c r="D77" s="1"/>
      <c r="E77" s="1"/>
      <c r="F77" s="1"/>
      <c r="G77" s="1"/>
      <c r="H77" s="1" t="s">
        <v>782</v>
      </c>
      <c r="I77" s="1">
        <v>0.23</v>
      </c>
      <c r="J77" s="1"/>
    </row>
    <row r="78" spans="1:10" x14ac:dyDescent="0.2">
      <c r="A78" s="1"/>
      <c r="B78" s="3"/>
      <c r="C78" s="4"/>
      <c r="D78" s="5"/>
      <c r="E78" s="5"/>
      <c r="F78" s="5"/>
      <c r="G78" s="5"/>
      <c r="H78" s="5" t="s">
        <v>783</v>
      </c>
      <c r="I78" s="5">
        <v>0.44</v>
      </c>
      <c r="J78" s="1"/>
    </row>
    <row r="79" spans="1:10" x14ac:dyDescent="0.2">
      <c r="A79" s="1"/>
      <c r="B79" s="1"/>
      <c r="C79" s="1"/>
      <c r="D79" s="1"/>
      <c r="E79" s="1"/>
      <c r="F79" s="1"/>
      <c r="G79" s="1"/>
      <c r="H79" s="1" t="s">
        <v>15</v>
      </c>
      <c r="I79" s="538">
        <f>+I78-I77-I76</f>
        <v>5.1462256316984395E-2</v>
      </c>
      <c r="J79" s="1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83" spans="1:10" x14ac:dyDescent="0.2">
      <c r="B83" t="s">
        <v>784</v>
      </c>
    </row>
    <row r="84" spans="1:10" x14ac:dyDescent="0.2">
      <c r="B84" t="s">
        <v>785</v>
      </c>
      <c r="C84">
        <v>4.22</v>
      </c>
    </row>
    <row r="85" spans="1:10" x14ac:dyDescent="0.2">
      <c r="B85" t="s">
        <v>786</v>
      </c>
      <c r="C85">
        <v>4.29</v>
      </c>
    </row>
    <row r="86" spans="1:10" x14ac:dyDescent="0.2">
      <c r="B86" t="s">
        <v>787</v>
      </c>
      <c r="C86">
        <v>4.375</v>
      </c>
    </row>
    <row r="87" spans="1:10" x14ac:dyDescent="0.2">
      <c r="B87" t="s">
        <v>788</v>
      </c>
      <c r="C87">
        <v>4.3899999999999997</v>
      </c>
    </row>
    <row r="88" spans="1:10" x14ac:dyDescent="0.2">
      <c r="C88">
        <f>SUM(C84:C87)</f>
        <v>17.274999999999999</v>
      </c>
    </row>
    <row r="89" spans="1:10" x14ac:dyDescent="0.2">
      <c r="B89" t="s">
        <v>789</v>
      </c>
      <c r="C89">
        <f>+C88/4</f>
        <v>4.3187499999999996</v>
      </c>
    </row>
    <row r="100" spans="1:15" x14ac:dyDescent="0.2">
      <c r="M100" s="105" t="s">
        <v>327</v>
      </c>
      <c r="N100" s="105" t="s">
        <v>329</v>
      </c>
    </row>
    <row r="101" spans="1:15" x14ac:dyDescent="0.2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322</v>
      </c>
      <c r="H101" s="1" t="s">
        <v>321</v>
      </c>
      <c r="I101" s="1" t="s">
        <v>39</v>
      </c>
      <c r="J101" s="1"/>
      <c r="K101" s="10" t="s">
        <v>15</v>
      </c>
      <c r="L101" s="105" t="s">
        <v>326</v>
      </c>
      <c r="M101" s="105" t="s">
        <v>328</v>
      </c>
      <c r="N101" s="105" t="s">
        <v>330</v>
      </c>
    </row>
    <row r="102" spans="1:15" x14ac:dyDescent="0.2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03" t="e">
        <f>+D102*E102</f>
        <v>#REF!</v>
      </c>
      <c r="H102" s="9">
        <f>+F102*D102</f>
        <v>-2.5983821263482278E-2</v>
      </c>
      <c r="I102" s="9">
        <v>0.2175</v>
      </c>
      <c r="J102" s="1"/>
      <c r="K102" s="104" t="e">
        <f>(+G102*H102)</f>
        <v>#REF!</v>
      </c>
      <c r="L102" s="105">
        <f>+I102-F102</f>
        <v>0.28999999999999998</v>
      </c>
      <c r="M102" s="105" t="e">
        <f>+L102-E102</f>
        <v>#REF!</v>
      </c>
      <c r="N102" s="105" t="e">
        <f>+M102*5</f>
        <v>#REF!</v>
      </c>
      <c r="O102" t="e">
        <f>+N102*D102</f>
        <v>#REF!</v>
      </c>
    </row>
    <row r="103" spans="1:15" x14ac:dyDescent="0.2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03" t="e">
        <f>+D103*E103</f>
        <v>#REF!</v>
      </c>
      <c r="H103" s="9">
        <f>+F103*D103</f>
        <v>-3.8496147919876732E-2</v>
      </c>
      <c r="I103" s="9">
        <v>0.2175</v>
      </c>
      <c r="J103" s="1"/>
      <c r="K103" s="104" t="e">
        <f>(+G103*H103)</f>
        <v>#REF!</v>
      </c>
      <c r="L103" s="105">
        <f>+I103-F103</f>
        <v>0.27749999999999997</v>
      </c>
      <c r="M103" s="105" t="e">
        <f>+L103-E103</f>
        <v>#REF!</v>
      </c>
      <c r="N103" s="105" t="e">
        <f>+M103*5</f>
        <v>#REF!</v>
      </c>
      <c r="O103" t="e">
        <f>+N103*D103</f>
        <v>#REF!</v>
      </c>
    </row>
    <row r="104" spans="1:15" x14ac:dyDescent="0.2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">
      <c r="C105" s="4">
        <f>SUM(C102:C104)</f>
        <v>3245</v>
      </c>
      <c r="D105" s="5">
        <f>SUM(D102:D104)</f>
        <v>1</v>
      </c>
    </row>
    <row r="106" spans="1:15" x14ac:dyDescent="0.2">
      <c r="C106" s="44">
        <f>+C102*F102</f>
        <v>-84.317499999999995</v>
      </c>
    </row>
    <row r="107" spans="1:15" x14ac:dyDescent="0.2">
      <c r="C107" s="44">
        <f>+C103*F103</f>
        <v>-124.92</v>
      </c>
    </row>
    <row r="108" spans="1:15" x14ac:dyDescent="0.2">
      <c r="C108" s="44">
        <f>+C107+C106</f>
        <v>-209.23750000000001</v>
      </c>
      <c r="D108">
        <f>+C108/C105</f>
        <v>-6.4479969183359021E-2</v>
      </c>
      <c r="I108" t="s">
        <v>45</v>
      </c>
    </row>
    <row r="109" spans="1:15" x14ac:dyDescent="0.2">
      <c r="A109" s="1"/>
      <c r="B109" s="10" t="s">
        <v>36</v>
      </c>
      <c r="C109" s="1" t="s">
        <v>45</v>
      </c>
      <c r="D109" s="2" t="s">
        <v>4</v>
      </c>
      <c r="E109" s="1" t="s">
        <v>324</v>
      </c>
      <c r="F109" s="1" t="s">
        <v>325</v>
      </c>
      <c r="G109" t="s">
        <v>322</v>
      </c>
      <c r="H109" s="1" t="s">
        <v>321</v>
      </c>
      <c r="I109" s="1" t="s">
        <v>39</v>
      </c>
      <c r="J109" s="1"/>
      <c r="K109" s="10" t="s">
        <v>15</v>
      </c>
    </row>
    <row r="110" spans="1:15" x14ac:dyDescent="0.2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0.31309604043807882</v>
      </c>
      <c r="F110" s="15">
        <v>-7.2499999999999995E-2</v>
      </c>
      <c r="G110" s="103">
        <f>+D110*E110</f>
        <v>0.11221284900754565</v>
      </c>
      <c r="H110" s="9">
        <f>+F110*D110</f>
        <v>-2.5983821263482278E-2</v>
      </c>
      <c r="I110" s="9">
        <v>0.2175</v>
      </c>
      <c r="J110" s="1"/>
      <c r="K110" s="104">
        <f>(+G110*H110)</f>
        <v>-2.915718612078191E-3</v>
      </c>
      <c r="L110" s="105">
        <f>+I110-F110</f>
        <v>0.28999999999999998</v>
      </c>
      <c r="M110" s="105">
        <f>+L110-E110</f>
        <v>-2.3096040438078835E-2</v>
      </c>
      <c r="N110" s="105">
        <f>+M110*7</f>
        <v>-0.16167228306655185</v>
      </c>
      <c r="O110">
        <f>+N110*D110</f>
        <v>-5.7942947675315805E-2</v>
      </c>
    </row>
    <row r="111" spans="1:15" x14ac:dyDescent="0.2">
      <c r="A111" s="1"/>
      <c r="B111" s="1" t="s">
        <v>323</v>
      </c>
      <c r="C111" s="4">
        <v>2082</v>
      </c>
      <c r="D111" s="5">
        <f>+C111/C113</f>
        <v>0.64160246533127885</v>
      </c>
      <c r="E111" s="9">
        <f>+Rates!H67</f>
        <v>0.27202921324835494</v>
      </c>
      <c r="F111" s="9">
        <v>-0.06</v>
      </c>
      <c r="G111" s="103">
        <f>+D111*E111</f>
        <v>0.1745346138622727</v>
      </c>
      <c r="H111" s="9">
        <f>+F111*D111</f>
        <v>-3.8496147919876732E-2</v>
      </c>
      <c r="I111" s="9">
        <v>0.2175</v>
      </c>
      <c r="J111" s="1"/>
      <c r="K111" s="104">
        <f>(+G111*H111)</f>
        <v>-6.7189103123806177E-3</v>
      </c>
      <c r="L111" s="105">
        <f>+I111-F111</f>
        <v>0.27749999999999997</v>
      </c>
      <c r="M111" s="105">
        <f>+L111-E111</f>
        <v>5.4707867516450293E-3</v>
      </c>
      <c r="N111" s="105">
        <f>+M111*7</f>
        <v>3.8295507261515205E-2</v>
      </c>
      <c r="O111">
        <f>+N111*D111</f>
        <v>2.4570491870100047E-2</v>
      </c>
    </row>
    <row r="112" spans="1:15" x14ac:dyDescent="0.2">
      <c r="A112" s="1"/>
      <c r="B112" s="1"/>
      <c r="C112" s="9">
        <v>0</v>
      </c>
      <c r="D112" s="7">
        <f>+C112/C113</f>
        <v>0</v>
      </c>
      <c r="E112" s="9"/>
      <c r="F112" s="9" t="s">
        <v>45</v>
      </c>
      <c r="H112" s="1"/>
      <c r="I112" s="14"/>
      <c r="J112" s="1"/>
      <c r="O112">
        <f>SUM(O110:O111)</f>
        <v>-3.3372455805215757E-2</v>
      </c>
    </row>
    <row r="113" spans="3:15" x14ac:dyDescent="0.2">
      <c r="C113" s="4">
        <f>SUM(C110:C112)</f>
        <v>3245</v>
      </c>
      <c r="D113" s="5">
        <f>SUM(D110:D112)</f>
        <v>1</v>
      </c>
      <c r="M113" s="105">
        <f>AVERAGE(M110:M111)</f>
        <v>-8.812626843216903E-3</v>
      </c>
    </row>
    <row r="114" spans="3:15" x14ac:dyDescent="0.2">
      <c r="O114" t="e">
        <f>+O112+O104</f>
        <v>#REF!</v>
      </c>
    </row>
    <row r="115" spans="3:15" x14ac:dyDescent="0.2">
      <c r="O115" t="e">
        <f>+O114/12</f>
        <v>#REF!</v>
      </c>
    </row>
    <row r="116" spans="3:15" x14ac:dyDescent="0.2">
      <c r="M116" s="105">
        <f>+M113+M105</f>
        <v>-8.812626843216903E-3</v>
      </c>
    </row>
    <row r="131" spans="1:15" x14ac:dyDescent="0.2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322</v>
      </c>
      <c r="H131" s="1" t="s">
        <v>321</v>
      </c>
      <c r="I131" s="1" t="s">
        <v>331</v>
      </c>
      <c r="J131" s="1"/>
      <c r="K131" s="10" t="s">
        <v>45</v>
      </c>
      <c r="L131" s="105" t="s">
        <v>326</v>
      </c>
      <c r="M131" s="105" t="s">
        <v>328</v>
      </c>
      <c r="N131" s="105" t="s">
        <v>330</v>
      </c>
    </row>
    <row r="132" spans="1:15" x14ac:dyDescent="0.2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03" t="e">
        <f>+D132*E132</f>
        <v>#REF!</v>
      </c>
      <c r="H132" s="9">
        <f>+F132*D132</f>
        <v>-2.5983821263482278E-2</v>
      </c>
      <c r="I132" s="9">
        <v>0.2525</v>
      </c>
      <c r="J132" s="1"/>
      <c r="K132" s="104" t="s">
        <v>45</v>
      </c>
      <c r="L132" s="105">
        <f>+I132-F132</f>
        <v>0.32500000000000001</v>
      </c>
      <c r="M132" s="105" t="e">
        <f>+L132-E132</f>
        <v>#REF!</v>
      </c>
      <c r="N132" s="105" t="e">
        <f>+M132*5</f>
        <v>#REF!</v>
      </c>
      <c r="O132" t="e">
        <f>+N132*D132</f>
        <v>#REF!</v>
      </c>
    </row>
    <row r="133" spans="1:15" x14ac:dyDescent="0.2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03" t="e">
        <f>+D133*E133</f>
        <v>#REF!</v>
      </c>
      <c r="H133" s="9">
        <f>+F133*D133</f>
        <v>-3.8496147919876732E-2</v>
      </c>
      <c r="I133" s="9">
        <v>0.2525</v>
      </c>
      <c r="J133" s="1"/>
      <c r="K133" s="104" t="s">
        <v>45</v>
      </c>
      <c r="L133" s="105">
        <f>+I133-F133</f>
        <v>0.3125</v>
      </c>
      <c r="M133" s="105" t="e">
        <f>+L133-E133</f>
        <v>#REF!</v>
      </c>
      <c r="N133" s="105" t="e">
        <f>+M133*5</f>
        <v>#REF!</v>
      </c>
      <c r="O133" t="e">
        <f>+N133*D133</f>
        <v>#REF!</v>
      </c>
    </row>
    <row r="134" spans="1:15" x14ac:dyDescent="0.2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">
      <c r="C135" s="4">
        <f>SUM(C132:C134)</f>
        <v>3245</v>
      </c>
      <c r="D135" s="5">
        <f>SUM(D132:D134)</f>
        <v>1</v>
      </c>
    </row>
    <row r="136" spans="1:15" x14ac:dyDescent="0.2">
      <c r="C136" s="44">
        <f>+C132*F132</f>
        <v>-84.317499999999995</v>
      </c>
    </row>
    <row r="137" spans="1:15" x14ac:dyDescent="0.2">
      <c r="C137" s="44">
        <f>+C133*F133</f>
        <v>-124.92</v>
      </c>
    </row>
    <row r="138" spans="1:15" x14ac:dyDescent="0.2">
      <c r="C138" s="44">
        <f>+C137+C136</f>
        <v>-209.23750000000001</v>
      </c>
      <c r="D138">
        <f>+C138/C135</f>
        <v>-6.4479969183359021E-2</v>
      </c>
      <c r="I138" t="s">
        <v>45</v>
      </c>
    </row>
    <row r="139" spans="1:15" x14ac:dyDescent="0.2">
      <c r="A139" s="1"/>
      <c r="B139" s="10" t="s">
        <v>36</v>
      </c>
      <c r="C139" s="1" t="s">
        <v>45</v>
      </c>
      <c r="D139" s="2" t="s">
        <v>4</v>
      </c>
      <c r="E139" s="1" t="s">
        <v>324</v>
      </c>
      <c r="F139" s="1" t="s">
        <v>325</v>
      </c>
      <c r="G139" t="s">
        <v>322</v>
      </c>
      <c r="H139" s="1" t="s">
        <v>321</v>
      </c>
      <c r="I139" s="1" t="s">
        <v>39</v>
      </c>
      <c r="J139" s="1"/>
      <c r="K139" s="10" t="s">
        <v>45</v>
      </c>
    </row>
    <row r="140" spans="1:15" x14ac:dyDescent="0.2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0.36820806794055239</v>
      </c>
      <c r="F140" s="15">
        <v>-7.2499999999999995E-2</v>
      </c>
      <c r="G140" s="103">
        <f>+D140*E140</f>
        <v>0.13196486379502695</v>
      </c>
      <c r="H140" s="9">
        <f>+F140*D140</f>
        <v>-2.5983821263482278E-2</v>
      </c>
      <c r="I140" s="9">
        <v>0.2525</v>
      </c>
      <c r="J140" s="1"/>
      <c r="K140" s="104" t="s">
        <v>45</v>
      </c>
      <c r="L140" s="105">
        <f>+I140-F140</f>
        <v>0.32500000000000001</v>
      </c>
      <c r="M140" s="105">
        <f>+L140-E140</f>
        <v>-4.3208067940552375E-2</v>
      </c>
      <c r="N140" s="105">
        <f>+M140*7</f>
        <v>-0.30245647558386662</v>
      </c>
      <c r="O140">
        <f>+N140*D140</f>
        <v>-0.10839965519384803</v>
      </c>
    </row>
    <row r="141" spans="1:15" x14ac:dyDescent="0.2">
      <c r="A141" s="1"/>
      <c r="B141" s="1" t="s">
        <v>332</v>
      </c>
      <c r="C141" s="4">
        <v>2082</v>
      </c>
      <c r="D141" s="5">
        <f>+C141/C143</f>
        <v>0.64160246533127885</v>
      </c>
      <c r="E141" s="9">
        <f>+Rates!H72</f>
        <v>0.3275180535074782</v>
      </c>
      <c r="F141" s="9">
        <v>-0.06</v>
      </c>
      <c r="G141" s="103">
        <f>+D141*E141</f>
        <v>0.21013639057089972</v>
      </c>
      <c r="H141" s="9">
        <f>+F141*D141</f>
        <v>-3.8496147919876732E-2</v>
      </c>
      <c r="I141" s="9">
        <v>0.2525</v>
      </c>
      <c r="J141" s="1"/>
      <c r="K141" s="104" t="s">
        <v>45</v>
      </c>
      <c r="L141" s="105">
        <f>+I141-F141</f>
        <v>0.3125</v>
      </c>
      <c r="M141" s="105">
        <f>+L141-E141</f>
        <v>-1.5018053507478202E-2</v>
      </c>
      <c r="N141" s="105">
        <f>+M141*7</f>
        <v>-0.10512637455234741</v>
      </c>
      <c r="O141">
        <f>+N141*D141</f>
        <v>-6.7449341084125522E-2</v>
      </c>
    </row>
    <row r="142" spans="1:15" x14ac:dyDescent="0.2">
      <c r="A142" s="1"/>
      <c r="B142" s="1"/>
      <c r="C142" s="9">
        <v>0</v>
      </c>
      <c r="D142" s="7">
        <f>+C142/C143</f>
        <v>0</v>
      </c>
      <c r="E142" s="9"/>
      <c r="F142" s="9" t="s">
        <v>45</v>
      </c>
      <c r="H142" s="1"/>
      <c r="I142" s="14"/>
      <c r="J142" s="1"/>
      <c r="O142">
        <f>SUM(O140:O141)</f>
        <v>-0.17584899627797357</v>
      </c>
    </row>
    <row r="143" spans="1:15" x14ac:dyDescent="0.2">
      <c r="C143" s="4">
        <f>SUM(C140:C142)</f>
        <v>3245</v>
      </c>
      <c r="D143" s="5">
        <f>SUM(D140:D142)</f>
        <v>1</v>
      </c>
      <c r="M143" s="105">
        <f>AVERAGE(M140:M141)</f>
        <v>-2.9113060724015288E-2</v>
      </c>
    </row>
    <row r="144" spans="1:15" x14ac:dyDescent="0.2">
      <c r="O144" t="e">
        <f>+O142+O134</f>
        <v>#REF!</v>
      </c>
    </row>
    <row r="145" spans="2:15" x14ac:dyDescent="0.2">
      <c r="O145" t="e">
        <f>+O144/12</f>
        <v>#REF!</v>
      </c>
    </row>
    <row r="146" spans="2:15" x14ac:dyDescent="0.2">
      <c r="M146" s="105">
        <f>+M143+M135</f>
        <v>-2.9113060724015288E-2</v>
      </c>
    </row>
    <row r="151" spans="2:15" x14ac:dyDescent="0.2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322</v>
      </c>
      <c r="H151" s="1" t="s">
        <v>321</v>
      </c>
      <c r="I151" s="1" t="s">
        <v>335</v>
      </c>
      <c r="J151" s="1"/>
      <c r="K151" s="10" t="s">
        <v>45</v>
      </c>
      <c r="L151" s="105" t="s">
        <v>326</v>
      </c>
      <c r="M151" s="105" t="s">
        <v>328</v>
      </c>
      <c r="N151" s="105" t="s">
        <v>330</v>
      </c>
    </row>
    <row r="152" spans="2:15" x14ac:dyDescent="0.2">
      <c r="B152" s="1" t="s">
        <v>333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03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04" t="s">
        <v>45</v>
      </c>
      <c r="L152" s="105">
        <f>+I152-F152</f>
        <v>0.35749999999999998</v>
      </c>
      <c r="M152" s="105" t="e">
        <f>+L152-E152</f>
        <v>#REF!</v>
      </c>
      <c r="N152" s="105" t="e">
        <f>+M152*5</f>
        <v>#REF!</v>
      </c>
      <c r="O152" t="e">
        <f>+N152*D152</f>
        <v>#REF!</v>
      </c>
    </row>
    <row r="153" spans="2:15" x14ac:dyDescent="0.2">
      <c r="B153" s="1" t="s">
        <v>334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03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04" t="s">
        <v>45</v>
      </c>
      <c r="L153" s="105">
        <f>+I153-F153</f>
        <v>0.34499999999999997</v>
      </c>
      <c r="M153" s="105" t="e">
        <f>+L153-E153</f>
        <v>#REF!</v>
      </c>
      <c r="N153" s="105" t="e">
        <f>+M153*5</f>
        <v>#REF!</v>
      </c>
      <c r="O153" t="e">
        <f>+N153*D153</f>
        <v>#REF!</v>
      </c>
    </row>
    <row r="154" spans="2:15" x14ac:dyDescent="0.2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">
      <c r="C155" s="4">
        <f>SUM(C152:C154)</f>
        <v>3245</v>
      </c>
      <c r="D155" s="5">
        <f>SUM(D152:D154)</f>
        <v>1</v>
      </c>
    </row>
    <row r="156" spans="2:15" x14ac:dyDescent="0.2">
      <c r="C156" s="44">
        <f>+C152*F152</f>
        <v>-84.317499999999995</v>
      </c>
    </row>
    <row r="157" spans="2:15" x14ac:dyDescent="0.2">
      <c r="C157" s="44">
        <f>+C153*F153</f>
        <v>-124.92</v>
      </c>
    </row>
    <row r="158" spans="2:15" x14ac:dyDescent="0.2">
      <c r="C158" s="44">
        <f>+C157+C156</f>
        <v>-209.23750000000001</v>
      </c>
      <c r="D158">
        <f>+C158/C155</f>
        <v>-6.4479969183359021E-2</v>
      </c>
      <c r="I158" t="s">
        <v>45</v>
      </c>
    </row>
    <row r="159" spans="2:15" x14ac:dyDescent="0.2">
      <c r="B159" s="10" t="s">
        <v>36</v>
      </c>
      <c r="C159" s="1" t="s">
        <v>45</v>
      </c>
      <c r="D159" s="2" t="s">
        <v>4</v>
      </c>
      <c r="E159" s="1" t="s">
        <v>324</v>
      </c>
      <c r="F159" s="1" t="s">
        <v>325</v>
      </c>
      <c r="G159" t="s">
        <v>322</v>
      </c>
      <c r="H159" s="1" t="s">
        <v>321</v>
      </c>
      <c r="I159" s="1" t="s">
        <v>335</v>
      </c>
      <c r="J159" s="1"/>
      <c r="K159" s="10" t="s">
        <v>45</v>
      </c>
    </row>
    <row r="160" spans="2:15" x14ac:dyDescent="0.2">
      <c r="B160" s="1" t="s">
        <v>333</v>
      </c>
      <c r="C160" s="4">
        <v>1163</v>
      </c>
      <c r="D160" s="5">
        <f>+C160/C163</f>
        <v>0.3583975346687211</v>
      </c>
      <c r="E160" s="9">
        <f>+Rates!H42</f>
        <v>0.42154528301886807</v>
      </c>
      <c r="F160" s="15">
        <v>-7.2499999999999995E-2</v>
      </c>
      <c r="G160" s="103">
        <f>+D160*E160</f>
        <v>0.15108079018519061</v>
      </c>
      <c r="H160" s="9">
        <f>+F160*D160</f>
        <v>-2.5983821263482278E-2</v>
      </c>
      <c r="I160" s="9">
        <v>0.28499999999999998</v>
      </c>
      <c r="J160" s="1"/>
      <c r="K160" s="104" t="s">
        <v>45</v>
      </c>
      <c r="L160" s="105">
        <f>+I160-F160</f>
        <v>0.35749999999999998</v>
      </c>
      <c r="M160" s="105">
        <f>+L160-E160</f>
        <v>-6.4045283018868082E-2</v>
      </c>
      <c r="N160" s="105">
        <f>+M160*7</f>
        <v>-0.44831698113207658</v>
      </c>
      <c r="O160">
        <f>+N160*D160</f>
        <v>-0.16067570078785978</v>
      </c>
    </row>
    <row r="161" spans="2:15" x14ac:dyDescent="0.2">
      <c r="B161" s="1" t="s">
        <v>336</v>
      </c>
      <c r="C161" s="4">
        <v>2082</v>
      </c>
      <c r="D161" s="5">
        <f>+C161/C163</f>
        <v>0.64160246533127885</v>
      </c>
      <c r="E161" s="9">
        <f>+Rates!H77</f>
        <v>0.38020582792725721</v>
      </c>
      <c r="F161" s="9">
        <v>-0.06</v>
      </c>
      <c r="G161" s="103">
        <f>+D161*E161</f>
        <v>0.24394099653144821</v>
      </c>
      <c r="H161" s="9">
        <f>+F161*D161</f>
        <v>-3.8496147919876732E-2</v>
      </c>
      <c r="I161" s="9">
        <v>0.28499999999999998</v>
      </c>
      <c r="J161" s="1"/>
      <c r="K161" s="104" t="s">
        <v>45</v>
      </c>
      <c r="L161" s="105">
        <f>+I161-F161</f>
        <v>0.34499999999999997</v>
      </c>
      <c r="M161" s="105">
        <f>+L161-E161</f>
        <v>-3.5205827927257238E-2</v>
      </c>
      <c r="N161" s="105">
        <f>+M161*7</f>
        <v>-0.24644079549080067</v>
      </c>
      <c r="O161">
        <f>+N161*D161</f>
        <v>-0.15811702194509922</v>
      </c>
    </row>
    <row r="162" spans="2:15" x14ac:dyDescent="0.2">
      <c r="B162" s="1"/>
      <c r="C162" s="9">
        <v>0</v>
      </c>
      <c r="D162" s="7">
        <f>+C162/C163</f>
        <v>0</v>
      </c>
      <c r="E162" s="9"/>
      <c r="F162" s="9" t="s">
        <v>45</v>
      </c>
      <c r="H162" s="1"/>
      <c r="I162" s="14"/>
      <c r="J162" s="1"/>
      <c r="O162">
        <f>SUM(O160:O161)</f>
        <v>-0.318792722732959</v>
      </c>
    </row>
    <row r="163" spans="2:15" x14ac:dyDescent="0.2">
      <c r="C163" s="4">
        <f>SUM(C160:C162)</f>
        <v>3245</v>
      </c>
      <c r="D163" s="5">
        <f>SUM(D160:D162)</f>
        <v>1</v>
      </c>
      <c r="M163" s="105">
        <f>AVERAGE(M160:M161)</f>
        <v>-4.962555547306266E-2</v>
      </c>
    </row>
    <row r="164" spans="2:15" x14ac:dyDescent="0.2">
      <c r="O164" t="e">
        <f>+O162+O154</f>
        <v>#REF!</v>
      </c>
    </row>
    <row r="165" spans="2:15" x14ac:dyDescent="0.2">
      <c r="O165" t="e">
        <f>+O164/12</f>
        <v>#REF!</v>
      </c>
    </row>
    <row r="166" spans="2:15" x14ac:dyDescent="0.2">
      <c r="M166" s="105">
        <f>+M163+M155</f>
        <v>-4.962555547306266E-2</v>
      </c>
    </row>
  </sheetData>
  <phoneticPr fontId="0" type="noConversion"/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0"/>
  <sheetViews>
    <sheetView topLeftCell="A18" workbookViewId="0">
      <selection activeCell="C35" sqref="C35"/>
    </sheetView>
  </sheetViews>
  <sheetFormatPr defaultRowHeight="12.75" x14ac:dyDescent="0.2"/>
  <cols>
    <col min="1" max="1" width="11.28515625" style="47" customWidth="1"/>
    <col min="2" max="2" width="12" style="51" customWidth="1"/>
    <col min="3" max="3" width="17.140625" style="51" customWidth="1"/>
    <col min="4" max="4" width="14.42578125" style="48" customWidth="1"/>
    <col min="5" max="5" width="3.7109375" style="48" customWidth="1"/>
    <col min="6" max="6" width="11.28515625" style="47" customWidth="1"/>
    <col min="7" max="7" width="15.5703125" style="49" customWidth="1"/>
    <col min="8" max="8" width="14" style="49" customWidth="1"/>
    <col min="9" max="9" width="9.140625" style="47"/>
    <col min="10" max="10" width="13.7109375" style="47" customWidth="1"/>
    <col min="11" max="11" width="9.140625" style="47"/>
    <col min="12" max="12" width="12.42578125" style="47" customWidth="1"/>
    <col min="13" max="16384" width="9.140625" style="47"/>
  </cols>
  <sheetData>
    <row r="1" spans="1:10" x14ac:dyDescent="0.2">
      <c r="A1" s="50" t="s">
        <v>270</v>
      </c>
      <c r="D1" s="51"/>
      <c r="E1" s="51"/>
      <c r="F1" s="52"/>
      <c r="G1" s="50"/>
      <c r="H1" s="50"/>
      <c r="I1" s="53"/>
      <c r="J1" s="54"/>
    </row>
    <row r="2" spans="1:10" x14ac:dyDescent="0.2">
      <c r="A2" s="50"/>
      <c r="D2" s="125"/>
      <c r="E2" s="125"/>
      <c r="F2" s="52"/>
      <c r="G2" s="50"/>
      <c r="H2" s="50"/>
      <c r="I2" s="53"/>
      <c r="J2" s="54"/>
    </row>
    <row r="3" spans="1:10" x14ac:dyDescent="0.2">
      <c r="A3" s="50"/>
      <c r="D3" s="125"/>
      <c r="E3" s="125"/>
      <c r="F3" s="52"/>
      <c r="G3" s="50" t="s">
        <v>45</v>
      </c>
      <c r="H3" s="50" t="s">
        <v>45</v>
      </c>
      <c r="I3" s="53"/>
      <c r="J3" s="54"/>
    </row>
    <row r="4" spans="1:10" x14ac:dyDescent="0.2">
      <c r="A4" s="53"/>
      <c r="D4" s="51"/>
      <c r="E4" s="51"/>
      <c r="F4" s="52"/>
      <c r="G4" s="55"/>
      <c r="H4" s="50"/>
      <c r="I4" s="53"/>
      <c r="J4" s="54"/>
    </row>
    <row r="5" spans="1:10" x14ac:dyDescent="0.2">
      <c r="A5" s="56" t="s">
        <v>271</v>
      </c>
      <c r="B5" s="57" t="s">
        <v>273</v>
      </c>
      <c r="C5" s="57" t="s">
        <v>351</v>
      </c>
      <c r="D5" s="57" t="s">
        <v>281</v>
      </c>
      <c r="E5" s="57"/>
      <c r="F5" s="58" t="s">
        <v>197</v>
      </c>
      <c r="G5" s="59" t="s">
        <v>274</v>
      </c>
      <c r="H5" s="59" t="s">
        <v>275</v>
      </c>
      <c r="I5" s="56" t="s">
        <v>197</v>
      </c>
      <c r="J5" s="59" t="s">
        <v>278</v>
      </c>
    </row>
    <row r="6" spans="1:10" x14ac:dyDescent="0.2">
      <c r="A6" s="53" t="s">
        <v>272</v>
      </c>
      <c r="B6" s="51">
        <v>0.30509999999999998</v>
      </c>
      <c r="C6" s="51">
        <v>77177</v>
      </c>
      <c r="D6" s="51" t="s">
        <v>282</v>
      </c>
      <c r="E6" s="51"/>
      <c r="F6" s="52"/>
      <c r="G6" s="50" t="s">
        <v>276</v>
      </c>
      <c r="H6" s="50" t="s">
        <v>276</v>
      </c>
      <c r="I6" s="53" t="s">
        <v>277</v>
      </c>
      <c r="J6" s="50" t="s">
        <v>280</v>
      </c>
    </row>
    <row r="7" spans="1:10" x14ac:dyDescent="0.2">
      <c r="A7" s="53" t="s">
        <v>272</v>
      </c>
      <c r="B7" s="51">
        <v>0.49830000000000002</v>
      </c>
      <c r="C7" s="51">
        <v>77169</v>
      </c>
      <c r="D7" s="51" t="s">
        <v>282</v>
      </c>
      <c r="E7" s="51"/>
      <c r="F7" s="52"/>
      <c r="G7" s="50" t="s">
        <v>276</v>
      </c>
      <c r="H7" s="50" t="s">
        <v>276</v>
      </c>
      <c r="I7" s="53" t="s">
        <v>277</v>
      </c>
      <c r="J7" s="50" t="s">
        <v>279</v>
      </c>
    </row>
    <row r="8" spans="1:10" x14ac:dyDescent="0.2">
      <c r="A8" s="53" t="s">
        <v>272</v>
      </c>
      <c r="B8" s="51">
        <v>0.2999</v>
      </c>
      <c r="D8" s="51" t="s">
        <v>282</v>
      </c>
      <c r="E8" s="51"/>
      <c r="F8" s="52"/>
      <c r="G8" s="50" t="s">
        <v>276</v>
      </c>
      <c r="H8" s="50" t="s">
        <v>276</v>
      </c>
      <c r="I8" s="53" t="s">
        <v>277</v>
      </c>
      <c r="J8" s="50" t="s">
        <v>279</v>
      </c>
    </row>
    <row r="9" spans="1:10" x14ac:dyDescent="0.2">
      <c r="A9" s="53" t="s">
        <v>272</v>
      </c>
      <c r="B9" s="51">
        <v>0.27739999999999998</v>
      </c>
      <c r="C9" s="51">
        <v>77175</v>
      </c>
      <c r="D9" s="51" t="s">
        <v>282</v>
      </c>
      <c r="E9" s="51"/>
      <c r="F9" s="52"/>
      <c r="G9" s="50" t="s">
        <v>276</v>
      </c>
      <c r="H9" s="50" t="s">
        <v>276</v>
      </c>
      <c r="I9" s="53" t="s">
        <v>277</v>
      </c>
      <c r="J9" s="50" t="s">
        <v>279</v>
      </c>
    </row>
    <row r="10" spans="1:10" x14ac:dyDescent="0.2">
      <c r="A10" s="53" t="s">
        <v>272</v>
      </c>
      <c r="B10" s="51">
        <v>0.75370000000000004</v>
      </c>
      <c r="C10" s="51">
        <v>82420</v>
      </c>
      <c r="D10" s="51" t="s">
        <v>349</v>
      </c>
      <c r="E10" s="51"/>
      <c r="F10" s="52"/>
      <c r="G10" s="50" t="s">
        <v>276</v>
      </c>
      <c r="H10" s="50" t="s">
        <v>276</v>
      </c>
      <c r="I10" s="53" t="s">
        <v>277</v>
      </c>
      <c r="J10" s="50" t="s">
        <v>350</v>
      </c>
    </row>
    <row r="11" spans="1:10" x14ac:dyDescent="0.2">
      <c r="A11" s="53" t="s">
        <v>272</v>
      </c>
      <c r="B11" s="51">
        <v>3.073</v>
      </c>
      <c r="C11" s="51">
        <v>96503</v>
      </c>
      <c r="D11" s="51" t="s">
        <v>363</v>
      </c>
      <c r="E11" s="51"/>
      <c r="F11" s="52"/>
      <c r="G11" s="50" t="s">
        <v>276</v>
      </c>
      <c r="H11" s="50" t="s">
        <v>276</v>
      </c>
      <c r="I11" s="53" t="s">
        <v>277</v>
      </c>
      <c r="J11" s="50" t="s">
        <v>364</v>
      </c>
    </row>
    <row r="12" spans="1:10" x14ac:dyDescent="0.2">
      <c r="A12" s="53" t="s">
        <v>272</v>
      </c>
      <c r="B12" s="51">
        <v>1.8793</v>
      </c>
      <c r="C12" s="51">
        <v>104783</v>
      </c>
      <c r="D12" s="51" t="s">
        <v>378</v>
      </c>
      <c r="E12" s="51"/>
      <c r="F12" s="52"/>
      <c r="G12" s="50" t="s">
        <v>276</v>
      </c>
      <c r="H12" s="50" t="s">
        <v>276</v>
      </c>
      <c r="I12" s="53" t="s">
        <v>277</v>
      </c>
      <c r="J12" s="50" t="s">
        <v>379</v>
      </c>
    </row>
    <row r="13" spans="1:10" x14ac:dyDescent="0.2">
      <c r="A13" s="53" t="s">
        <v>272</v>
      </c>
      <c r="B13" s="51">
        <v>0.90469999999999995</v>
      </c>
      <c r="C13" s="51">
        <v>168466</v>
      </c>
      <c r="D13" s="51" t="s">
        <v>492</v>
      </c>
      <c r="E13" s="51"/>
      <c r="F13" s="52"/>
      <c r="G13" s="50" t="s">
        <v>276</v>
      </c>
      <c r="H13" s="50" t="s">
        <v>276</v>
      </c>
      <c r="I13" s="53" t="s">
        <v>277</v>
      </c>
      <c r="J13" s="50" t="s">
        <v>493</v>
      </c>
    </row>
    <row r="15" spans="1:10" x14ac:dyDescent="0.2">
      <c r="A15" s="47" t="s">
        <v>595</v>
      </c>
      <c r="B15" s="51" t="s">
        <v>596</v>
      </c>
    </row>
    <row r="17" spans="1:10" x14ac:dyDescent="0.2">
      <c r="A17" s="47" t="s">
        <v>189</v>
      </c>
      <c r="B17" s="51">
        <v>2891</v>
      </c>
      <c r="D17" s="48" t="s">
        <v>282</v>
      </c>
      <c r="G17" s="49" t="s">
        <v>276</v>
      </c>
      <c r="H17" s="49" t="s">
        <v>276</v>
      </c>
    </row>
    <row r="18" spans="1:10" x14ac:dyDescent="0.2">
      <c r="A18" s="47" t="s">
        <v>189</v>
      </c>
      <c r="B18" s="51">
        <v>80045</v>
      </c>
      <c r="D18" s="48" t="s">
        <v>277</v>
      </c>
    </row>
    <row r="20" spans="1:10" x14ac:dyDescent="0.2">
      <c r="A20" s="47" t="s">
        <v>0</v>
      </c>
      <c r="B20" s="51" t="s">
        <v>299</v>
      </c>
      <c r="C20" s="51">
        <v>98243</v>
      </c>
      <c r="D20" s="48" t="s">
        <v>337</v>
      </c>
      <c r="G20" s="49" t="s">
        <v>276</v>
      </c>
      <c r="H20" s="49" t="s">
        <v>276</v>
      </c>
      <c r="J20" s="47" t="s">
        <v>338</v>
      </c>
    </row>
    <row r="21" spans="1:10" x14ac:dyDescent="0.2">
      <c r="A21" s="47" t="s">
        <v>0</v>
      </c>
      <c r="B21" s="51" t="s">
        <v>299</v>
      </c>
      <c r="C21" s="51">
        <v>98567</v>
      </c>
      <c r="D21" s="48" t="s">
        <v>359</v>
      </c>
      <c r="G21" s="49" t="s">
        <v>276</v>
      </c>
      <c r="H21" s="49" t="s">
        <v>276</v>
      </c>
      <c r="J21" s="47" t="s">
        <v>360</v>
      </c>
    </row>
    <row r="22" spans="1:10" x14ac:dyDescent="0.2">
      <c r="A22" s="47" t="s">
        <v>0</v>
      </c>
      <c r="B22" s="51">
        <v>600228</v>
      </c>
      <c r="C22" s="51">
        <v>77009</v>
      </c>
      <c r="D22" s="48" t="s">
        <v>361</v>
      </c>
      <c r="G22" s="49" t="s">
        <v>276</v>
      </c>
      <c r="H22" s="49" t="s">
        <v>276</v>
      </c>
      <c r="J22" s="47" t="s">
        <v>362</v>
      </c>
    </row>
    <row r="24" spans="1:10" x14ac:dyDescent="0.2">
      <c r="A24" s="47" t="s">
        <v>496</v>
      </c>
      <c r="B24" s="51" t="s">
        <v>497</v>
      </c>
      <c r="C24" s="51">
        <v>168569</v>
      </c>
      <c r="D24" s="48" t="s">
        <v>498</v>
      </c>
      <c r="G24" s="49" t="s">
        <v>276</v>
      </c>
      <c r="H24" s="49" t="s">
        <v>276</v>
      </c>
      <c r="J24" s="47" t="s">
        <v>495</v>
      </c>
    </row>
    <row r="26" spans="1:10" x14ac:dyDescent="0.2">
      <c r="A26" s="47" t="s">
        <v>283</v>
      </c>
      <c r="B26" s="51">
        <v>9310010</v>
      </c>
      <c r="D26" s="48" t="s">
        <v>284</v>
      </c>
    </row>
    <row r="28" spans="1:10" x14ac:dyDescent="0.2">
      <c r="A28" s="47" t="s">
        <v>27</v>
      </c>
      <c r="B28" s="51">
        <v>38641</v>
      </c>
      <c r="C28" s="51">
        <v>93039</v>
      </c>
      <c r="D28" s="48" t="s">
        <v>374</v>
      </c>
      <c r="J28" s="47" t="s">
        <v>375</v>
      </c>
    </row>
    <row r="29" spans="1:10" x14ac:dyDescent="0.2">
      <c r="A29" s="47" t="s">
        <v>27</v>
      </c>
      <c r="B29" s="51">
        <v>37556</v>
      </c>
      <c r="C29" s="51">
        <v>93037</v>
      </c>
      <c r="D29" s="48" t="s">
        <v>285</v>
      </c>
      <c r="J29" s="47" t="s">
        <v>286</v>
      </c>
    </row>
    <row r="30" spans="1:10" x14ac:dyDescent="0.2">
      <c r="A30" s="47" t="s">
        <v>27</v>
      </c>
      <c r="B30" s="51">
        <v>39229</v>
      </c>
      <c r="C30" s="51">
        <v>93030</v>
      </c>
      <c r="D30" s="48" t="s">
        <v>376</v>
      </c>
      <c r="J30" s="47" t="s">
        <v>377</v>
      </c>
    </row>
    <row r="33" spans="1:10" x14ac:dyDescent="0.2">
      <c r="A33" s="47" t="s">
        <v>287</v>
      </c>
      <c r="B33" s="51">
        <v>40998</v>
      </c>
      <c r="D33" s="48" t="s">
        <v>282</v>
      </c>
    </row>
    <row r="34" spans="1:10" x14ac:dyDescent="0.2">
      <c r="A34" s="47" t="s">
        <v>287</v>
      </c>
      <c r="B34" s="51">
        <v>38021</v>
      </c>
      <c r="C34" s="51">
        <v>166118</v>
      </c>
      <c r="D34" s="48" t="s">
        <v>494</v>
      </c>
      <c r="G34" s="49" t="s">
        <v>276</v>
      </c>
      <c r="H34" s="49" t="s">
        <v>276</v>
      </c>
      <c r="J34" s="47" t="s">
        <v>495</v>
      </c>
    </row>
    <row r="36" spans="1:10" x14ac:dyDescent="0.2">
      <c r="A36" s="47" t="s">
        <v>109</v>
      </c>
      <c r="B36" s="51" t="s">
        <v>366</v>
      </c>
      <c r="C36" s="51">
        <v>102637</v>
      </c>
      <c r="D36" s="48" t="s">
        <v>367</v>
      </c>
      <c r="F36" s="47">
        <v>60000</v>
      </c>
      <c r="J36" s="47" t="s">
        <v>368</v>
      </c>
    </row>
    <row r="37" spans="1:10" x14ac:dyDescent="0.2">
      <c r="A37" s="47" t="s">
        <v>109</v>
      </c>
      <c r="B37" s="51" t="s">
        <v>647</v>
      </c>
      <c r="C37" s="51">
        <v>549343</v>
      </c>
    </row>
    <row r="38" spans="1:10" x14ac:dyDescent="0.2">
      <c r="A38" s="47" t="s">
        <v>109</v>
      </c>
      <c r="B38" s="51" t="s">
        <v>648</v>
      </c>
      <c r="C38" s="51">
        <v>549352</v>
      </c>
    </row>
    <row r="39" spans="1:10" x14ac:dyDescent="0.2">
      <c r="A39" s="47" t="s">
        <v>109</v>
      </c>
      <c r="B39" s="51" t="s">
        <v>649</v>
      </c>
      <c r="C39" s="51">
        <v>549353</v>
      </c>
    </row>
    <row r="40" spans="1:10" x14ac:dyDescent="0.2">
      <c r="A40" s="47" t="s">
        <v>109</v>
      </c>
      <c r="B40" s="51" t="s">
        <v>650</v>
      </c>
      <c r="C40" s="51">
        <v>549354</v>
      </c>
    </row>
    <row r="43" spans="1:10" x14ac:dyDescent="0.2">
      <c r="A43" s="47" t="s">
        <v>369</v>
      </c>
      <c r="B43" s="51" t="s">
        <v>370</v>
      </c>
      <c r="C43" s="51">
        <v>104749</v>
      </c>
      <c r="D43" s="48" t="s">
        <v>371</v>
      </c>
      <c r="G43" s="49" t="s">
        <v>372</v>
      </c>
      <c r="J43" s="47" t="s">
        <v>373</v>
      </c>
    </row>
    <row r="44" spans="1:10" x14ac:dyDescent="0.2">
      <c r="A44" s="47" t="s">
        <v>369</v>
      </c>
      <c r="B44" s="51" t="s">
        <v>400</v>
      </c>
      <c r="C44" s="51">
        <v>82026</v>
      </c>
      <c r="D44" s="48" t="s">
        <v>282</v>
      </c>
      <c r="G44" s="49" t="s">
        <v>276</v>
      </c>
      <c r="H44" s="49" t="s">
        <v>276</v>
      </c>
    </row>
    <row r="45" spans="1:10" x14ac:dyDescent="0.2">
      <c r="A45" s="47" t="s">
        <v>369</v>
      </c>
      <c r="B45" s="51" t="s">
        <v>625</v>
      </c>
      <c r="C45" s="51">
        <v>312407</v>
      </c>
      <c r="D45" s="48" t="s">
        <v>627</v>
      </c>
      <c r="G45" s="49" t="s">
        <v>276</v>
      </c>
      <c r="H45" s="49" t="s">
        <v>276</v>
      </c>
      <c r="J45" s="47" t="s">
        <v>630</v>
      </c>
    </row>
    <row r="46" spans="1:10" x14ac:dyDescent="0.2">
      <c r="A46" s="47" t="s">
        <v>369</v>
      </c>
      <c r="B46" s="51" t="s">
        <v>626</v>
      </c>
      <c r="C46" s="51" t="s">
        <v>631</v>
      </c>
      <c r="D46" s="48" t="s">
        <v>628</v>
      </c>
      <c r="G46" s="49" t="s">
        <v>276</v>
      </c>
      <c r="H46" s="49" t="s">
        <v>276</v>
      </c>
      <c r="J46" s="47" t="s">
        <v>629</v>
      </c>
    </row>
    <row r="48" spans="1:10" x14ac:dyDescent="0.2">
      <c r="A48" s="47" t="s">
        <v>390</v>
      </c>
      <c r="B48" s="51" t="s">
        <v>391</v>
      </c>
      <c r="C48" s="51">
        <v>117510</v>
      </c>
      <c r="D48" s="48" t="s">
        <v>282</v>
      </c>
      <c r="J48" s="47" t="s">
        <v>392</v>
      </c>
    </row>
    <row r="50" spans="1:25" x14ac:dyDescent="0.2">
      <c r="A50" s="47" t="s">
        <v>406</v>
      </c>
      <c r="B50" s="51">
        <v>15</v>
      </c>
      <c r="C50" s="51">
        <v>125711</v>
      </c>
      <c r="D50" s="48" t="s">
        <v>282</v>
      </c>
    </row>
    <row r="52" spans="1:25" x14ac:dyDescent="0.2">
      <c r="A52" s="47" t="s">
        <v>410</v>
      </c>
      <c r="B52" s="51" t="s">
        <v>411</v>
      </c>
      <c r="C52" s="51">
        <v>124109</v>
      </c>
      <c r="D52" s="48" t="s">
        <v>412</v>
      </c>
    </row>
    <row r="53" spans="1:25" x14ac:dyDescent="0.2">
      <c r="A53" s="47" t="s">
        <v>410</v>
      </c>
      <c r="B53" s="51" t="s">
        <v>413</v>
      </c>
      <c r="C53" s="51">
        <v>77753</v>
      </c>
      <c r="D53" s="48" t="s">
        <v>282</v>
      </c>
    </row>
    <row r="55" spans="1:25" x14ac:dyDescent="0.2">
      <c r="A55" s="47" t="s">
        <v>508</v>
      </c>
      <c r="B55" s="244" t="s">
        <v>509</v>
      </c>
      <c r="C55" s="51">
        <v>220796</v>
      </c>
      <c r="D55" s="48" t="s">
        <v>282</v>
      </c>
      <c r="F55" s="47" t="s">
        <v>475</v>
      </c>
      <c r="J55" s="47" t="s">
        <v>510</v>
      </c>
    </row>
    <row r="58" spans="1:25" x14ac:dyDescent="0.2">
      <c r="A58" s="16" t="s">
        <v>466</v>
      </c>
      <c r="B58" s="18" t="s">
        <v>22</v>
      </c>
      <c r="C58" s="18" t="s">
        <v>22</v>
      </c>
      <c r="D58" s="19" t="s">
        <v>475</v>
      </c>
      <c r="E58" s="19" t="s">
        <v>475</v>
      </c>
      <c r="F58" s="16" t="s">
        <v>476</v>
      </c>
      <c r="G58" s="16" t="s">
        <v>476</v>
      </c>
      <c r="H58" s="18" t="s">
        <v>282</v>
      </c>
      <c r="I58" s="24">
        <v>0</v>
      </c>
      <c r="J58" s="20">
        <v>0</v>
      </c>
      <c r="K58" s="20">
        <v>2.2000000000000001E-3</v>
      </c>
      <c r="L58" s="20">
        <v>7.1999999999999998E-3</v>
      </c>
      <c r="M58" s="20">
        <v>1.3100000000000001E-2</v>
      </c>
      <c r="N58" s="211">
        <v>0</v>
      </c>
      <c r="O58" s="20">
        <f>SUM(I58:M58)</f>
        <v>2.2499999999999999E-2</v>
      </c>
      <c r="P58" s="209" t="s">
        <v>477</v>
      </c>
      <c r="Q58" s="209" t="s">
        <v>477</v>
      </c>
      <c r="R58" s="18">
        <v>0</v>
      </c>
      <c r="S58" s="16" t="s">
        <v>478</v>
      </c>
      <c r="T58" s="25">
        <f>I58*I$1*R58</f>
        <v>0</v>
      </c>
      <c r="U58" s="25"/>
      <c r="V58" s="229"/>
      <c r="W58" s="229">
        <v>145336</v>
      </c>
      <c r="X58" s="112"/>
      <c r="Y58" s="112"/>
    </row>
    <row r="60" spans="1:25" x14ac:dyDescent="0.2">
      <c r="A60" s="47" t="s">
        <v>633</v>
      </c>
      <c r="B60" s="51" t="s">
        <v>634</v>
      </c>
      <c r="C60" s="51">
        <v>220903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35" customWidth="1"/>
    <col min="7" max="7" width="8" style="35" customWidth="1"/>
    <col min="8" max="8" width="6.42578125" style="34" customWidth="1"/>
    <col min="9" max="9" width="8.85546875" style="34" hidden="1" customWidth="1"/>
    <col min="10" max="13" width="0" style="34" hidden="1" customWidth="1"/>
    <col min="14" max="14" width="0" style="238" hidden="1" customWidth="1"/>
    <col min="15" max="15" width="0" style="34" hidden="1" customWidth="1"/>
    <col min="16" max="16" width="12.28515625" style="113" customWidth="1"/>
    <col min="17" max="17" width="9.140625" style="34"/>
    <col min="18" max="18" width="13.7109375" style="34" customWidth="1"/>
    <col min="19" max="20" width="9.140625" style="34"/>
    <col min="21" max="21" width="13.5703125" style="113" customWidth="1"/>
    <col min="22" max="22" width="42.28515625" style="34" customWidth="1"/>
    <col min="23" max="24" width="9.140625" style="113"/>
    <col min="25" max="25" width="12.42578125" style="34" customWidth="1"/>
    <col min="26" max="16384" width="9.140625" style="34"/>
  </cols>
  <sheetData>
    <row r="1" spans="1:24" x14ac:dyDescent="0.2">
      <c r="A1" s="124" t="s">
        <v>490</v>
      </c>
      <c r="B1" s="18"/>
      <c r="C1" s="18"/>
      <c r="D1" s="19"/>
      <c r="E1" s="19"/>
      <c r="F1" s="16"/>
      <c r="G1" s="16"/>
      <c r="H1" s="18" t="s">
        <v>69</v>
      </c>
      <c r="I1" s="23">
        <v>31</v>
      </c>
      <c r="J1" s="210" t="s">
        <v>443</v>
      </c>
      <c r="K1" s="20"/>
      <c r="L1" s="20"/>
      <c r="M1" s="20"/>
      <c r="N1" s="211"/>
      <c r="O1" s="20"/>
      <c r="P1" s="112"/>
      <c r="Q1" s="17"/>
      <c r="R1" s="36"/>
      <c r="S1" s="36"/>
      <c r="T1" s="36"/>
      <c r="U1" s="212"/>
      <c r="V1" s="36"/>
      <c r="W1" s="111"/>
      <c r="X1" s="111"/>
    </row>
    <row r="2" spans="1:24" x14ac:dyDescent="0.2">
      <c r="A2" s="152" t="s">
        <v>395</v>
      </c>
      <c r="B2" s="152"/>
      <c r="C2" s="152"/>
      <c r="D2" s="19"/>
      <c r="E2" s="19"/>
      <c r="F2" s="16"/>
      <c r="G2" s="16"/>
      <c r="H2" s="18"/>
      <c r="I2" s="23"/>
      <c r="J2" s="210" t="s">
        <v>444</v>
      </c>
      <c r="K2" s="20"/>
      <c r="L2" s="20"/>
      <c r="M2" s="20"/>
      <c r="N2" s="211"/>
      <c r="O2" s="20"/>
      <c r="P2" s="112"/>
      <c r="Q2" s="17"/>
      <c r="R2" s="36"/>
      <c r="S2" s="36"/>
      <c r="T2" s="36"/>
      <c r="U2" s="212"/>
      <c r="V2" s="36"/>
      <c r="W2" s="111"/>
      <c r="X2" s="111"/>
    </row>
    <row r="3" spans="1:24" x14ac:dyDescent="0.2">
      <c r="A3" s="158" t="s">
        <v>396</v>
      </c>
      <c r="B3" s="158"/>
      <c r="C3" s="158"/>
      <c r="D3" s="19"/>
      <c r="E3" s="19"/>
      <c r="F3" s="22" t="s">
        <v>45</v>
      </c>
      <c r="G3" s="16" t="s">
        <v>45</v>
      </c>
      <c r="H3" s="17" t="s">
        <v>45</v>
      </c>
      <c r="I3" s="24"/>
      <c r="J3" s="39" t="s">
        <v>45</v>
      </c>
      <c r="K3" s="20"/>
      <c r="L3" s="39" t="s">
        <v>45</v>
      </c>
      <c r="M3" s="20"/>
      <c r="N3" s="211"/>
      <c r="O3" s="39" t="s">
        <v>45</v>
      </c>
      <c r="P3" s="112"/>
      <c r="Q3" s="17"/>
      <c r="R3" s="36"/>
      <c r="S3" s="36"/>
      <c r="T3" s="36"/>
      <c r="U3" s="212"/>
      <c r="V3" s="36"/>
      <c r="W3" s="111"/>
      <c r="X3" s="111"/>
    </row>
    <row r="4" spans="1:24" x14ac:dyDescent="0.2">
      <c r="A4" s="159" t="s">
        <v>445</v>
      </c>
      <c r="B4" s="160"/>
      <c r="C4" s="160"/>
      <c r="D4" s="19"/>
      <c r="E4" s="19"/>
      <c r="F4" s="40"/>
      <c r="G4" s="16"/>
      <c r="H4" s="40"/>
      <c r="I4" s="24"/>
      <c r="J4" s="40"/>
      <c r="K4" s="20"/>
      <c r="L4" s="40"/>
      <c r="M4" s="17"/>
      <c r="N4" s="211"/>
      <c r="O4" s="17"/>
      <c r="P4" s="112"/>
      <c r="Q4" s="17"/>
      <c r="R4" s="36"/>
      <c r="S4" s="41"/>
      <c r="T4" s="41"/>
      <c r="U4" s="213"/>
      <c r="V4" s="36"/>
      <c r="W4" s="111"/>
      <c r="X4" s="111"/>
    </row>
    <row r="5" spans="1:24" x14ac:dyDescent="0.2">
      <c r="A5" s="16" t="s">
        <v>446</v>
      </c>
      <c r="B5" s="18"/>
      <c r="C5" s="214" t="s">
        <v>447</v>
      </c>
      <c r="D5" s="19"/>
      <c r="E5" s="19"/>
      <c r="F5" s="40"/>
      <c r="G5" s="16"/>
      <c r="H5" s="40"/>
      <c r="I5" s="24"/>
      <c r="J5" s="40"/>
      <c r="K5" s="20"/>
      <c r="L5" s="40"/>
      <c r="M5" s="17"/>
      <c r="N5" s="211"/>
      <c r="O5" s="17"/>
      <c r="P5" s="112"/>
      <c r="Q5" s="17"/>
      <c r="R5" s="36"/>
      <c r="S5" s="41"/>
      <c r="T5" s="41"/>
      <c r="U5" s="213"/>
      <c r="V5" s="36"/>
      <c r="W5" s="111"/>
      <c r="X5" s="111"/>
    </row>
    <row r="6" spans="1:24" x14ac:dyDescent="0.2">
      <c r="A6" s="16"/>
      <c r="B6" s="18"/>
      <c r="C6" s="214" t="s">
        <v>448</v>
      </c>
      <c r="D6" s="19"/>
      <c r="E6" s="19"/>
      <c r="F6" s="40"/>
      <c r="G6" s="16"/>
      <c r="H6" s="40"/>
      <c r="I6" s="24"/>
      <c r="J6" s="40"/>
      <c r="K6" s="20"/>
      <c r="L6" s="40"/>
      <c r="M6" s="17"/>
      <c r="N6" s="211"/>
      <c r="O6" s="17"/>
      <c r="P6" s="112"/>
      <c r="Q6" s="17"/>
      <c r="R6" s="36"/>
      <c r="S6" s="41"/>
      <c r="T6" s="41"/>
      <c r="U6" s="213"/>
      <c r="V6" s="36"/>
      <c r="W6" s="111"/>
      <c r="X6" s="111"/>
    </row>
    <row r="7" spans="1:24" x14ac:dyDescent="0.2">
      <c r="A7" s="16"/>
      <c r="B7" s="18"/>
      <c r="C7" s="214" t="s">
        <v>449</v>
      </c>
      <c r="D7" s="19"/>
      <c r="E7" s="19"/>
      <c r="F7" s="40"/>
      <c r="G7" s="16"/>
      <c r="H7" s="40"/>
      <c r="I7" s="24"/>
      <c r="J7" s="40"/>
      <c r="K7" s="20"/>
      <c r="L7" s="40"/>
      <c r="M7" s="17"/>
      <c r="N7" s="211"/>
      <c r="O7" s="17"/>
      <c r="P7" s="112"/>
      <c r="Q7" s="17"/>
      <c r="R7" s="36"/>
      <c r="S7" s="41"/>
      <c r="T7" s="41"/>
      <c r="U7" s="213"/>
      <c r="V7" s="36"/>
      <c r="W7" s="111"/>
      <c r="X7" s="111"/>
    </row>
    <row r="8" spans="1:24" x14ac:dyDescent="0.2">
      <c r="A8" s="16"/>
      <c r="B8" s="18"/>
      <c r="C8" s="214"/>
      <c r="D8" s="19"/>
      <c r="E8" s="19"/>
      <c r="F8" s="40"/>
      <c r="G8" s="16"/>
      <c r="H8" s="40"/>
      <c r="I8" s="24"/>
      <c r="J8" s="40"/>
      <c r="K8" s="20"/>
      <c r="L8" s="40"/>
      <c r="M8" s="17"/>
      <c r="N8" s="211"/>
      <c r="O8" s="17"/>
      <c r="P8" s="112"/>
      <c r="Q8" s="17"/>
      <c r="R8" s="36"/>
      <c r="S8" s="41"/>
      <c r="T8" s="41"/>
      <c r="U8" s="213"/>
      <c r="V8" s="36"/>
      <c r="W8" s="111"/>
      <c r="X8" s="111"/>
    </row>
    <row r="9" spans="1:24" x14ac:dyDescent="0.2">
      <c r="A9" s="16"/>
      <c r="B9" s="18"/>
      <c r="C9" s="214"/>
      <c r="D9" s="19"/>
      <c r="E9" s="19"/>
      <c r="F9" s="40"/>
      <c r="G9" s="16"/>
      <c r="H9" s="40"/>
      <c r="I9" s="24"/>
      <c r="J9" s="40"/>
      <c r="K9" s="20"/>
      <c r="L9" s="40"/>
      <c r="M9" s="17"/>
      <c r="N9" s="211"/>
      <c r="O9" s="17"/>
      <c r="P9" s="112"/>
      <c r="Q9" s="17"/>
      <c r="R9" s="36"/>
      <c r="S9" s="41"/>
      <c r="T9" s="41"/>
      <c r="U9" s="213"/>
      <c r="V9" s="36"/>
      <c r="W9" s="111"/>
      <c r="X9" s="111"/>
    </row>
    <row r="10" spans="1:24" x14ac:dyDescent="0.2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11"/>
      <c r="O10" s="17"/>
      <c r="P10" s="112"/>
      <c r="Q10" s="17"/>
      <c r="R10" s="36"/>
      <c r="S10" s="41"/>
      <c r="T10" s="41"/>
      <c r="U10" s="213"/>
      <c r="V10" s="36"/>
      <c r="W10" s="111"/>
      <c r="X10" s="111"/>
    </row>
    <row r="11" spans="1:24" x14ac:dyDescent="0.2">
      <c r="A11" s="215" t="s">
        <v>47</v>
      </c>
      <c r="B11" s="216" t="s">
        <v>48</v>
      </c>
      <c r="C11" s="216" t="s">
        <v>49</v>
      </c>
      <c r="D11" s="217" t="s">
        <v>50</v>
      </c>
      <c r="E11" s="217"/>
      <c r="F11" s="215" t="s">
        <v>51</v>
      </c>
      <c r="G11" s="215" t="s">
        <v>52</v>
      </c>
      <c r="H11" s="216" t="s">
        <v>53</v>
      </c>
      <c r="I11" s="218" t="s">
        <v>54</v>
      </c>
      <c r="J11" s="216" t="s">
        <v>55</v>
      </c>
      <c r="K11" s="216" t="s">
        <v>56</v>
      </c>
      <c r="L11" s="216" t="s">
        <v>57</v>
      </c>
      <c r="M11" s="216" t="s">
        <v>58</v>
      </c>
      <c r="N11" s="219" t="s">
        <v>60</v>
      </c>
      <c r="O11" s="216" t="s">
        <v>61</v>
      </c>
      <c r="P11" s="241" t="s">
        <v>62</v>
      </c>
      <c r="Q11" s="216" t="s">
        <v>63</v>
      </c>
      <c r="R11" s="215" t="s">
        <v>64</v>
      </c>
      <c r="S11" s="221" t="s">
        <v>451</v>
      </c>
      <c r="T11" s="221" t="s">
        <v>452</v>
      </c>
      <c r="U11" s="222" t="s">
        <v>351</v>
      </c>
      <c r="V11" s="221" t="s">
        <v>484</v>
      </c>
      <c r="W11" s="112"/>
      <c r="X11" s="112"/>
    </row>
    <row r="12" spans="1:24" s="47" customFormat="1" x14ac:dyDescent="0.2">
      <c r="A12" s="16" t="s">
        <v>466</v>
      </c>
      <c r="B12" s="18" t="s">
        <v>454</v>
      </c>
      <c r="C12" s="18" t="s">
        <v>421</v>
      </c>
      <c r="D12" s="19">
        <v>36526</v>
      </c>
      <c r="E12" s="19">
        <v>36830</v>
      </c>
      <c r="F12" s="16" t="s">
        <v>455</v>
      </c>
      <c r="G12" s="16" t="s">
        <v>456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211">
        <v>5.9300000000000004E-3</v>
      </c>
      <c r="O12" s="20">
        <f>SUM(I12:M12)</f>
        <v>3.8103225806451611E-2</v>
      </c>
      <c r="P12" s="112">
        <v>42789</v>
      </c>
      <c r="Q12" s="18">
        <v>30000</v>
      </c>
      <c r="R12" s="16" t="s">
        <v>457</v>
      </c>
      <c r="S12" s="25">
        <f>I12*I$1*Q12</f>
        <v>31809</v>
      </c>
      <c r="T12" s="25"/>
      <c r="U12" s="223">
        <v>140447</v>
      </c>
      <c r="V12" s="16"/>
      <c r="W12" s="112"/>
      <c r="X12" s="112"/>
    </row>
    <row r="13" spans="1:24" x14ac:dyDescent="0.2">
      <c r="A13" s="26" t="s">
        <v>45</v>
      </c>
      <c r="B13" s="224" t="s">
        <v>45</v>
      </c>
      <c r="C13" s="27" t="s">
        <v>45</v>
      </c>
      <c r="D13" s="28" t="s">
        <v>45</v>
      </c>
      <c r="E13" s="28"/>
      <c r="F13" s="26" t="s">
        <v>45</v>
      </c>
      <c r="G13" s="225" t="s">
        <v>45</v>
      </c>
      <c r="H13" s="224" t="s">
        <v>45</v>
      </c>
      <c r="I13" s="29"/>
      <c r="J13" s="30"/>
      <c r="K13" s="30"/>
      <c r="L13" s="30"/>
      <c r="M13" s="30"/>
      <c r="N13" s="226"/>
      <c r="O13" s="30"/>
      <c r="P13" s="240" t="s">
        <v>45</v>
      </c>
      <c r="Q13" s="224">
        <f>SUM(Q12:Q12)</f>
        <v>30000</v>
      </c>
      <c r="R13" s="26" t="s">
        <v>45</v>
      </c>
      <c r="S13" s="227">
        <f>SUM(S12:S12)</f>
        <v>31809</v>
      </c>
      <c r="T13" s="227">
        <f>SUM(T12:T12)</f>
        <v>0</v>
      </c>
      <c r="U13" s="228"/>
      <c r="V13" s="31"/>
      <c r="W13" s="112"/>
      <c r="X13" s="112"/>
    </row>
    <row r="14" spans="1:24" x14ac:dyDescent="0.2">
      <c r="A14" s="215" t="s">
        <v>47</v>
      </c>
      <c r="B14" s="216" t="s">
        <v>48</v>
      </c>
      <c r="C14" s="216" t="s">
        <v>49</v>
      </c>
      <c r="D14" s="217" t="s">
        <v>50</v>
      </c>
      <c r="E14" s="217"/>
      <c r="F14" s="215" t="s">
        <v>51</v>
      </c>
      <c r="G14" s="215" t="s">
        <v>52</v>
      </c>
      <c r="H14" s="216" t="s">
        <v>53</v>
      </c>
      <c r="I14" s="218" t="s">
        <v>54</v>
      </c>
      <c r="J14" s="216" t="s">
        <v>55</v>
      </c>
      <c r="K14" s="216" t="s">
        <v>56</v>
      </c>
      <c r="L14" s="216" t="s">
        <v>57</v>
      </c>
      <c r="M14" s="216" t="s">
        <v>58</v>
      </c>
      <c r="N14" s="219" t="s">
        <v>60</v>
      </c>
      <c r="O14" s="216" t="s">
        <v>61</v>
      </c>
      <c r="P14" s="241" t="s">
        <v>62</v>
      </c>
      <c r="Q14" s="216" t="s">
        <v>63</v>
      </c>
      <c r="R14" s="215" t="s">
        <v>64</v>
      </c>
      <c r="S14" s="221" t="s">
        <v>467</v>
      </c>
      <c r="T14" s="221" t="s">
        <v>467</v>
      </c>
      <c r="U14" s="222"/>
      <c r="V14" s="221" t="str">
        <f>+V11</f>
        <v>Questions</v>
      </c>
      <c r="W14" s="112"/>
      <c r="X14" s="112"/>
    </row>
    <row r="15" spans="1:24" s="47" customFormat="1" x14ac:dyDescent="0.2">
      <c r="A15" s="16" t="s">
        <v>466</v>
      </c>
      <c r="B15" s="18" t="s">
        <v>468</v>
      </c>
      <c r="C15" s="18" t="s">
        <v>421</v>
      </c>
      <c r="D15" s="19">
        <v>36526</v>
      </c>
      <c r="E15" s="19" t="s">
        <v>475</v>
      </c>
      <c r="F15" s="16" t="s">
        <v>486</v>
      </c>
      <c r="G15" s="16" t="s">
        <v>486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211">
        <v>0</v>
      </c>
      <c r="O15" s="20">
        <f>SUM(I15:M15)</f>
        <v>0</v>
      </c>
      <c r="P15" s="112">
        <v>36907</v>
      </c>
      <c r="Q15" s="18">
        <v>0</v>
      </c>
      <c r="R15" s="16" t="s">
        <v>489</v>
      </c>
      <c r="S15" s="25">
        <f>I15*I$1*Q15</f>
        <v>0</v>
      </c>
      <c r="T15" s="25"/>
      <c r="U15" s="223">
        <v>148659</v>
      </c>
      <c r="V15" s="25"/>
      <c r="W15" s="112"/>
      <c r="X15" s="112"/>
    </row>
    <row r="16" spans="1:24" s="47" customFormat="1" x14ac:dyDescent="0.2">
      <c r="A16" s="16" t="s">
        <v>488</v>
      </c>
      <c r="B16" s="18" t="s">
        <v>468</v>
      </c>
      <c r="C16" s="18" t="s">
        <v>487</v>
      </c>
      <c r="D16" s="19">
        <v>36526</v>
      </c>
      <c r="E16" s="19" t="s">
        <v>475</v>
      </c>
      <c r="F16" s="16" t="s">
        <v>486</v>
      </c>
      <c r="G16" s="16" t="s">
        <v>486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211">
        <v>0</v>
      </c>
      <c r="O16" s="20">
        <f>SUM(I16:M16)</f>
        <v>0</v>
      </c>
      <c r="P16" s="112">
        <v>48049</v>
      </c>
      <c r="Q16" s="18">
        <v>0</v>
      </c>
      <c r="R16" s="16" t="s">
        <v>489</v>
      </c>
      <c r="S16" s="25">
        <f>I16*I$1*Q16</f>
        <v>0</v>
      </c>
      <c r="T16" s="25"/>
      <c r="U16" s="223">
        <v>149173</v>
      </c>
      <c r="V16" s="25"/>
      <c r="W16" s="112"/>
      <c r="X16" s="112"/>
    </row>
    <row r="17" spans="1:24" s="47" customFormat="1" x14ac:dyDescent="0.2">
      <c r="A17" s="16" t="s">
        <v>466</v>
      </c>
      <c r="B17" s="18" t="s">
        <v>468</v>
      </c>
      <c r="C17" s="18" t="s">
        <v>421</v>
      </c>
      <c r="D17" s="19">
        <v>36526</v>
      </c>
      <c r="E17" s="19" t="s">
        <v>475</v>
      </c>
      <c r="F17" s="16" t="s">
        <v>486</v>
      </c>
      <c r="G17" s="16" t="s">
        <v>486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211">
        <v>0</v>
      </c>
      <c r="O17" s="20">
        <f>SUM(I17:M17)</f>
        <v>0</v>
      </c>
      <c r="P17" s="112">
        <v>39999</v>
      </c>
      <c r="Q17" s="18">
        <v>0</v>
      </c>
      <c r="R17" s="16" t="s">
        <v>485</v>
      </c>
      <c r="S17" s="25">
        <f>I17*I$1*Q17</f>
        <v>0</v>
      </c>
      <c r="T17" s="25"/>
      <c r="U17" s="223">
        <v>149337</v>
      </c>
      <c r="V17" s="25"/>
      <c r="W17" s="112"/>
      <c r="X17" s="112"/>
    </row>
    <row r="18" spans="1:24" s="47" customFormat="1" x14ac:dyDescent="0.2">
      <c r="A18" s="16" t="s">
        <v>488</v>
      </c>
      <c r="B18" s="18" t="s">
        <v>468</v>
      </c>
      <c r="C18" s="18" t="s">
        <v>487</v>
      </c>
      <c r="D18" s="19">
        <v>36526</v>
      </c>
      <c r="E18" s="19" t="s">
        <v>475</v>
      </c>
      <c r="F18" s="16" t="s">
        <v>486</v>
      </c>
      <c r="G18" s="16" t="s">
        <v>486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211">
        <v>0</v>
      </c>
      <c r="O18" s="20">
        <f>SUM(I18:M18)</f>
        <v>0</v>
      </c>
      <c r="P18" s="112">
        <v>48050</v>
      </c>
      <c r="Q18" s="18">
        <v>0</v>
      </c>
      <c r="R18" s="16" t="s">
        <v>485</v>
      </c>
      <c r="S18" s="25">
        <f>I18*I$1*Q18</f>
        <v>0</v>
      </c>
      <c r="T18" s="25"/>
      <c r="U18" s="223">
        <v>149338</v>
      </c>
      <c r="V18" s="25"/>
      <c r="W18" s="112"/>
      <c r="X18" s="112"/>
    </row>
    <row r="19" spans="1:24" x14ac:dyDescent="0.2">
      <c r="A19" s="16"/>
      <c r="B19" s="18"/>
      <c r="C19" s="18"/>
      <c r="D19" s="19" t="s">
        <v>45</v>
      </c>
      <c r="E19" s="19"/>
      <c r="F19" s="16"/>
      <c r="G19" s="16"/>
      <c r="H19" s="18"/>
      <c r="I19" s="24"/>
      <c r="J19" s="20"/>
      <c r="K19" s="32"/>
      <c r="L19" s="20"/>
      <c r="M19" s="20"/>
      <c r="N19" s="211"/>
      <c r="O19" s="20"/>
      <c r="P19" s="111"/>
      <c r="Q19" s="41"/>
      <c r="R19" s="123"/>
      <c r="S19" s="242"/>
      <c r="T19" s="235"/>
      <c r="U19" s="236"/>
      <c r="V19" s="235"/>
      <c r="W19" s="111"/>
      <c r="X19" s="111"/>
    </row>
    <row r="20" spans="1:24" x14ac:dyDescent="0.2">
      <c r="A20" s="215" t="s">
        <v>47</v>
      </c>
      <c r="B20" s="216" t="s">
        <v>48</v>
      </c>
      <c r="C20" s="216" t="s">
        <v>49</v>
      </c>
      <c r="D20" s="217" t="s">
        <v>50</v>
      </c>
      <c r="E20" s="217"/>
      <c r="F20" s="215" t="s">
        <v>51</v>
      </c>
      <c r="G20" s="215" t="s">
        <v>52</v>
      </c>
      <c r="H20" s="216" t="s">
        <v>53</v>
      </c>
      <c r="I20" s="218" t="s">
        <v>54</v>
      </c>
      <c r="J20" s="216" t="s">
        <v>55</v>
      </c>
      <c r="K20" s="216" t="s">
        <v>56</v>
      </c>
      <c r="L20" s="216" t="s">
        <v>57</v>
      </c>
      <c r="M20" s="216" t="s">
        <v>58</v>
      </c>
      <c r="N20" s="219" t="s">
        <v>60</v>
      </c>
      <c r="O20" s="216" t="s">
        <v>61</v>
      </c>
      <c r="P20" s="241" t="s">
        <v>62</v>
      </c>
      <c r="Q20" s="216" t="s">
        <v>63</v>
      </c>
      <c r="R20" s="215" t="s">
        <v>64</v>
      </c>
      <c r="S20" s="221" t="s">
        <v>451</v>
      </c>
      <c r="T20" s="221" t="s">
        <v>452</v>
      </c>
      <c r="U20" s="222" t="s">
        <v>351</v>
      </c>
      <c r="V20" s="221" t="s">
        <v>484</v>
      </c>
      <c r="W20" s="112"/>
      <c r="X20" s="112"/>
    </row>
    <row r="21" spans="1:24" s="47" customFormat="1" x14ac:dyDescent="0.2">
      <c r="A21" s="16" t="s">
        <v>466</v>
      </c>
      <c r="B21" s="18" t="s">
        <v>341</v>
      </c>
      <c r="C21" s="18" t="s">
        <v>421</v>
      </c>
      <c r="D21" s="19">
        <v>36526</v>
      </c>
      <c r="E21" s="19" t="s">
        <v>475</v>
      </c>
      <c r="F21" s="16" t="s">
        <v>476</v>
      </c>
      <c r="G21" s="16" t="s">
        <v>476</v>
      </c>
      <c r="H21" s="18" t="s">
        <v>282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211">
        <v>0</v>
      </c>
      <c r="O21" s="20">
        <f>SUM(I21:M21)</f>
        <v>0</v>
      </c>
      <c r="P21" s="112">
        <v>238</v>
      </c>
      <c r="Q21" s="18">
        <v>0</v>
      </c>
      <c r="R21" s="16" t="s">
        <v>483</v>
      </c>
      <c r="S21" s="25">
        <f>I21*I$1*Q21</f>
        <v>0</v>
      </c>
      <c r="T21" s="25"/>
      <c r="U21" s="223">
        <v>149902</v>
      </c>
      <c r="V21" s="16"/>
      <c r="W21" s="112"/>
      <c r="X21" s="112"/>
    </row>
    <row r="22" spans="1:24" x14ac:dyDescent="0.2">
      <c r="A22" s="26" t="s">
        <v>45</v>
      </c>
      <c r="B22" s="224" t="s">
        <v>45</v>
      </c>
      <c r="C22" s="27" t="s">
        <v>45</v>
      </c>
      <c r="D22" s="28" t="s">
        <v>45</v>
      </c>
      <c r="E22" s="28"/>
      <c r="F22" s="26" t="s">
        <v>45</v>
      </c>
      <c r="G22" s="225" t="s">
        <v>45</v>
      </c>
      <c r="H22" s="224" t="s">
        <v>45</v>
      </c>
      <c r="I22" s="29"/>
      <c r="J22" s="30"/>
      <c r="K22" s="30"/>
      <c r="L22" s="30"/>
      <c r="M22" s="30"/>
      <c r="N22" s="226"/>
      <c r="O22" s="30"/>
      <c r="P22" s="240" t="s">
        <v>45</v>
      </c>
      <c r="Q22" s="224">
        <f>SUM(Q21:Q21)</f>
        <v>0</v>
      </c>
      <c r="R22" s="26" t="s">
        <v>45</v>
      </c>
      <c r="S22" s="227">
        <f>SUM(S21:S21)</f>
        <v>0</v>
      </c>
      <c r="T22" s="227">
        <f>SUM(T21:T21)</f>
        <v>0</v>
      </c>
      <c r="U22" s="228"/>
      <c r="V22" s="31"/>
      <c r="W22" s="112"/>
      <c r="X22" s="112"/>
    </row>
    <row r="23" spans="1:24" x14ac:dyDescent="0.2">
      <c r="A23" s="215" t="s">
        <v>47</v>
      </c>
      <c r="B23" s="216" t="s">
        <v>48</v>
      </c>
      <c r="C23" s="216" t="s">
        <v>49</v>
      </c>
      <c r="D23" s="217" t="s">
        <v>50</v>
      </c>
      <c r="E23" s="217"/>
      <c r="F23" s="215" t="s">
        <v>51</v>
      </c>
      <c r="G23" s="215" t="s">
        <v>52</v>
      </c>
      <c r="H23" s="216" t="s">
        <v>53</v>
      </c>
      <c r="I23" s="218" t="s">
        <v>54</v>
      </c>
      <c r="J23" s="216" t="s">
        <v>55</v>
      </c>
      <c r="K23" s="216" t="s">
        <v>56</v>
      </c>
      <c r="L23" s="216" t="s">
        <v>57</v>
      </c>
      <c r="M23" s="216" t="s">
        <v>58</v>
      </c>
      <c r="N23" s="219" t="s">
        <v>60</v>
      </c>
      <c r="O23" s="216" t="s">
        <v>61</v>
      </c>
      <c r="P23" s="241" t="s">
        <v>62</v>
      </c>
      <c r="Q23" s="216" t="s">
        <v>63</v>
      </c>
      <c r="R23" s="215" t="s">
        <v>64</v>
      </c>
      <c r="S23" s="221" t="s">
        <v>451</v>
      </c>
      <c r="T23" s="221" t="s">
        <v>452</v>
      </c>
      <c r="U23" s="222" t="s">
        <v>351</v>
      </c>
      <c r="V23" s="221" t="s">
        <v>484</v>
      </c>
      <c r="W23" s="112"/>
      <c r="X23" s="112"/>
    </row>
    <row r="24" spans="1:24" s="47" customFormat="1" x14ac:dyDescent="0.2">
      <c r="A24" s="16" t="s">
        <v>466</v>
      </c>
      <c r="B24" s="18" t="s">
        <v>22</v>
      </c>
      <c r="C24" s="18" t="s">
        <v>421</v>
      </c>
      <c r="D24" s="19">
        <v>36526</v>
      </c>
      <c r="E24" s="19" t="s">
        <v>475</v>
      </c>
      <c r="F24" s="16" t="s">
        <v>476</v>
      </c>
      <c r="G24" s="16" t="s">
        <v>476</v>
      </c>
      <c r="H24" s="18" t="s">
        <v>282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211">
        <v>0</v>
      </c>
      <c r="O24" s="20">
        <f>SUM(I24:M24)</f>
        <v>0</v>
      </c>
      <c r="P24" s="112">
        <v>3.2846000000000002</v>
      </c>
      <c r="Q24" s="18">
        <v>0</v>
      </c>
      <c r="R24" s="16" t="s">
        <v>483</v>
      </c>
      <c r="S24" s="25">
        <f>I24*I$1*Q24</f>
        <v>0</v>
      </c>
      <c r="T24" s="25"/>
      <c r="U24" s="223">
        <v>149876</v>
      </c>
      <c r="V24" s="16"/>
      <c r="W24" s="112"/>
      <c r="X24" s="112"/>
    </row>
    <row r="25" spans="1:24" x14ac:dyDescent="0.2">
      <c r="A25" s="26" t="s">
        <v>45</v>
      </c>
      <c r="B25" s="224" t="s">
        <v>45</v>
      </c>
      <c r="C25" s="27" t="s">
        <v>45</v>
      </c>
      <c r="D25" s="28" t="s">
        <v>45</v>
      </c>
      <c r="E25" s="28"/>
      <c r="F25" s="26" t="s">
        <v>45</v>
      </c>
      <c r="G25" s="225" t="s">
        <v>45</v>
      </c>
      <c r="H25" s="224" t="s">
        <v>45</v>
      </c>
      <c r="I25" s="29"/>
      <c r="J25" s="30"/>
      <c r="K25" s="30"/>
      <c r="L25" s="30"/>
      <c r="M25" s="30"/>
      <c r="N25" s="226"/>
      <c r="O25" s="30"/>
      <c r="P25" s="240" t="s">
        <v>45</v>
      </c>
      <c r="Q25" s="224">
        <f>SUM(Q24:Q24)</f>
        <v>0</v>
      </c>
      <c r="R25" s="26" t="s">
        <v>45</v>
      </c>
      <c r="S25" s="227">
        <f>SUM(S24:S24)</f>
        <v>0</v>
      </c>
      <c r="T25" s="227">
        <f>SUM(T24:T24)</f>
        <v>0</v>
      </c>
      <c r="U25" s="228"/>
      <c r="V25" s="31"/>
      <c r="W25" s="112"/>
      <c r="X25" s="112"/>
    </row>
    <row r="26" spans="1:24" x14ac:dyDescent="0.2">
      <c r="A26" s="35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211"/>
      <c r="O26" s="20"/>
      <c r="P26" s="111"/>
      <c r="Q26" s="237"/>
      <c r="R26" s="123"/>
      <c r="S26" s="36"/>
      <c r="T26" s="36"/>
      <c r="U26" s="212"/>
      <c r="V26" s="36"/>
      <c r="W26" s="111"/>
      <c r="X26" s="111"/>
    </row>
    <row r="27" spans="1:24" x14ac:dyDescent="0.2">
      <c r="A27" s="35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211"/>
      <c r="O27" s="20"/>
      <c r="P27" s="111"/>
      <c r="Q27" s="237"/>
      <c r="R27" s="36"/>
      <c r="S27" s="36"/>
      <c r="T27" s="36"/>
      <c r="U27" s="212"/>
      <c r="V27" s="36"/>
      <c r="W27" s="111"/>
      <c r="X27" s="111"/>
    </row>
    <row r="28" spans="1:24" x14ac:dyDescent="0.2">
      <c r="A28" s="35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211"/>
      <c r="O28" s="20"/>
      <c r="P28" s="111"/>
      <c r="Q28" s="237"/>
      <c r="R28" s="36"/>
      <c r="S28" s="36"/>
      <c r="T28" s="36"/>
      <c r="U28" s="212"/>
      <c r="V28" s="36"/>
      <c r="W28" s="111"/>
      <c r="X28" s="111"/>
    </row>
    <row r="29" spans="1:24" x14ac:dyDescent="0.2">
      <c r="A29" s="35" t="s">
        <v>482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211"/>
      <c r="O29" s="20"/>
      <c r="P29" s="111"/>
      <c r="Q29" s="237"/>
      <c r="R29" s="36"/>
      <c r="S29" s="36"/>
      <c r="T29" s="36"/>
      <c r="U29" s="212"/>
      <c r="V29" s="36"/>
      <c r="W29" s="111"/>
      <c r="X29" s="111"/>
    </row>
    <row r="30" spans="1:24" x14ac:dyDescent="0.2">
      <c r="A30" s="35"/>
      <c r="B30" s="16" t="s">
        <v>481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211"/>
      <c r="O30" s="20"/>
      <c r="P30" s="111"/>
      <c r="Q30" s="237"/>
      <c r="R30" s="36"/>
      <c r="S30" s="36"/>
      <c r="T30" s="36"/>
      <c r="U30" s="212"/>
      <c r="V30" s="36"/>
      <c r="W30" s="111"/>
      <c r="X30" s="111"/>
    </row>
    <row r="31" spans="1:24" x14ac:dyDescent="0.2">
      <c r="A31" s="35"/>
      <c r="B31" s="18" t="s">
        <v>339</v>
      </c>
      <c r="C31" s="112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211"/>
      <c r="O31" s="20"/>
      <c r="P31" s="111"/>
      <c r="Q31" s="237"/>
      <c r="R31" s="36"/>
      <c r="S31" s="36"/>
      <c r="T31" s="36"/>
      <c r="U31" s="212"/>
      <c r="V31" s="36"/>
      <c r="W31" s="111"/>
      <c r="X31" s="111"/>
    </row>
    <row r="32" spans="1:24" x14ac:dyDescent="0.2">
      <c r="A32" s="35"/>
      <c r="B32" s="18" t="s">
        <v>480</v>
      </c>
      <c r="C32" s="112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211"/>
      <c r="O32" s="20"/>
      <c r="P32" s="111"/>
      <c r="Q32" s="237"/>
      <c r="R32" s="36"/>
      <c r="S32" s="36"/>
      <c r="T32" s="36"/>
      <c r="U32" s="212"/>
      <c r="V32" s="36"/>
      <c r="W32" s="123"/>
      <c r="X32" s="111"/>
    </row>
    <row r="33" spans="1:24" x14ac:dyDescent="0.2">
      <c r="A33" s="35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211"/>
      <c r="O33" s="20"/>
      <c r="P33" s="111"/>
      <c r="Q33" s="237"/>
      <c r="R33" s="36"/>
      <c r="S33" s="36"/>
      <c r="T33" s="36"/>
      <c r="U33" s="212"/>
      <c r="V33" s="36"/>
      <c r="W33" s="111"/>
      <c r="X33" s="111"/>
    </row>
    <row r="34" spans="1:24" x14ac:dyDescent="0.2">
      <c r="A34" s="35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211"/>
      <c r="O34" s="20"/>
      <c r="P34" s="111"/>
      <c r="Q34" s="237"/>
      <c r="R34" s="36"/>
      <c r="S34" s="36"/>
      <c r="T34" s="36"/>
      <c r="U34" s="212"/>
      <c r="V34" s="36"/>
      <c r="W34" s="111"/>
      <c r="X34" s="111"/>
    </row>
    <row r="35" spans="1:24" x14ac:dyDescent="0.2">
      <c r="A35" s="35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211"/>
      <c r="O35" s="20"/>
      <c r="P35" s="111"/>
      <c r="Q35" s="237"/>
      <c r="R35" s="123"/>
      <c r="S35" s="36"/>
      <c r="T35" s="36"/>
      <c r="U35" s="212"/>
      <c r="V35" s="36"/>
      <c r="W35" s="111"/>
      <c r="X35" s="111"/>
    </row>
    <row r="36" spans="1:24" x14ac:dyDescent="0.2">
      <c r="A36" s="35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211"/>
      <c r="O36" s="20"/>
      <c r="P36" s="111"/>
      <c r="Q36" s="237"/>
      <c r="R36" s="123"/>
      <c r="S36" s="36"/>
      <c r="T36" s="36"/>
      <c r="U36" s="212"/>
      <c r="V36" s="36"/>
      <c r="W36" s="111"/>
      <c r="X36" s="111"/>
    </row>
    <row r="37" spans="1:24" x14ac:dyDescent="0.2">
      <c r="P37" s="239"/>
      <c r="Q37" s="46"/>
      <c r="R37" s="46"/>
      <c r="S37" s="46"/>
      <c r="T37" s="46"/>
      <c r="U37" s="239"/>
      <c r="V37" s="46"/>
      <c r="W37" s="239"/>
    </row>
    <row r="38" spans="1:24" x14ac:dyDescent="0.2">
      <c r="P38" s="239"/>
      <c r="Q38" s="46"/>
      <c r="R38" s="46"/>
      <c r="S38" s="46"/>
      <c r="T38" s="46"/>
      <c r="U38" s="239"/>
      <c r="V38" s="46"/>
      <c r="W38" s="239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78"/>
  <sheetViews>
    <sheetView workbookViewId="0">
      <pane xSplit="3" ySplit="12" topLeftCell="I148" activePane="bottomRight" state="frozen"/>
      <selection pane="topRight" activeCell="D1" sqref="D1"/>
      <selection pane="bottomLeft" activeCell="A13" sqref="A13"/>
      <selection pane="bottomRight" activeCell="P148" sqref="P148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35" customWidth="1"/>
    <col min="7" max="7" width="8" style="35" customWidth="1"/>
    <col min="8" max="8" width="6.42578125" style="34" customWidth="1"/>
    <col min="9" max="9" width="8.85546875" style="34" customWidth="1"/>
    <col min="10" max="13" width="0" style="34" hidden="1" customWidth="1"/>
    <col min="14" max="14" width="0" style="238" hidden="1" customWidth="1"/>
    <col min="15" max="15" width="0" style="34" hidden="1" customWidth="1"/>
    <col min="16" max="16" width="12.28515625" style="34" customWidth="1"/>
    <col min="17" max="17" width="9.140625" style="34"/>
    <col min="18" max="18" width="13.7109375" style="34" customWidth="1"/>
    <col min="19" max="19" width="12.85546875" style="47" customWidth="1"/>
    <col min="20" max="20" width="13.5703125" style="113" customWidth="1"/>
    <col min="21" max="22" width="9.140625" style="113"/>
    <col min="23" max="23" width="12.42578125" style="34" customWidth="1"/>
    <col min="24" max="16384" width="9.140625" style="34"/>
  </cols>
  <sheetData>
    <row r="1" spans="1:23" x14ac:dyDescent="0.2">
      <c r="A1" s="124" t="s">
        <v>742</v>
      </c>
      <c r="B1" s="18"/>
      <c r="C1" s="18"/>
      <c r="D1" s="19"/>
      <c r="E1" s="19"/>
      <c r="F1" s="16" t="s">
        <v>583</v>
      </c>
      <c r="G1" s="16">
        <v>1</v>
      </c>
      <c r="H1" s="18" t="s">
        <v>69</v>
      </c>
      <c r="I1" s="23">
        <v>31</v>
      </c>
      <c r="J1" s="210" t="s">
        <v>443</v>
      </c>
      <c r="K1" s="20"/>
      <c r="L1" s="20"/>
      <c r="M1" s="20"/>
      <c r="N1" s="211"/>
      <c r="O1" s="20"/>
      <c r="P1" s="33"/>
      <c r="Q1" s="17"/>
      <c r="R1" s="36"/>
      <c r="S1" s="36"/>
      <c r="T1" s="212"/>
      <c r="U1" s="111"/>
      <c r="V1" s="111"/>
    </row>
    <row r="2" spans="1:23" x14ac:dyDescent="0.2">
      <c r="A2" s="16" t="s">
        <v>395</v>
      </c>
      <c r="B2" s="16"/>
      <c r="C2" s="16"/>
      <c r="D2" s="19"/>
      <c r="E2" s="19"/>
      <c r="F2" s="16"/>
      <c r="G2" s="16"/>
      <c r="H2" s="18"/>
      <c r="I2" s="23"/>
      <c r="J2" s="210" t="s">
        <v>444</v>
      </c>
      <c r="K2" s="20"/>
      <c r="L2" s="20"/>
      <c r="M2" s="20"/>
      <c r="N2" s="211"/>
      <c r="O2" s="20"/>
      <c r="P2" s="33"/>
      <c r="Q2" s="17"/>
      <c r="R2" s="36"/>
      <c r="S2" s="36"/>
      <c r="T2" s="212"/>
      <c r="U2" s="111"/>
      <c r="V2" s="111"/>
    </row>
    <row r="3" spans="1:23" x14ac:dyDescent="0.2">
      <c r="A3" s="16" t="s">
        <v>396</v>
      </c>
      <c r="B3" s="16"/>
      <c r="C3" s="16"/>
      <c r="D3" s="19"/>
      <c r="E3" s="19"/>
      <c r="F3" s="22" t="s">
        <v>45</v>
      </c>
      <c r="G3" s="16" t="s">
        <v>45</v>
      </c>
      <c r="H3" s="17" t="s">
        <v>45</v>
      </c>
      <c r="I3" s="24"/>
      <c r="J3" s="39" t="s">
        <v>45</v>
      </c>
      <c r="K3" s="20"/>
      <c r="L3" s="39" t="s">
        <v>45</v>
      </c>
      <c r="M3" s="20"/>
      <c r="N3" s="211"/>
      <c r="O3" s="39" t="s">
        <v>45</v>
      </c>
      <c r="P3" s="33"/>
      <c r="Q3" s="17"/>
      <c r="R3" s="36"/>
      <c r="S3" s="36"/>
      <c r="T3" s="212"/>
      <c r="U3" s="111"/>
      <c r="V3" s="111"/>
    </row>
    <row r="4" spans="1:23" x14ac:dyDescent="0.2">
      <c r="A4" s="16" t="s">
        <v>445</v>
      </c>
      <c r="B4" s="18"/>
      <c r="C4" s="18"/>
      <c r="D4" s="19"/>
      <c r="E4" s="19"/>
      <c r="F4" s="40"/>
      <c r="G4" s="16"/>
      <c r="H4" s="40"/>
      <c r="I4" s="24"/>
      <c r="J4" s="40"/>
      <c r="K4" s="20"/>
      <c r="L4" s="40"/>
      <c r="M4" s="17"/>
      <c r="N4" s="211"/>
      <c r="O4" s="17"/>
      <c r="P4" s="33"/>
      <c r="Q4" s="17"/>
      <c r="R4" s="36"/>
      <c r="S4" s="36"/>
      <c r="T4" s="213"/>
      <c r="U4" s="111"/>
      <c r="V4" s="111"/>
    </row>
    <row r="5" spans="1:23" x14ac:dyDescent="0.2">
      <c r="A5" s="16" t="s">
        <v>446</v>
      </c>
      <c r="B5" s="18"/>
      <c r="C5" s="214"/>
      <c r="D5" s="19"/>
      <c r="E5" s="19"/>
      <c r="F5" s="40"/>
      <c r="G5" s="16"/>
      <c r="H5" s="40"/>
      <c r="I5" s="24"/>
      <c r="J5" s="40"/>
      <c r="K5" s="20"/>
      <c r="L5" s="40"/>
      <c r="M5" s="17"/>
      <c r="N5" s="211"/>
      <c r="O5" s="17"/>
      <c r="P5" s="33"/>
      <c r="Q5" s="17"/>
      <c r="R5" s="36"/>
      <c r="S5" s="36"/>
      <c r="T5" s="213"/>
      <c r="U5" s="111"/>
      <c r="V5" s="111"/>
    </row>
    <row r="6" spans="1:23" x14ac:dyDescent="0.2">
      <c r="A6" s="16"/>
      <c r="B6" s="18"/>
      <c r="C6" s="214"/>
      <c r="D6" s="19"/>
      <c r="E6" s="19"/>
      <c r="F6" s="40"/>
      <c r="G6" s="16"/>
      <c r="H6" s="40"/>
      <c r="I6" s="24"/>
      <c r="J6" s="40"/>
      <c r="K6" s="20"/>
      <c r="L6" s="40"/>
      <c r="M6" s="17"/>
      <c r="N6" s="211"/>
      <c r="O6" s="17"/>
      <c r="P6" s="33"/>
      <c r="Q6" s="17"/>
      <c r="R6" s="36"/>
      <c r="S6" s="36"/>
      <c r="T6" s="213"/>
      <c r="U6" s="111"/>
      <c r="V6" s="111"/>
    </row>
    <row r="7" spans="1:23" x14ac:dyDescent="0.2">
      <c r="A7" s="16"/>
      <c r="B7" s="18"/>
      <c r="C7" s="214"/>
      <c r="D7" s="19"/>
      <c r="E7" s="19"/>
      <c r="F7" s="40"/>
      <c r="G7" s="16"/>
      <c r="H7" s="40"/>
      <c r="I7" s="24"/>
      <c r="J7" s="40"/>
      <c r="K7" s="20"/>
      <c r="L7" s="40"/>
      <c r="M7" s="17"/>
      <c r="N7" s="211"/>
      <c r="O7" s="17"/>
      <c r="P7" s="33"/>
      <c r="Q7" s="17"/>
      <c r="R7" s="36"/>
      <c r="S7" s="36"/>
      <c r="T7" s="213"/>
      <c r="U7" s="111"/>
      <c r="V7" s="111"/>
    </row>
    <row r="8" spans="1:23" x14ac:dyDescent="0.2">
      <c r="A8" s="16"/>
      <c r="B8" s="18"/>
      <c r="C8" s="214"/>
      <c r="D8" s="19"/>
      <c r="E8" s="19"/>
      <c r="F8" s="40"/>
      <c r="G8" s="16"/>
      <c r="H8" s="40"/>
      <c r="I8" s="24"/>
      <c r="J8" s="40"/>
      <c r="K8" s="20"/>
      <c r="L8" s="40"/>
      <c r="M8" s="17"/>
      <c r="N8" s="211"/>
      <c r="O8" s="17"/>
      <c r="P8" s="33"/>
      <c r="Q8" s="17"/>
      <c r="R8" s="36"/>
      <c r="S8" s="36"/>
      <c r="T8" s="213"/>
      <c r="U8" s="111"/>
      <c r="V8" s="111"/>
    </row>
    <row r="9" spans="1:23" x14ac:dyDescent="0.2">
      <c r="A9" s="16"/>
      <c r="B9" s="18"/>
      <c r="C9" s="214"/>
      <c r="D9" s="19"/>
      <c r="E9" s="19"/>
      <c r="F9" s="40"/>
      <c r="G9" s="16"/>
      <c r="H9" s="40"/>
      <c r="I9" s="24"/>
      <c r="J9" s="40"/>
      <c r="K9" s="20"/>
      <c r="L9" s="40"/>
      <c r="M9" s="17"/>
      <c r="N9" s="211"/>
      <c r="O9" s="17"/>
      <c r="P9" s="33"/>
      <c r="Q9" s="17"/>
      <c r="R9" s="36"/>
      <c r="S9" s="36"/>
      <c r="T9" s="213"/>
      <c r="U9" s="111"/>
      <c r="V9" s="111"/>
    </row>
    <row r="10" spans="1:23" x14ac:dyDescent="0.2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11"/>
      <c r="O10" s="17"/>
      <c r="P10" s="33"/>
      <c r="Q10" s="17"/>
      <c r="R10" s="36"/>
      <c r="S10" s="36"/>
      <c r="T10" s="213"/>
      <c r="U10" s="111"/>
      <c r="V10" s="111"/>
    </row>
    <row r="11" spans="1:23" x14ac:dyDescent="0.2">
      <c r="A11" s="248"/>
      <c r="B11" s="237"/>
      <c r="C11" s="123"/>
      <c r="D11" s="249"/>
      <c r="E11" s="249"/>
      <c r="F11" s="248"/>
      <c r="G11" s="332"/>
      <c r="H11" s="237"/>
      <c r="I11" s="250"/>
      <c r="J11" s="32"/>
      <c r="K11" s="32"/>
      <c r="L11" s="32"/>
      <c r="M11" s="32"/>
      <c r="N11" s="333"/>
      <c r="O11" s="32"/>
      <c r="P11" s="334"/>
      <c r="Q11" s="237"/>
      <c r="R11" s="248"/>
      <c r="S11" s="36"/>
      <c r="T11" s="213"/>
      <c r="U11" s="112"/>
      <c r="V11" s="112"/>
    </row>
    <row r="12" spans="1:23" s="345" customFormat="1" x14ac:dyDescent="0.2">
      <c r="A12" s="335" t="s">
        <v>47</v>
      </c>
      <c r="B12" s="336" t="s">
        <v>48</v>
      </c>
      <c r="C12" s="336" t="s">
        <v>49</v>
      </c>
      <c r="D12" s="337" t="s">
        <v>50</v>
      </c>
      <c r="E12" s="337"/>
      <c r="F12" s="335" t="s">
        <v>51</v>
      </c>
      <c r="G12" s="335" t="s">
        <v>52</v>
      </c>
      <c r="H12" s="336" t="s">
        <v>53</v>
      </c>
      <c r="I12" s="338" t="s">
        <v>54</v>
      </c>
      <c r="J12" s="336" t="s">
        <v>55</v>
      </c>
      <c r="K12" s="336" t="s">
        <v>56</v>
      </c>
      <c r="L12" s="336" t="s">
        <v>57</v>
      </c>
      <c r="M12" s="336" t="s">
        <v>58</v>
      </c>
      <c r="N12" s="339" t="s">
        <v>60</v>
      </c>
      <c r="O12" s="336" t="s">
        <v>61</v>
      </c>
      <c r="P12" s="340" t="s">
        <v>450</v>
      </c>
      <c r="Q12" s="336" t="s">
        <v>63</v>
      </c>
      <c r="R12" s="335" t="s">
        <v>64</v>
      </c>
      <c r="S12" s="341" t="s">
        <v>451</v>
      </c>
      <c r="T12" s="343" t="s">
        <v>453</v>
      </c>
      <c r="U12" s="344"/>
      <c r="V12" s="498" t="s">
        <v>696</v>
      </c>
      <c r="W12" s="499"/>
    </row>
    <row r="13" spans="1:23" s="47" customFormat="1" x14ac:dyDescent="0.2">
      <c r="A13" s="16" t="s">
        <v>408</v>
      </c>
      <c r="B13" s="18" t="s">
        <v>454</v>
      </c>
      <c r="C13" s="18" t="s">
        <v>454</v>
      </c>
      <c r="D13" s="19">
        <v>34274</v>
      </c>
      <c r="E13" s="19">
        <v>37042</v>
      </c>
      <c r="F13" s="16" t="s">
        <v>28</v>
      </c>
      <c r="G13" s="16" t="s">
        <v>513</v>
      </c>
      <c r="H13" s="18" t="s">
        <v>66</v>
      </c>
      <c r="I13" s="24">
        <f>1.0603/I$1</f>
        <v>3.4203225806451611E-2</v>
      </c>
      <c r="J13" s="20">
        <v>0</v>
      </c>
      <c r="K13" s="20">
        <v>0</v>
      </c>
      <c r="L13" s="20">
        <v>0</v>
      </c>
      <c r="M13" s="20">
        <v>0</v>
      </c>
      <c r="N13" s="211">
        <v>0</v>
      </c>
      <c r="O13" s="20">
        <f t="shared" ref="O13:O19" si="0">SUM(I13:M13)</f>
        <v>3.4203225806451611E-2</v>
      </c>
      <c r="P13" s="33">
        <v>37393</v>
      </c>
      <c r="Q13" s="18">
        <v>20000</v>
      </c>
      <c r="R13" s="16" t="s">
        <v>569</v>
      </c>
      <c r="S13" s="492">
        <f t="shared" ref="S13:S19" si="1">I13*I$1*Q13</f>
        <v>21206</v>
      </c>
      <c r="T13" s="223">
        <v>92346</v>
      </c>
      <c r="U13" s="112"/>
      <c r="V13" s="112" t="s">
        <v>697</v>
      </c>
    </row>
    <row r="14" spans="1:23" s="47" customFormat="1" x14ac:dyDescent="0.2">
      <c r="A14" s="16" t="s">
        <v>408</v>
      </c>
      <c r="B14" s="18" t="s">
        <v>454</v>
      </c>
      <c r="C14" s="18" t="s">
        <v>421</v>
      </c>
      <c r="D14" s="19">
        <v>36557</v>
      </c>
      <c r="E14" s="19">
        <v>37195</v>
      </c>
      <c r="F14" s="16" t="s">
        <v>455</v>
      </c>
      <c r="G14" s="16" t="s">
        <v>456</v>
      </c>
      <c r="H14" s="18"/>
      <c r="I14" s="24">
        <f>1.0603/I$1</f>
        <v>3.4203225806451611E-2</v>
      </c>
      <c r="J14" s="20">
        <v>0</v>
      </c>
      <c r="K14" s="20">
        <v>0</v>
      </c>
      <c r="L14" s="20">
        <v>0</v>
      </c>
      <c r="M14" s="20">
        <v>0</v>
      </c>
      <c r="N14" s="211">
        <v>0</v>
      </c>
      <c r="O14" s="20">
        <f t="shared" si="0"/>
        <v>3.4203225806451611E-2</v>
      </c>
      <c r="P14" s="33">
        <v>42789</v>
      </c>
      <c r="Q14" s="18">
        <v>30000</v>
      </c>
      <c r="R14" s="16" t="s">
        <v>457</v>
      </c>
      <c r="S14" s="492">
        <f t="shared" si="1"/>
        <v>31809</v>
      </c>
      <c r="T14" s="223">
        <v>156388</v>
      </c>
      <c r="U14" s="112"/>
      <c r="V14" s="112" t="s">
        <v>697</v>
      </c>
    </row>
    <row r="15" spans="1:23" s="47" customFormat="1" x14ac:dyDescent="0.2">
      <c r="A15" s="16" t="s">
        <v>408</v>
      </c>
      <c r="B15" s="18" t="s">
        <v>454</v>
      </c>
      <c r="C15" s="18" t="s">
        <v>421</v>
      </c>
      <c r="D15" s="19">
        <v>36557</v>
      </c>
      <c r="E15" s="19">
        <v>37103</v>
      </c>
      <c r="F15" s="16" t="s">
        <v>458</v>
      </c>
      <c r="G15" s="16" t="s">
        <v>456</v>
      </c>
      <c r="H15" s="18"/>
      <c r="I15" s="24">
        <f>1.0603/I$1</f>
        <v>3.4203225806451611E-2</v>
      </c>
      <c r="J15" s="20">
        <v>0</v>
      </c>
      <c r="K15" s="20">
        <v>0</v>
      </c>
      <c r="L15" s="20">
        <v>0</v>
      </c>
      <c r="M15" s="20">
        <v>0</v>
      </c>
      <c r="N15" s="211">
        <v>0</v>
      </c>
      <c r="O15" s="20">
        <f t="shared" si="0"/>
        <v>3.4203225806451611E-2</v>
      </c>
      <c r="P15" s="33">
        <v>50250</v>
      </c>
      <c r="Q15" s="18">
        <v>20000</v>
      </c>
      <c r="R15" s="16" t="s">
        <v>459</v>
      </c>
      <c r="S15" s="492">
        <f t="shared" si="1"/>
        <v>21206</v>
      </c>
      <c r="T15" s="223">
        <v>156399</v>
      </c>
      <c r="U15" s="112"/>
      <c r="V15" s="112" t="s">
        <v>697</v>
      </c>
    </row>
    <row r="16" spans="1:23" s="47" customFormat="1" x14ac:dyDescent="0.2">
      <c r="A16" s="16" t="s">
        <v>408</v>
      </c>
      <c r="B16" s="18" t="s">
        <v>454</v>
      </c>
      <c r="C16" s="18" t="s">
        <v>421</v>
      </c>
      <c r="D16" s="19">
        <v>36557</v>
      </c>
      <c r="E16" s="19">
        <v>37955</v>
      </c>
      <c r="F16" s="16" t="s">
        <v>461</v>
      </c>
      <c r="G16" s="16" t="s">
        <v>462</v>
      </c>
      <c r="H16" s="18"/>
      <c r="I16" s="24">
        <f>1.0603/I$1</f>
        <v>3.4203225806451611E-2</v>
      </c>
      <c r="J16" s="20">
        <v>0</v>
      </c>
      <c r="K16" s="20">
        <v>0</v>
      </c>
      <c r="L16" s="20">
        <v>0</v>
      </c>
      <c r="M16" s="20">
        <v>0</v>
      </c>
      <c r="N16" s="211">
        <v>0</v>
      </c>
      <c r="O16" s="20">
        <f t="shared" si="0"/>
        <v>3.4203225806451611E-2</v>
      </c>
      <c r="P16" s="33">
        <v>62408</v>
      </c>
      <c r="Q16" s="18">
        <v>40000</v>
      </c>
      <c r="R16" s="16" t="s">
        <v>463</v>
      </c>
      <c r="S16" s="492">
        <f t="shared" si="1"/>
        <v>42412</v>
      </c>
      <c r="T16" s="223">
        <v>156526</v>
      </c>
      <c r="U16" s="112"/>
      <c r="V16" s="112" t="s">
        <v>697</v>
      </c>
    </row>
    <row r="17" spans="1:24" s="47" customFormat="1" x14ac:dyDescent="0.2">
      <c r="A17" s="16" t="s">
        <v>408</v>
      </c>
      <c r="B17" s="18" t="s">
        <v>454</v>
      </c>
      <c r="C17" s="18" t="s">
        <v>421</v>
      </c>
      <c r="D17" s="19">
        <v>36557</v>
      </c>
      <c r="E17" s="19">
        <v>38291</v>
      </c>
      <c r="F17" s="16" t="s">
        <v>464</v>
      </c>
      <c r="G17" s="16" t="s">
        <v>456</v>
      </c>
      <c r="H17" s="18"/>
      <c r="I17" s="24">
        <f>1.0603/I$1</f>
        <v>3.4203225806451611E-2</v>
      </c>
      <c r="J17" s="20">
        <v>0</v>
      </c>
      <c r="K17" s="20">
        <v>0</v>
      </c>
      <c r="L17" s="20">
        <v>0</v>
      </c>
      <c r="M17" s="20">
        <v>0</v>
      </c>
      <c r="N17" s="211">
        <v>0</v>
      </c>
      <c r="O17" s="20">
        <f t="shared" si="0"/>
        <v>3.4203225806451611E-2</v>
      </c>
      <c r="P17" s="33">
        <v>63922</v>
      </c>
      <c r="Q17" s="18">
        <v>25654</v>
      </c>
      <c r="R17" s="37" t="s">
        <v>616</v>
      </c>
      <c r="S17" s="492">
        <f t="shared" si="1"/>
        <v>27200.9362</v>
      </c>
      <c r="T17" s="223">
        <v>156540</v>
      </c>
      <c r="U17" s="112"/>
      <c r="V17" s="112" t="s">
        <v>697</v>
      </c>
    </row>
    <row r="18" spans="1:24" s="47" customFormat="1" x14ac:dyDescent="0.2">
      <c r="A18" s="16" t="s">
        <v>408</v>
      </c>
      <c r="B18" s="18" t="s">
        <v>454</v>
      </c>
      <c r="C18" s="18" t="s">
        <v>454</v>
      </c>
      <c r="D18" s="19">
        <v>36434</v>
      </c>
      <c r="E18" s="19">
        <v>37164</v>
      </c>
      <c r="F18" s="16" t="s">
        <v>567</v>
      </c>
      <c r="G18" s="16" t="s">
        <v>393</v>
      </c>
      <c r="H18" s="18" t="s">
        <v>66</v>
      </c>
      <c r="I18" s="24">
        <v>1.4999999999999999E-2</v>
      </c>
      <c r="J18" s="20">
        <v>0</v>
      </c>
      <c r="K18" s="20">
        <v>0</v>
      </c>
      <c r="L18" s="20">
        <v>0</v>
      </c>
      <c r="M18" s="20">
        <v>0</v>
      </c>
      <c r="N18" s="211">
        <v>0</v>
      </c>
      <c r="O18" s="20">
        <f t="shared" si="0"/>
        <v>1.4999999999999999E-2</v>
      </c>
      <c r="P18" s="33">
        <v>64937</v>
      </c>
      <c r="Q18" s="18">
        <v>10000</v>
      </c>
      <c r="R18" s="16" t="s">
        <v>582</v>
      </c>
      <c r="S18" s="492">
        <f t="shared" si="1"/>
        <v>4650</v>
      </c>
      <c r="T18" s="223">
        <v>118000</v>
      </c>
      <c r="U18" s="112"/>
      <c r="V18" s="112" t="s">
        <v>697</v>
      </c>
    </row>
    <row r="19" spans="1:24" s="47" customFormat="1" x14ac:dyDescent="0.2">
      <c r="A19" s="16" t="s">
        <v>408</v>
      </c>
      <c r="B19" s="18" t="s">
        <v>454</v>
      </c>
      <c r="C19" s="18" t="s">
        <v>454</v>
      </c>
      <c r="D19" s="19">
        <v>36982</v>
      </c>
      <c r="E19" s="19">
        <v>37072</v>
      </c>
      <c r="F19" s="16" t="s">
        <v>414</v>
      </c>
      <c r="G19" s="16" t="s">
        <v>568</v>
      </c>
      <c r="H19" s="18" t="s">
        <v>66</v>
      </c>
      <c r="I19" s="24">
        <v>5.2499999999999998E-2</v>
      </c>
      <c r="J19" s="20">
        <v>0</v>
      </c>
      <c r="K19" s="20">
        <v>0</v>
      </c>
      <c r="L19" s="20">
        <v>0</v>
      </c>
      <c r="M19" s="20">
        <v>0</v>
      </c>
      <c r="N19" s="211">
        <v>0</v>
      </c>
      <c r="O19" s="20">
        <f t="shared" si="0"/>
        <v>5.2499999999999998E-2</v>
      </c>
      <c r="P19" s="33"/>
      <c r="Q19" s="18">
        <v>4600</v>
      </c>
      <c r="R19" s="16" t="s">
        <v>514</v>
      </c>
      <c r="S19" s="492">
        <f t="shared" si="1"/>
        <v>7486.5</v>
      </c>
      <c r="T19" s="223"/>
      <c r="U19" s="112"/>
      <c r="V19" s="112" t="s">
        <v>697</v>
      </c>
    </row>
    <row r="20" spans="1:24" s="47" customFormat="1" x14ac:dyDescent="0.2">
      <c r="A20" s="16"/>
      <c r="B20" s="18"/>
      <c r="C20" s="18"/>
      <c r="D20" s="19"/>
      <c r="E20" s="19"/>
      <c r="F20" s="16"/>
      <c r="G20" s="16"/>
      <c r="H20" s="18"/>
      <c r="I20" s="24"/>
      <c r="J20" s="20"/>
      <c r="K20" s="20"/>
      <c r="L20" s="20"/>
      <c r="M20" s="20"/>
      <c r="N20" s="211"/>
      <c r="O20" s="20"/>
      <c r="P20" s="33"/>
      <c r="Q20" s="18"/>
      <c r="R20" s="16"/>
      <c r="S20" s="492"/>
      <c r="T20" s="223"/>
      <c r="U20" s="112"/>
      <c r="V20" s="112" t="s">
        <v>697</v>
      </c>
    </row>
    <row r="21" spans="1:24" s="47" customFormat="1" x14ac:dyDescent="0.2">
      <c r="A21" s="16"/>
      <c r="B21" s="18"/>
      <c r="C21" s="18"/>
      <c r="D21" s="19"/>
      <c r="E21" s="19"/>
      <c r="F21" s="16"/>
      <c r="G21" s="16"/>
      <c r="H21" s="18"/>
      <c r="I21" s="24"/>
      <c r="J21" s="20"/>
      <c r="K21" s="20"/>
      <c r="L21" s="20"/>
      <c r="M21" s="20"/>
      <c r="N21" s="211"/>
      <c r="O21" s="20"/>
      <c r="P21" s="33"/>
      <c r="Q21" s="18"/>
      <c r="R21" s="16"/>
      <c r="S21" s="492"/>
      <c r="T21" s="223"/>
      <c r="U21" s="112"/>
      <c r="V21" s="112" t="s">
        <v>697</v>
      </c>
    </row>
    <row r="22" spans="1:24" s="47" customFormat="1" x14ac:dyDescent="0.2">
      <c r="A22" s="16" t="s">
        <v>408</v>
      </c>
      <c r="B22" s="18" t="s">
        <v>454</v>
      </c>
      <c r="C22" s="18" t="s">
        <v>454</v>
      </c>
      <c r="D22" s="19">
        <v>34274</v>
      </c>
      <c r="E22" s="19">
        <v>40117</v>
      </c>
      <c r="F22" s="16" t="s">
        <v>513</v>
      </c>
      <c r="G22" s="16" t="s">
        <v>231</v>
      </c>
      <c r="H22" s="18" t="s">
        <v>66</v>
      </c>
      <c r="I22" s="24">
        <f>3.145/I$1</f>
        <v>0.10145161290322581</v>
      </c>
      <c r="J22" s="20">
        <v>0</v>
      </c>
      <c r="K22" s="20">
        <v>0</v>
      </c>
      <c r="L22" s="20">
        <v>0</v>
      </c>
      <c r="M22" s="20">
        <v>0</v>
      </c>
      <c r="N22" s="211">
        <v>0</v>
      </c>
      <c r="O22" s="20">
        <f>SUM(I22:M22)</f>
        <v>0.10145161290322581</v>
      </c>
      <c r="P22" s="33">
        <v>37861</v>
      </c>
      <c r="Q22" s="18">
        <v>15000</v>
      </c>
      <c r="R22" s="16" t="s">
        <v>570</v>
      </c>
      <c r="S22" s="492">
        <f>I22*I$1*Q22</f>
        <v>47175</v>
      </c>
      <c r="T22" s="223">
        <v>93034</v>
      </c>
      <c r="U22" s="112"/>
      <c r="V22" s="112" t="s">
        <v>697</v>
      </c>
    </row>
    <row r="23" spans="1:24" s="47" customFormat="1" x14ac:dyDescent="0.2">
      <c r="A23" s="16" t="s">
        <v>408</v>
      </c>
      <c r="B23" s="18" t="s">
        <v>454</v>
      </c>
      <c r="C23" s="18" t="s">
        <v>421</v>
      </c>
      <c r="D23" s="19">
        <v>36557</v>
      </c>
      <c r="E23" s="19">
        <v>38472</v>
      </c>
      <c r="F23" s="16" t="s">
        <v>456</v>
      </c>
      <c r="G23" s="16" t="s">
        <v>231</v>
      </c>
      <c r="H23" s="18"/>
      <c r="I23" s="24">
        <f>3.145/I$1</f>
        <v>0.10145161290322581</v>
      </c>
      <c r="J23" s="20">
        <v>0</v>
      </c>
      <c r="K23" s="20">
        <v>0</v>
      </c>
      <c r="L23" s="20">
        <v>0</v>
      </c>
      <c r="M23" s="20">
        <v>0</v>
      </c>
      <c r="N23" s="211">
        <v>0</v>
      </c>
      <c r="O23" s="20">
        <f>SUM(I23:M23)</f>
        <v>0.10145161290322581</v>
      </c>
      <c r="P23" s="33">
        <v>58654</v>
      </c>
      <c r="Q23" s="18">
        <v>15000</v>
      </c>
      <c r="R23" s="16" t="s">
        <v>460</v>
      </c>
      <c r="S23" s="492">
        <f>I23*I$1*Q23</f>
        <v>47175</v>
      </c>
      <c r="T23" s="223">
        <v>156408</v>
      </c>
      <c r="U23" s="112"/>
      <c r="V23" s="112" t="s">
        <v>697</v>
      </c>
    </row>
    <row r="24" spans="1:24" s="47" customFormat="1" x14ac:dyDescent="0.2">
      <c r="A24" s="16" t="s">
        <v>408</v>
      </c>
      <c r="B24" s="18" t="s">
        <v>454</v>
      </c>
      <c r="C24" s="18" t="s">
        <v>421</v>
      </c>
      <c r="D24" s="19">
        <v>36557</v>
      </c>
      <c r="E24" s="19">
        <v>37346</v>
      </c>
      <c r="F24" s="16" t="s">
        <v>456</v>
      </c>
      <c r="G24" s="16" t="s">
        <v>231</v>
      </c>
      <c r="H24" s="18"/>
      <c r="I24" s="24">
        <f>2.6805/I$1</f>
        <v>8.6467741935483872E-2</v>
      </c>
      <c r="J24" s="20">
        <v>0</v>
      </c>
      <c r="K24" s="20">
        <v>0</v>
      </c>
      <c r="L24" s="20">
        <v>0</v>
      </c>
      <c r="M24" s="20">
        <v>0</v>
      </c>
      <c r="N24" s="211">
        <v>0</v>
      </c>
      <c r="O24" s="20">
        <f>SUM(I24:M24)</f>
        <v>8.6467741935483872E-2</v>
      </c>
      <c r="P24" s="33">
        <v>63115</v>
      </c>
      <c r="Q24" s="18">
        <v>30000</v>
      </c>
      <c r="R24" s="37" t="s">
        <v>615</v>
      </c>
      <c r="S24" s="492">
        <f>I24*I$1*Q24</f>
        <v>80415</v>
      </c>
      <c r="T24" s="223">
        <v>156532</v>
      </c>
      <c r="U24" s="112"/>
      <c r="V24" s="112" t="s">
        <v>697</v>
      </c>
    </row>
    <row r="25" spans="1:24" s="47" customFormat="1" x14ac:dyDescent="0.2">
      <c r="A25" s="16" t="s">
        <v>408</v>
      </c>
      <c r="B25" s="18" t="s">
        <v>454</v>
      </c>
      <c r="C25" s="18" t="s">
        <v>578</v>
      </c>
      <c r="D25" s="19">
        <v>36746</v>
      </c>
      <c r="E25" s="19">
        <v>37103</v>
      </c>
      <c r="F25" s="16" t="s">
        <v>456</v>
      </c>
      <c r="G25" s="16" t="s">
        <v>231</v>
      </c>
      <c r="H25" s="18"/>
      <c r="I25" s="24">
        <f>3.14/I$1</f>
        <v>0.10129032258064516</v>
      </c>
      <c r="J25" s="20"/>
      <c r="K25" s="20"/>
      <c r="L25" s="20"/>
      <c r="M25" s="20"/>
      <c r="N25" s="211"/>
      <c r="O25" s="20"/>
      <c r="P25" s="33">
        <v>69119</v>
      </c>
      <c r="Q25" s="18">
        <v>142</v>
      </c>
      <c r="R25" s="37" t="s">
        <v>614</v>
      </c>
      <c r="S25" s="492">
        <f>I25*I$1*Q25</f>
        <v>445.88</v>
      </c>
      <c r="T25" s="223">
        <v>360720</v>
      </c>
      <c r="U25" s="409"/>
      <c r="V25" s="112" t="s">
        <v>697</v>
      </c>
    </row>
    <row r="26" spans="1:24" s="47" customFormat="1" x14ac:dyDescent="0.2">
      <c r="A26" s="16"/>
      <c r="B26" s="18"/>
      <c r="C26" s="18"/>
      <c r="D26" s="19"/>
      <c r="E26" s="19"/>
      <c r="F26" s="37"/>
      <c r="G26" s="37"/>
      <c r="H26" s="18"/>
      <c r="I26" s="24"/>
      <c r="J26" s="20"/>
      <c r="K26" s="20"/>
      <c r="L26" s="20"/>
      <c r="M26" s="20"/>
      <c r="N26" s="211"/>
      <c r="O26" s="20"/>
      <c r="P26" s="33"/>
      <c r="Q26" s="329"/>
      <c r="R26" s="37"/>
      <c r="S26" s="25"/>
      <c r="T26" s="223"/>
      <c r="U26" s="112"/>
      <c r="V26" s="112"/>
    </row>
    <row r="27" spans="1:24" s="46" customFormat="1" x14ac:dyDescent="0.2">
      <c r="A27" s="248" t="s">
        <v>45</v>
      </c>
      <c r="B27" s="237" t="s">
        <v>45</v>
      </c>
      <c r="C27" s="123" t="s">
        <v>45</v>
      </c>
      <c r="D27" s="249" t="s">
        <v>45</v>
      </c>
      <c r="E27" s="249"/>
      <c r="F27" s="248" t="s">
        <v>45</v>
      </c>
      <c r="G27" s="332" t="s">
        <v>45</v>
      </c>
      <c r="H27" s="237" t="s">
        <v>45</v>
      </c>
      <c r="I27" s="250"/>
      <c r="J27" s="32"/>
      <c r="K27" s="32"/>
      <c r="L27" s="32"/>
      <c r="M27" s="32"/>
      <c r="N27" s="333"/>
      <c r="O27" s="32"/>
      <c r="P27" s="334" t="s">
        <v>45</v>
      </c>
      <c r="Q27" s="123">
        <f>SUM(Q13:Q26)</f>
        <v>210396</v>
      </c>
      <c r="R27" s="248" t="s">
        <v>479</v>
      </c>
      <c r="S27" s="36">
        <f>SUM(S13:S26)</f>
        <v>331181.3162</v>
      </c>
      <c r="T27" s="213"/>
      <c r="U27" s="111"/>
      <c r="V27" s="111"/>
    </row>
    <row r="28" spans="1:24" s="46" customFormat="1" x14ac:dyDescent="0.2">
      <c r="A28" s="248"/>
      <c r="B28" s="237"/>
      <c r="C28" s="123"/>
      <c r="D28" s="249"/>
      <c r="E28" s="249"/>
      <c r="F28" s="248"/>
      <c r="G28" s="332"/>
      <c r="H28" s="237"/>
      <c r="I28" s="250"/>
      <c r="J28" s="32"/>
      <c r="K28" s="32"/>
      <c r="L28" s="32"/>
      <c r="M28" s="32"/>
      <c r="N28" s="333"/>
      <c r="O28" s="32"/>
      <c r="P28" s="334"/>
      <c r="Q28" s="237"/>
      <c r="R28" s="248" t="s">
        <v>572</v>
      </c>
      <c r="S28" s="36">
        <v>0</v>
      </c>
      <c r="T28" s="213"/>
      <c r="U28" s="111"/>
      <c r="V28" s="111"/>
    </row>
    <row r="29" spans="1:24" ht="13.5" thickBot="1" x14ac:dyDescent="0.25">
      <c r="A29" s="248"/>
      <c r="B29" s="237"/>
      <c r="C29" s="123"/>
      <c r="D29" s="249"/>
      <c r="E29" s="249"/>
      <c r="F29" s="248"/>
      <c r="G29" s="332"/>
      <c r="H29" s="237"/>
      <c r="I29" s="250"/>
      <c r="J29" s="32"/>
      <c r="K29" s="32"/>
      <c r="L29" s="32"/>
      <c r="M29" s="32"/>
      <c r="N29" s="333"/>
      <c r="O29" s="32"/>
      <c r="P29" s="334"/>
      <c r="Q29" s="237"/>
      <c r="R29" s="248" t="s">
        <v>573</v>
      </c>
      <c r="S29" s="364">
        <f>+S27-S28</f>
        <v>331181.3162</v>
      </c>
      <c r="T29" s="213"/>
      <c r="U29" s="112"/>
      <c r="V29" s="112"/>
    </row>
    <row r="30" spans="1:24" ht="13.5" thickTop="1" x14ac:dyDescent="0.2">
      <c r="A30" s="248"/>
      <c r="B30" s="237"/>
      <c r="C30" s="123"/>
      <c r="D30" s="249"/>
      <c r="E30" s="249"/>
      <c r="F30" s="248"/>
      <c r="G30" s="332"/>
      <c r="H30" s="237"/>
      <c r="I30" s="250"/>
      <c r="J30" s="32"/>
      <c r="K30" s="32"/>
      <c r="L30" s="32"/>
      <c r="M30" s="32"/>
      <c r="N30" s="333"/>
      <c r="O30" s="32"/>
      <c r="P30" s="334"/>
      <c r="Q30" s="237"/>
      <c r="R30" s="248"/>
      <c r="S30" s="36"/>
      <c r="T30" s="213"/>
      <c r="U30" s="112"/>
      <c r="V30" s="112"/>
    </row>
    <row r="31" spans="1:24" s="345" customFormat="1" x14ac:dyDescent="0.2">
      <c r="A31" s="335" t="s">
        <v>47</v>
      </c>
      <c r="B31" s="336" t="s">
        <v>48</v>
      </c>
      <c r="C31" s="336" t="s">
        <v>49</v>
      </c>
      <c r="D31" s="337" t="s">
        <v>50</v>
      </c>
      <c r="E31" s="337"/>
      <c r="F31" s="335" t="s">
        <v>51</v>
      </c>
      <c r="G31" s="335" t="s">
        <v>52</v>
      </c>
      <c r="H31" s="336" t="s">
        <v>53</v>
      </c>
      <c r="I31" s="338" t="s">
        <v>54</v>
      </c>
      <c r="J31" s="336" t="s">
        <v>55</v>
      </c>
      <c r="K31" s="336" t="s">
        <v>56</v>
      </c>
      <c r="L31" s="336" t="s">
        <v>57</v>
      </c>
      <c r="M31" s="336" t="s">
        <v>58</v>
      </c>
      <c r="N31" s="339" t="s">
        <v>60</v>
      </c>
      <c r="O31" s="336" t="s">
        <v>61</v>
      </c>
      <c r="P31" s="340" t="s">
        <v>450</v>
      </c>
      <c r="Q31" s="336" t="s">
        <v>63</v>
      </c>
      <c r="R31" s="335" t="s">
        <v>64</v>
      </c>
      <c r="S31" s="341" t="s">
        <v>467</v>
      </c>
      <c r="T31" s="342" t="s">
        <v>467</v>
      </c>
      <c r="U31" s="343"/>
      <c r="V31" s="344"/>
      <c r="W31" s="344"/>
    </row>
    <row r="32" spans="1:24" s="47" customFormat="1" x14ac:dyDescent="0.2">
      <c r="A32" s="16" t="s">
        <v>408</v>
      </c>
      <c r="B32" s="18" t="s">
        <v>468</v>
      </c>
      <c r="C32" s="18" t="s">
        <v>287</v>
      </c>
      <c r="D32" s="19">
        <v>37012</v>
      </c>
      <c r="E32" s="19">
        <v>37376</v>
      </c>
      <c r="F32" s="37" t="s">
        <v>576</v>
      </c>
      <c r="G32" s="37" t="s">
        <v>577</v>
      </c>
      <c r="H32" s="18" t="s">
        <v>472</v>
      </c>
      <c r="I32" s="112">
        <f>6.195/I1</f>
        <v>0.19983870967741937</v>
      </c>
      <c r="J32" s="20"/>
      <c r="K32" s="20"/>
      <c r="L32" s="20"/>
      <c r="M32" s="20"/>
      <c r="N32" s="211"/>
      <c r="O32" s="20"/>
      <c r="P32" s="33">
        <v>67207</v>
      </c>
      <c r="Q32" s="18">
        <v>19293</v>
      </c>
      <c r="R32" s="16" t="s">
        <v>743</v>
      </c>
      <c r="S32" s="223">
        <f t="shared" ref="S32:S38" si="2">I32*I$1*Q32</f>
        <v>119520.13500000001</v>
      </c>
      <c r="T32" s="368"/>
      <c r="U32" s="223">
        <v>615426</v>
      </c>
      <c r="V32" s="112" t="s">
        <v>107</v>
      </c>
      <c r="W32" s="112"/>
      <c r="X32" s="112"/>
    </row>
    <row r="33" spans="1:23" s="174" customFormat="1" x14ac:dyDescent="0.2">
      <c r="A33" s="152" t="s">
        <v>566</v>
      </c>
      <c r="B33" s="481" t="s">
        <v>468</v>
      </c>
      <c r="C33" s="481" t="s">
        <v>468</v>
      </c>
      <c r="D33" s="482">
        <v>36982</v>
      </c>
      <c r="E33" s="482">
        <v>37346</v>
      </c>
      <c r="F33" s="152" t="s">
        <v>465</v>
      </c>
      <c r="G33" s="152" t="s">
        <v>586</v>
      </c>
      <c r="H33" s="481" t="s">
        <v>66</v>
      </c>
      <c r="I33" s="483">
        <f>6.195/I$1</f>
        <v>0.19983870967741937</v>
      </c>
      <c r="J33" s="484">
        <v>0</v>
      </c>
      <c r="K33" s="484">
        <v>0</v>
      </c>
      <c r="L33" s="484">
        <v>0</v>
      </c>
      <c r="M33" s="484">
        <v>0</v>
      </c>
      <c r="N33" s="485">
        <v>0</v>
      </c>
      <c r="O33" s="484">
        <f t="shared" ref="O33:O38" si="3">SUM(I33:M33)</f>
        <v>0.19983870967741937</v>
      </c>
      <c r="P33" s="486">
        <v>67133</v>
      </c>
      <c r="Q33" s="481">
        <v>4000</v>
      </c>
      <c r="R33" s="152" t="s">
        <v>511</v>
      </c>
      <c r="S33" s="25">
        <f t="shared" si="2"/>
        <v>24780</v>
      </c>
      <c r="T33" s="487">
        <v>4.41</v>
      </c>
      <c r="U33" s="488">
        <v>690593</v>
      </c>
      <c r="V33" s="489" t="s">
        <v>107</v>
      </c>
      <c r="W33" s="489"/>
    </row>
    <row r="34" spans="1:23" s="174" customFormat="1" x14ac:dyDescent="0.2">
      <c r="A34" s="152" t="s">
        <v>566</v>
      </c>
      <c r="B34" s="481" t="s">
        <v>468</v>
      </c>
      <c r="C34" s="481" t="s">
        <v>468</v>
      </c>
      <c r="D34" s="482">
        <v>36982</v>
      </c>
      <c r="E34" s="482">
        <v>37346</v>
      </c>
      <c r="F34" s="152" t="s">
        <v>465</v>
      </c>
      <c r="G34" s="152" t="s">
        <v>512</v>
      </c>
      <c r="H34" s="481" t="s">
        <v>66</v>
      </c>
      <c r="I34" s="483">
        <f>6.231/I$1</f>
        <v>0.20099999999999998</v>
      </c>
      <c r="J34" s="484">
        <v>0</v>
      </c>
      <c r="K34" s="484">
        <v>0</v>
      </c>
      <c r="L34" s="484">
        <v>0</v>
      </c>
      <c r="M34" s="484">
        <v>0</v>
      </c>
      <c r="N34" s="485">
        <v>0</v>
      </c>
      <c r="O34" s="484">
        <f t="shared" si="3"/>
        <v>0.20099999999999998</v>
      </c>
      <c r="P34" s="486">
        <v>70197</v>
      </c>
      <c r="Q34" s="481">
        <v>4000</v>
      </c>
      <c r="R34" s="152" t="s">
        <v>511</v>
      </c>
      <c r="S34" s="25">
        <f t="shared" si="2"/>
        <v>24924</v>
      </c>
      <c r="T34" s="487">
        <v>6.2009999999999996</v>
      </c>
      <c r="U34" s="488">
        <v>544527</v>
      </c>
      <c r="V34" s="489" t="s">
        <v>107</v>
      </c>
      <c r="W34" s="489"/>
    </row>
    <row r="35" spans="1:23" s="47" customFormat="1" x14ac:dyDescent="0.2">
      <c r="A35" s="16" t="s">
        <v>408</v>
      </c>
      <c r="B35" s="18" t="s">
        <v>468</v>
      </c>
      <c r="C35" s="16" t="s">
        <v>587</v>
      </c>
      <c r="D35" s="19">
        <v>36770</v>
      </c>
      <c r="E35" s="19">
        <v>37134</v>
      </c>
      <c r="F35" s="16" t="s">
        <v>588</v>
      </c>
      <c r="G35" s="16" t="s">
        <v>589</v>
      </c>
      <c r="H35" s="18"/>
      <c r="I35" s="24">
        <f>6.201/I$1</f>
        <v>0.20003225806451611</v>
      </c>
      <c r="J35" s="20">
        <v>0</v>
      </c>
      <c r="K35" s="20">
        <v>0</v>
      </c>
      <c r="L35" s="20">
        <v>0</v>
      </c>
      <c r="M35" s="20">
        <v>0</v>
      </c>
      <c r="N35" s="211">
        <v>0</v>
      </c>
      <c r="O35" s="20">
        <f t="shared" si="3"/>
        <v>0.20003225806451611</v>
      </c>
      <c r="P35" s="33">
        <v>69204</v>
      </c>
      <c r="Q35" s="123">
        <v>2048</v>
      </c>
      <c r="R35" s="16" t="s">
        <v>590</v>
      </c>
      <c r="S35" s="25">
        <f t="shared" si="2"/>
        <v>12699.647999999999</v>
      </c>
      <c r="T35" s="368"/>
      <c r="U35" s="223">
        <v>382565</v>
      </c>
      <c r="V35" s="112" t="s">
        <v>107</v>
      </c>
      <c r="W35" s="112"/>
    </row>
    <row r="36" spans="1:23" s="47" customFormat="1" x14ac:dyDescent="0.2">
      <c r="A36" s="16" t="s">
        <v>408</v>
      </c>
      <c r="B36" s="18" t="s">
        <v>468</v>
      </c>
      <c r="C36" s="16" t="s">
        <v>587</v>
      </c>
      <c r="D36" s="19">
        <v>36770</v>
      </c>
      <c r="E36" s="19">
        <v>37134</v>
      </c>
      <c r="F36" s="16" t="s">
        <v>588</v>
      </c>
      <c r="G36" s="16" t="s">
        <v>589</v>
      </c>
      <c r="H36" s="18"/>
      <c r="I36" s="24">
        <f>6.201/I$1</f>
        <v>0.20003225806451611</v>
      </c>
      <c r="J36" s="20">
        <v>0</v>
      </c>
      <c r="K36" s="20">
        <v>0</v>
      </c>
      <c r="L36" s="20">
        <v>0</v>
      </c>
      <c r="M36" s="20">
        <v>0</v>
      </c>
      <c r="N36" s="211">
        <v>0</v>
      </c>
      <c r="O36" s="20">
        <f t="shared" si="3"/>
        <v>0.20003225806451611</v>
      </c>
      <c r="P36" s="33">
        <v>69205</v>
      </c>
      <c r="Q36" s="123">
        <v>2048</v>
      </c>
      <c r="R36" s="16" t="s">
        <v>591</v>
      </c>
      <c r="S36" s="25">
        <f t="shared" si="2"/>
        <v>12699.647999999999</v>
      </c>
      <c r="T36" s="368"/>
      <c r="U36" s="223">
        <v>382544</v>
      </c>
      <c r="V36" s="112" t="s">
        <v>107</v>
      </c>
      <c r="W36" s="112"/>
    </row>
    <row r="37" spans="1:23" s="47" customFormat="1" x14ac:dyDescent="0.2">
      <c r="A37" s="16" t="s">
        <v>408</v>
      </c>
      <c r="B37" s="18" t="s">
        <v>468</v>
      </c>
      <c r="C37" s="16" t="s">
        <v>587</v>
      </c>
      <c r="D37" s="19">
        <v>36770</v>
      </c>
      <c r="E37" s="19">
        <v>37134</v>
      </c>
      <c r="F37" s="16" t="s">
        <v>588</v>
      </c>
      <c r="G37" s="16" t="s">
        <v>589</v>
      </c>
      <c r="H37" s="18"/>
      <c r="I37" s="24">
        <f>6.201/I$1</f>
        <v>0.20003225806451611</v>
      </c>
      <c r="J37" s="20">
        <v>0</v>
      </c>
      <c r="K37" s="20">
        <v>0</v>
      </c>
      <c r="L37" s="20">
        <v>0</v>
      </c>
      <c r="M37" s="20">
        <v>0</v>
      </c>
      <c r="N37" s="211">
        <v>0</v>
      </c>
      <c r="O37" s="20">
        <f t="shared" si="3"/>
        <v>0.20003225806451611</v>
      </c>
      <c r="P37" s="33">
        <v>69310</v>
      </c>
      <c r="Q37" s="123">
        <v>2048</v>
      </c>
      <c r="R37" s="16" t="s">
        <v>592</v>
      </c>
      <c r="S37" s="25">
        <f t="shared" si="2"/>
        <v>12699.647999999999</v>
      </c>
      <c r="T37" s="368"/>
      <c r="U37" s="223">
        <v>386340</v>
      </c>
      <c r="V37" s="112" t="s">
        <v>107</v>
      </c>
      <c r="W37" s="112"/>
    </row>
    <row r="38" spans="1:23" s="47" customFormat="1" x14ac:dyDescent="0.2">
      <c r="A38" s="16" t="s">
        <v>380</v>
      </c>
      <c r="B38" s="18" t="s">
        <v>468</v>
      </c>
      <c r="C38" s="18" t="s">
        <v>470</v>
      </c>
      <c r="D38" s="19">
        <v>36434</v>
      </c>
      <c r="E38" s="19">
        <v>36714</v>
      </c>
      <c r="F38" s="16" t="s">
        <v>469</v>
      </c>
      <c r="G38" s="16" t="s">
        <v>470</v>
      </c>
      <c r="H38" s="18"/>
      <c r="I38" s="24">
        <v>0</v>
      </c>
      <c r="J38" s="20">
        <v>0</v>
      </c>
      <c r="K38" s="20">
        <v>0</v>
      </c>
      <c r="L38" s="20">
        <v>0</v>
      </c>
      <c r="M38" s="20">
        <v>0</v>
      </c>
      <c r="N38" s="211">
        <v>0</v>
      </c>
      <c r="O38" s="20">
        <f t="shared" si="3"/>
        <v>0</v>
      </c>
      <c r="P38" s="33"/>
      <c r="Q38" s="18">
        <v>40000</v>
      </c>
      <c r="R38" s="16"/>
      <c r="S38" s="25">
        <f t="shared" si="2"/>
        <v>0</v>
      </c>
      <c r="T38" s="25"/>
      <c r="U38" s="223"/>
      <c r="V38" s="112" t="s">
        <v>107</v>
      </c>
      <c r="W38" s="112"/>
    </row>
    <row r="39" spans="1:23" s="47" customFormat="1" x14ac:dyDescent="0.2">
      <c r="A39" s="16"/>
      <c r="B39" s="18"/>
      <c r="C39" s="18"/>
      <c r="D39" s="19"/>
      <c r="E39" s="19"/>
      <c r="F39" s="16"/>
      <c r="G39" s="16"/>
      <c r="H39" s="18"/>
      <c r="I39" s="24"/>
      <c r="J39" s="20"/>
      <c r="K39" s="20"/>
      <c r="L39" s="20"/>
      <c r="M39" s="20"/>
      <c r="N39" s="211"/>
      <c r="O39" s="20"/>
      <c r="P39" s="33"/>
      <c r="Q39" s="18"/>
      <c r="R39" s="16"/>
      <c r="S39" s="25"/>
      <c r="T39" s="25"/>
      <c r="U39" s="223"/>
      <c r="V39" s="112" t="s">
        <v>107</v>
      </c>
      <c r="W39" s="112"/>
    </row>
    <row r="40" spans="1:23" s="47" customFormat="1" x14ac:dyDescent="0.2">
      <c r="A40" s="16"/>
      <c r="B40" s="18"/>
      <c r="C40" s="18"/>
      <c r="D40" s="366"/>
      <c r="E40" s="19"/>
      <c r="F40" s="16"/>
      <c r="G40" s="16"/>
      <c r="H40" s="18"/>
      <c r="I40" s="24"/>
      <c r="J40" s="20"/>
      <c r="K40" s="20"/>
      <c r="L40" s="20"/>
      <c r="M40" s="20"/>
      <c r="N40" s="211"/>
      <c r="O40" s="20"/>
      <c r="P40" s="33"/>
      <c r="Q40" s="123">
        <f>SUM(Q32:Q39)</f>
        <v>73437</v>
      </c>
      <c r="R40" s="248" t="s">
        <v>479</v>
      </c>
      <c r="S40" s="36">
        <f>SUM(S32:S39)</f>
        <v>207323.07899999997</v>
      </c>
      <c r="T40" s="25"/>
      <c r="U40" s="223"/>
      <c r="V40" s="112" t="s">
        <v>107</v>
      </c>
      <c r="W40" s="112"/>
    </row>
    <row r="41" spans="1:23" s="47" customFormat="1" x14ac:dyDescent="0.2">
      <c r="A41" s="16"/>
      <c r="B41" s="18"/>
      <c r="C41" s="18"/>
      <c r="D41" s="366"/>
      <c r="E41" s="19"/>
      <c r="F41" s="16"/>
      <c r="G41" s="16"/>
      <c r="H41" s="18"/>
      <c r="I41" s="24"/>
      <c r="J41" s="20"/>
      <c r="K41" s="20"/>
      <c r="L41" s="20"/>
      <c r="M41" s="20"/>
      <c r="N41" s="211"/>
      <c r="O41" s="20"/>
      <c r="P41" s="33"/>
      <c r="Q41" s="123"/>
      <c r="R41" s="248" t="s">
        <v>601</v>
      </c>
      <c r="S41" s="36">
        <v>0</v>
      </c>
      <c r="T41" s="16"/>
      <c r="U41" s="223"/>
      <c r="V41" s="112" t="s">
        <v>107</v>
      </c>
      <c r="W41" s="112"/>
    </row>
    <row r="42" spans="1:23" s="47" customFormat="1" x14ac:dyDescent="0.2">
      <c r="A42" s="16"/>
      <c r="B42" s="18"/>
      <c r="C42" s="18"/>
      <c r="D42" s="19"/>
      <c r="E42" s="19"/>
      <c r="F42" s="16"/>
      <c r="G42" s="16"/>
      <c r="H42" s="18"/>
      <c r="I42" s="24"/>
      <c r="J42" s="20"/>
      <c r="K42" s="20"/>
      <c r="L42" s="20"/>
      <c r="M42" s="20"/>
      <c r="N42" s="211"/>
      <c r="O42" s="20"/>
      <c r="P42" s="33"/>
      <c r="Q42" s="237"/>
      <c r="R42" s="248" t="s">
        <v>572</v>
      </c>
      <c r="S42" s="36">
        <v>0</v>
      </c>
      <c r="T42" s="25"/>
      <c r="U42" s="223"/>
      <c r="V42" s="112" t="s">
        <v>107</v>
      </c>
      <c r="W42" s="112"/>
    </row>
    <row r="43" spans="1:23" s="47" customFormat="1" ht="13.5" thickBot="1" x14ac:dyDescent="0.25">
      <c r="A43" s="16"/>
      <c r="B43" s="18"/>
      <c r="C43" s="18"/>
      <c r="D43" s="19"/>
      <c r="E43" s="19"/>
      <c r="F43" s="16"/>
      <c r="G43" s="16"/>
      <c r="H43" s="18"/>
      <c r="I43" s="24"/>
      <c r="J43" s="20"/>
      <c r="K43" s="20"/>
      <c r="L43" s="20"/>
      <c r="M43" s="20"/>
      <c r="N43" s="211"/>
      <c r="O43" s="20"/>
      <c r="P43" s="33"/>
      <c r="Q43" s="237"/>
      <c r="R43" s="248" t="s">
        <v>573</v>
      </c>
      <c r="S43" s="365">
        <f>+S40-S42</f>
        <v>207323.07899999997</v>
      </c>
      <c r="T43" s="25"/>
      <c r="U43" s="223"/>
      <c r="V43" s="112" t="s">
        <v>107</v>
      </c>
      <c r="W43" s="112"/>
    </row>
    <row r="44" spans="1:23" s="47" customFormat="1" ht="13.5" thickTop="1" x14ac:dyDescent="0.2">
      <c r="A44" s="16"/>
      <c r="B44" s="18"/>
      <c r="C44" s="18"/>
      <c r="D44" s="19"/>
      <c r="E44" s="19"/>
      <c r="F44" s="16"/>
      <c r="G44" s="16"/>
      <c r="H44" s="18"/>
      <c r="I44" s="24"/>
      <c r="J44" s="20"/>
      <c r="K44" s="20"/>
      <c r="L44" s="20"/>
      <c r="M44" s="20"/>
      <c r="N44" s="211"/>
      <c r="O44" s="20"/>
      <c r="P44" s="33"/>
      <c r="Q44" s="18"/>
      <c r="R44" s="16"/>
      <c r="S44" s="25"/>
      <c r="T44" s="25"/>
      <c r="U44" s="223"/>
      <c r="V44" s="112"/>
      <c r="W44" s="112"/>
    </row>
    <row r="45" spans="1:23" s="47" customFormat="1" x14ac:dyDescent="0.2">
      <c r="A45" s="16"/>
      <c r="B45" s="18"/>
      <c r="C45" s="18"/>
      <c r="D45" s="19"/>
      <c r="E45" s="19"/>
      <c r="F45" s="16"/>
      <c r="G45" s="16"/>
      <c r="H45" s="18"/>
      <c r="I45" s="24"/>
      <c r="J45" s="20"/>
      <c r="K45" s="20"/>
      <c r="L45" s="20"/>
      <c r="M45" s="20"/>
      <c r="N45" s="211"/>
      <c r="O45" s="20"/>
      <c r="P45" s="209"/>
      <c r="Q45" s="18"/>
      <c r="R45" s="16"/>
      <c r="S45" s="25"/>
      <c r="T45" s="25"/>
      <c r="U45" s="229"/>
      <c r="V45" s="112"/>
      <c r="W45" s="112"/>
    </row>
    <row r="46" spans="1:23" s="345" customFormat="1" x14ac:dyDescent="0.2">
      <c r="A46" s="335" t="s">
        <v>47</v>
      </c>
      <c r="B46" s="336" t="s">
        <v>48</v>
      </c>
      <c r="C46" s="336" t="s">
        <v>49</v>
      </c>
      <c r="D46" s="337" t="s">
        <v>50</v>
      </c>
      <c r="E46" s="337"/>
      <c r="F46" s="335" t="s">
        <v>51</v>
      </c>
      <c r="G46" s="335" t="s">
        <v>52</v>
      </c>
      <c r="H46" s="336" t="s">
        <v>53</v>
      </c>
      <c r="I46" s="338" t="s">
        <v>54</v>
      </c>
      <c r="J46" s="336" t="s">
        <v>55</v>
      </c>
      <c r="K46" s="336" t="s">
        <v>56</v>
      </c>
      <c r="L46" s="336" t="s">
        <v>57</v>
      </c>
      <c r="M46" s="336" t="s">
        <v>58</v>
      </c>
      <c r="N46" s="339" t="s">
        <v>60</v>
      </c>
      <c r="O46" s="336" t="s">
        <v>61</v>
      </c>
      <c r="P46" s="340" t="s">
        <v>450</v>
      </c>
      <c r="Q46" s="336" t="s">
        <v>63</v>
      </c>
      <c r="R46" s="335" t="s">
        <v>64</v>
      </c>
      <c r="S46" s="341" t="s">
        <v>451</v>
      </c>
      <c r="T46" s="343" t="s">
        <v>453</v>
      </c>
      <c r="U46" s="344"/>
      <c r="V46" s="344"/>
    </row>
    <row r="47" spans="1:23" s="47" customFormat="1" x14ac:dyDescent="0.2">
      <c r="A47" s="16" t="s">
        <v>603</v>
      </c>
      <c r="B47" s="18" t="s">
        <v>597</v>
      </c>
      <c r="C47" s="18" t="s">
        <v>597</v>
      </c>
      <c r="D47" s="19" t="s">
        <v>277</v>
      </c>
      <c r="E47" s="19" t="s">
        <v>277</v>
      </c>
      <c r="F47" s="16" t="s">
        <v>599</v>
      </c>
      <c r="G47" s="16" t="s">
        <v>599</v>
      </c>
      <c r="H47" s="18" t="s">
        <v>66</v>
      </c>
      <c r="I47" s="24">
        <v>0.37530000000000002</v>
      </c>
      <c r="J47" s="20">
        <v>0</v>
      </c>
      <c r="K47" s="20">
        <v>0</v>
      </c>
      <c r="L47" s="20">
        <v>0</v>
      </c>
      <c r="M47" s="20">
        <v>0</v>
      </c>
      <c r="N47" s="211">
        <v>0</v>
      </c>
      <c r="O47" s="20">
        <f t="shared" ref="O47:O52" si="4">SUM(I47:M47)</f>
        <v>0.37530000000000002</v>
      </c>
      <c r="P47" s="33">
        <v>5085</v>
      </c>
      <c r="Q47" s="18">
        <v>1722</v>
      </c>
      <c r="R47" s="16"/>
      <c r="S47" s="25">
        <f t="shared" ref="S47:S52" si="5">I47*I$1*Q47</f>
        <v>20034.264600000002</v>
      </c>
      <c r="T47" s="223"/>
      <c r="U47" s="112"/>
      <c r="V47" s="112" t="s">
        <v>698</v>
      </c>
    </row>
    <row r="48" spans="1:23" s="47" customFormat="1" x14ac:dyDescent="0.2">
      <c r="A48" s="16" t="s">
        <v>603</v>
      </c>
      <c r="B48" s="18" t="s">
        <v>597</v>
      </c>
      <c r="C48" s="18" t="s">
        <v>597</v>
      </c>
      <c r="D48" s="19" t="s">
        <v>277</v>
      </c>
      <c r="E48" s="19" t="s">
        <v>277</v>
      </c>
      <c r="F48" s="16" t="s">
        <v>599</v>
      </c>
      <c r="G48" s="16" t="s">
        <v>599</v>
      </c>
      <c r="H48" s="18" t="s">
        <v>66</v>
      </c>
      <c r="I48" s="24">
        <v>0.37530000000000002</v>
      </c>
      <c r="J48" s="20">
        <v>0</v>
      </c>
      <c r="K48" s="20">
        <v>0</v>
      </c>
      <c r="L48" s="20">
        <v>0</v>
      </c>
      <c r="M48" s="20">
        <v>0</v>
      </c>
      <c r="N48" s="211">
        <v>0</v>
      </c>
      <c r="O48" s="20">
        <f t="shared" si="4"/>
        <v>0.37530000000000002</v>
      </c>
      <c r="P48" s="33">
        <v>5085</v>
      </c>
      <c r="Q48" s="18">
        <v>1000</v>
      </c>
      <c r="R48" s="16"/>
      <c r="S48" s="25">
        <f t="shared" si="5"/>
        <v>11634.300000000001</v>
      </c>
      <c r="T48" s="223"/>
      <c r="U48" s="112"/>
      <c r="V48" s="112" t="s">
        <v>698</v>
      </c>
    </row>
    <row r="49" spans="1:22" s="47" customFormat="1" x14ac:dyDescent="0.2">
      <c r="A49" s="16" t="s">
        <v>603</v>
      </c>
      <c r="B49" s="18" t="s">
        <v>597</v>
      </c>
      <c r="C49" s="18" t="s">
        <v>597</v>
      </c>
      <c r="D49" s="19" t="s">
        <v>277</v>
      </c>
      <c r="E49" s="19" t="s">
        <v>277</v>
      </c>
      <c r="F49" s="16" t="s">
        <v>599</v>
      </c>
      <c r="G49" s="16" t="s">
        <v>599</v>
      </c>
      <c r="H49" s="18" t="s">
        <v>66</v>
      </c>
      <c r="I49" s="24">
        <v>5.8999999999999997E-2</v>
      </c>
      <c r="J49" s="20">
        <v>0</v>
      </c>
      <c r="K49" s="20">
        <v>0</v>
      </c>
      <c r="L49" s="20">
        <v>0</v>
      </c>
      <c r="M49" s="20">
        <v>0</v>
      </c>
      <c r="N49" s="211">
        <v>0</v>
      </c>
      <c r="O49" s="20">
        <f t="shared" si="4"/>
        <v>5.8999999999999997E-2</v>
      </c>
      <c r="P49" s="33">
        <v>5085</v>
      </c>
      <c r="Q49" s="18">
        <v>122</v>
      </c>
      <c r="R49" s="16"/>
      <c r="S49" s="25">
        <f t="shared" si="5"/>
        <v>223.13800000000001</v>
      </c>
      <c r="T49" s="223"/>
      <c r="U49" s="112"/>
      <c r="V49" s="112" t="s">
        <v>698</v>
      </c>
    </row>
    <row r="50" spans="1:22" s="47" customFormat="1" x14ac:dyDescent="0.2">
      <c r="A50" s="16" t="s">
        <v>603</v>
      </c>
      <c r="B50" s="18" t="s">
        <v>597</v>
      </c>
      <c r="C50" s="18" t="s">
        <v>597</v>
      </c>
      <c r="D50" s="19" t="s">
        <v>277</v>
      </c>
      <c r="E50" s="19" t="s">
        <v>277</v>
      </c>
      <c r="F50" s="16" t="s">
        <v>599</v>
      </c>
      <c r="G50" s="16" t="s">
        <v>599</v>
      </c>
      <c r="H50" s="18" t="s">
        <v>66</v>
      </c>
      <c r="I50" s="24">
        <v>0.39229999999999998</v>
      </c>
      <c r="J50" s="20">
        <v>0</v>
      </c>
      <c r="K50" s="20">
        <v>0</v>
      </c>
      <c r="L50" s="20">
        <v>0</v>
      </c>
      <c r="M50" s="20">
        <v>0</v>
      </c>
      <c r="N50" s="211">
        <v>0</v>
      </c>
      <c r="O50" s="20">
        <f t="shared" si="4"/>
        <v>0.39229999999999998</v>
      </c>
      <c r="P50" s="33">
        <v>5626</v>
      </c>
      <c r="Q50" s="18">
        <v>350</v>
      </c>
      <c r="R50" s="16"/>
      <c r="S50" s="25">
        <f t="shared" si="5"/>
        <v>4256.4549999999999</v>
      </c>
      <c r="T50" s="223"/>
      <c r="U50" s="112"/>
      <c r="V50" s="112" t="s">
        <v>698</v>
      </c>
    </row>
    <row r="51" spans="1:22" s="47" customFormat="1" x14ac:dyDescent="0.2">
      <c r="A51" s="16" t="s">
        <v>603</v>
      </c>
      <c r="B51" s="18" t="s">
        <v>597</v>
      </c>
      <c r="C51" s="18" t="s">
        <v>597</v>
      </c>
      <c r="D51" s="19" t="s">
        <v>277</v>
      </c>
      <c r="E51" s="19" t="s">
        <v>277</v>
      </c>
      <c r="F51" s="16" t="s">
        <v>599</v>
      </c>
      <c r="G51" s="16" t="s">
        <v>599</v>
      </c>
      <c r="H51" s="18" t="s">
        <v>66</v>
      </c>
      <c r="I51" s="24">
        <v>0.44979999999999998</v>
      </c>
      <c r="J51" s="20">
        <v>0</v>
      </c>
      <c r="K51" s="20">
        <v>0</v>
      </c>
      <c r="L51" s="20">
        <v>0</v>
      </c>
      <c r="M51" s="20">
        <v>0</v>
      </c>
      <c r="N51" s="211">
        <v>0</v>
      </c>
      <c r="O51" s="20">
        <f t="shared" si="4"/>
        <v>0.44979999999999998</v>
      </c>
      <c r="P51" s="33">
        <v>5626</v>
      </c>
      <c r="Q51" s="18">
        <v>138</v>
      </c>
      <c r="R51" s="16"/>
      <c r="S51" s="25">
        <f t="shared" si="5"/>
        <v>1924.2444</v>
      </c>
      <c r="T51" s="223"/>
      <c r="U51" s="112"/>
      <c r="V51" s="112" t="s">
        <v>698</v>
      </c>
    </row>
    <row r="52" spans="1:22" s="47" customFormat="1" x14ac:dyDescent="0.2">
      <c r="A52" s="16" t="s">
        <v>603</v>
      </c>
      <c r="B52" s="18" t="s">
        <v>597</v>
      </c>
      <c r="C52" s="18" t="s">
        <v>597</v>
      </c>
      <c r="D52" s="19" t="s">
        <v>277</v>
      </c>
      <c r="E52" s="19" t="s">
        <v>277</v>
      </c>
      <c r="F52" s="16" t="s">
        <v>599</v>
      </c>
      <c r="G52" s="16" t="s">
        <v>599</v>
      </c>
      <c r="H52" s="18" t="s">
        <v>66</v>
      </c>
      <c r="I52" s="24">
        <v>0.76839999999999997</v>
      </c>
      <c r="J52" s="20">
        <v>0</v>
      </c>
      <c r="K52" s="20">
        <v>0</v>
      </c>
      <c r="L52" s="20">
        <v>0</v>
      </c>
      <c r="M52" s="20">
        <v>0</v>
      </c>
      <c r="N52" s="211">
        <v>0</v>
      </c>
      <c r="O52" s="20">
        <f t="shared" si="4"/>
        <v>0.76839999999999997</v>
      </c>
      <c r="P52" s="33">
        <v>5626</v>
      </c>
      <c r="Q52" s="18">
        <v>75</v>
      </c>
      <c r="R52" s="16"/>
      <c r="S52" s="25">
        <f t="shared" si="5"/>
        <v>1786.53</v>
      </c>
      <c r="T52" s="223"/>
      <c r="U52" s="112"/>
      <c r="V52" s="112" t="s">
        <v>698</v>
      </c>
    </row>
    <row r="53" spans="1:22" s="47" customFormat="1" x14ac:dyDescent="0.2">
      <c r="A53" s="16" t="s">
        <v>604</v>
      </c>
      <c r="B53" s="18" t="s">
        <v>597</v>
      </c>
      <c r="C53" s="18" t="s">
        <v>597</v>
      </c>
      <c r="D53" s="19" t="s">
        <v>277</v>
      </c>
      <c r="E53" s="19" t="s">
        <v>277</v>
      </c>
      <c r="F53" s="16" t="s">
        <v>599</v>
      </c>
      <c r="G53" s="16" t="s">
        <v>599</v>
      </c>
      <c r="H53" s="18" t="s">
        <v>66</v>
      </c>
      <c r="I53" s="24">
        <v>0.37530000000000002</v>
      </c>
      <c r="J53" s="20">
        <v>0</v>
      </c>
      <c r="K53" s="20">
        <v>0</v>
      </c>
      <c r="L53" s="20">
        <v>0</v>
      </c>
      <c r="M53" s="20">
        <v>0</v>
      </c>
      <c r="N53" s="211">
        <v>0</v>
      </c>
      <c r="O53" s="20">
        <f>SUM(I53:M53)</f>
        <v>0.37530000000000002</v>
      </c>
      <c r="P53" s="33">
        <v>5879</v>
      </c>
      <c r="Q53" s="18">
        <v>2002</v>
      </c>
      <c r="R53" s="16"/>
      <c r="S53" s="25">
        <f>I53*I$1*Q53</f>
        <v>23291.868600000002</v>
      </c>
      <c r="T53" s="223"/>
      <c r="U53" s="112"/>
      <c r="V53" s="112" t="s">
        <v>698</v>
      </c>
    </row>
    <row r="54" spans="1:22" s="47" customFormat="1" x14ac:dyDescent="0.2">
      <c r="A54" s="16" t="s">
        <v>604</v>
      </c>
      <c r="B54" s="18" t="s">
        <v>597</v>
      </c>
      <c r="C54" s="18" t="s">
        <v>597</v>
      </c>
      <c r="D54" s="19" t="s">
        <v>277</v>
      </c>
      <c r="E54" s="19" t="s">
        <v>277</v>
      </c>
      <c r="F54" s="16" t="s">
        <v>599</v>
      </c>
      <c r="G54" s="16" t="s">
        <v>599</v>
      </c>
      <c r="H54" s="18" t="s">
        <v>66</v>
      </c>
      <c r="I54" s="24">
        <v>0.27</v>
      </c>
      <c r="J54" s="20">
        <v>0</v>
      </c>
      <c r="K54" s="20">
        <v>0</v>
      </c>
      <c r="L54" s="20">
        <v>0</v>
      </c>
      <c r="M54" s="20">
        <v>0</v>
      </c>
      <c r="N54" s="211">
        <v>0</v>
      </c>
      <c r="O54" s="20">
        <f>SUM(I54:M54)</f>
        <v>0.27</v>
      </c>
      <c r="P54" s="33">
        <v>5925</v>
      </c>
      <c r="Q54" s="18">
        <v>22852</v>
      </c>
      <c r="R54" s="16"/>
      <c r="S54" s="25">
        <f>I54*I$1*Q54</f>
        <v>191271.24000000002</v>
      </c>
      <c r="T54" s="223"/>
      <c r="U54" s="112"/>
      <c r="V54" s="112" t="s">
        <v>698</v>
      </c>
    </row>
    <row r="55" spans="1:22" s="47" customFormat="1" x14ac:dyDescent="0.2">
      <c r="A55" s="16" t="s">
        <v>604</v>
      </c>
      <c r="B55" s="18" t="s">
        <v>597</v>
      </c>
      <c r="C55" s="18" t="s">
        <v>597</v>
      </c>
      <c r="D55" s="19" t="s">
        <v>277</v>
      </c>
      <c r="E55" s="19" t="s">
        <v>277</v>
      </c>
      <c r="F55" s="16" t="s">
        <v>599</v>
      </c>
      <c r="G55" s="16" t="s">
        <v>599</v>
      </c>
      <c r="H55" s="18" t="s">
        <v>66</v>
      </c>
      <c r="I55" s="24">
        <v>0.37530000000000002</v>
      </c>
      <c r="J55" s="20">
        <v>0</v>
      </c>
      <c r="K55" s="20">
        <v>0</v>
      </c>
      <c r="L55" s="20">
        <v>0</v>
      </c>
      <c r="M55" s="20">
        <v>0</v>
      </c>
      <c r="N55" s="211">
        <v>0</v>
      </c>
      <c r="O55" s="20">
        <f>SUM(I55:M55)</f>
        <v>0.37530000000000002</v>
      </c>
      <c r="P55" s="33">
        <v>6020</v>
      </c>
      <c r="Q55" s="18">
        <v>1100</v>
      </c>
      <c r="R55" s="16"/>
      <c r="S55" s="25">
        <f>I55*I$1*Q55</f>
        <v>12797.730000000001</v>
      </c>
      <c r="T55" s="223"/>
      <c r="U55" s="112"/>
      <c r="V55" s="112" t="s">
        <v>698</v>
      </c>
    </row>
    <row r="56" spans="1:22" s="47" customFormat="1" x14ac:dyDescent="0.2">
      <c r="A56" s="16" t="s">
        <v>604</v>
      </c>
      <c r="B56" s="18" t="s">
        <v>597</v>
      </c>
      <c r="C56" s="18" t="s">
        <v>597</v>
      </c>
      <c r="D56" s="19" t="s">
        <v>277</v>
      </c>
      <c r="E56" s="19" t="s">
        <v>277</v>
      </c>
      <c r="F56" s="16" t="s">
        <v>599</v>
      </c>
      <c r="G56" s="16" t="s">
        <v>599</v>
      </c>
      <c r="H56" s="18" t="s">
        <v>66</v>
      </c>
      <c r="I56" s="24">
        <v>0.28999999999999998</v>
      </c>
      <c r="J56" s="20">
        <v>0</v>
      </c>
      <c r="K56" s="20">
        <v>0</v>
      </c>
      <c r="L56" s="20">
        <v>0</v>
      </c>
      <c r="M56" s="20">
        <v>0</v>
      </c>
      <c r="N56" s="211">
        <v>0</v>
      </c>
      <c r="O56" s="20">
        <f>SUM(I56:M56)</f>
        <v>0.28999999999999998</v>
      </c>
      <c r="P56" s="33">
        <v>6020</v>
      </c>
      <c r="Q56" s="18">
        <v>3500</v>
      </c>
      <c r="R56" s="16"/>
      <c r="S56" s="25">
        <f>I56*I$1*Q56</f>
        <v>31465</v>
      </c>
      <c r="T56" s="223"/>
      <c r="U56" s="112"/>
      <c r="V56" s="112" t="s">
        <v>698</v>
      </c>
    </row>
    <row r="57" spans="1:22" s="47" customFormat="1" x14ac:dyDescent="0.2">
      <c r="A57" s="16" t="s">
        <v>604</v>
      </c>
      <c r="B57" s="18" t="s">
        <v>597</v>
      </c>
      <c r="C57" s="18" t="s">
        <v>597</v>
      </c>
      <c r="D57" s="19" t="s">
        <v>277</v>
      </c>
      <c r="E57" s="19" t="s">
        <v>277</v>
      </c>
      <c r="F57" s="16" t="s">
        <v>599</v>
      </c>
      <c r="G57" s="16" t="s">
        <v>599</v>
      </c>
      <c r="H57" s="18" t="s">
        <v>66</v>
      </c>
      <c r="I57" s="24">
        <v>0.37530000000000002</v>
      </c>
      <c r="J57" s="20">
        <v>0</v>
      </c>
      <c r="K57" s="20">
        <v>0</v>
      </c>
      <c r="L57" s="20">
        <v>0</v>
      </c>
      <c r="M57" s="20">
        <v>0</v>
      </c>
      <c r="N57" s="211">
        <v>0</v>
      </c>
      <c r="O57" s="20">
        <f>SUM(I57:M57)</f>
        <v>0.37530000000000002</v>
      </c>
      <c r="P57" s="33">
        <v>6089</v>
      </c>
      <c r="Q57" s="18">
        <v>6669</v>
      </c>
      <c r="R57" s="16"/>
      <c r="S57" s="25">
        <f>I57*I$1*Q57</f>
        <v>77589.146700000012</v>
      </c>
      <c r="T57" s="223"/>
      <c r="U57" s="112"/>
      <c r="V57" s="112" t="s">
        <v>698</v>
      </c>
    </row>
    <row r="58" spans="1:22" s="47" customFormat="1" x14ac:dyDescent="0.2">
      <c r="A58" s="16"/>
      <c r="B58" s="18"/>
      <c r="C58" s="18"/>
      <c r="D58" s="19"/>
      <c r="E58" s="19"/>
      <c r="F58" s="37"/>
      <c r="G58" s="37"/>
      <c r="H58" s="18"/>
      <c r="I58" s="24"/>
      <c r="J58" s="20"/>
      <c r="K58" s="20"/>
      <c r="L58" s="20"/>
      <c r="M58" s="20"/>
      <c r="N58" s="211"/>
      <c r="O58" s="20"/>
      <c r="P58" s="33"/>
      <c r="Q58" s="329"/>
      <c r="R58" s="37"/>
      <c r="S58" s="25"/>
      <c r="T58" s="223"/>
      <c r="U58" s="112"/>
      <c r="V58" s="112"/>
    </row>
    <row r="59" spans="1:22" s="46" customFormat="1" x14ac:dyDescent="0.2">
      <c r="A59" s="248" t="s">
        <v>45</v>
      </c>
      <c r="B59" s="237" t="s">
        <v>45</v>
      </c>
      <c r="C59" s="123" t="s">
        <v>45</v>
      </c>
      <c r="D59" s="249" t="s">
        <v>45</v>
      </c>
      <c r="E59" s="249"/>
      <c r="F59" s="248" t="s">
        <v>45</v>
      </c>
      <c r="G59" s="332" t="s">
        <v>45</v>
      </c>
      <c r="H59" s="237" t="s">
        <v>45</v>
      </c>
      <c r="I59" s="250"/>
      <c r="J59" s="32"/>
      <c r="K59" s="32"/>
      <c r="L59" s="32"/>
      <c r="M59" s="32"/>
      <c r="N59" s="333"/>
      <c r="O59" s="32"/>
      <c r="P59" s="334" t="s">
        <v>45</v>
      </c>
      <c r="Q59" s="123">
        <f>SUM(Q47:Q58)</f>
        <v>39530</v>
      </c>
      <c r="R59" s="248" t="s">
        <v>479</v>
      </c>
      <c r="S59" s="36">
        <f>SUM(S47:S58)</f>
        <v>376273.91730000009</v>
      </c>
      <c r="T59" s="213"/>
      <c r="U59" s="111"/>
      <c r="V59" s="111"/>
    </row>
    <row r="60" spans="1:22" s="46" customFormat="1" x14ac:dyDescent="0.2">
      <c r="A60" s="248"/>
      <c r="B60" s="237"/>
      <c r="C60" s="123"/>
      <c r="D60" s="249"/>
      <c r="E60" s="249"/>
      <c r="F60" s="248"/>
      <c r="G60" s="332"/>
      <c r="H60" s="237"/>
      <c r="I60" s="250"/>
      <c r="J60" s="32"/>
      <c r="K60" s="32"/>
      <c r="L60" s="32"/>
      <c r="M60" s="32"/>
      <c r="N60" s="333"/>
      <c r="O60" s="32"/>
      <c r="P60" s="334"/>
      <c r="Q60" s="237"/>
      <c r="R60" s="248" t="s">
        <v>572</v>
      </c>
      <c r="S60" s="36">
        <f>SUM(S47:S52)</f>
        <v>39858.932000000008</v>
      </c>
      <c r="T60" s="213"/>
      <c r="U60" s="111"/>
      <c r="V60" s="111"/>
    </row>
    <row r="61" spans="1:22" ht="13.5" thickBot="1" x14ac:dyDescent="0.25">
      <c r="A61" s="248"/>
      <c r="B61" s="237"/>
      <c r="C61" s="123"/>
      <c r="D61" s="249"/>
      <c r="E61" s="249"/>
      <c r="F61" s="248"/>
      <c r="G61" s="332"/>
      <c r="H61" s="237"/>
      <c r="I61" s="250"/>
      <c r="J61" s="32"/>
      <c r="K61" s="32"/>
      <c r="L61" s="32"/>
      <c r="M61" s="32"/>
      <c r="N61" s="333"/>
      <c r="O61" s="32"/>
      <c r="P61" s="334"/>
      <c r="Q61" s="237"/>
      <c r="R61" s="248" t="s">
        <v>573</v>
      </c>
      <c r="S61" s="364">
        <f>+S59-S60</f>
        <v>336414.98530000006</v>
      </c>
      <c r="T61" s="213"/>
      <c r="U61" s="112"/>
      <c r="V61" s="112"/>
    </row>
    <row r="62" spans="1:22" ht="13.5" thickTop="1" x14ac:dyDescent="0.2">
      <c r="A62" s="248"/>
      <c r="B62" s="237"/>
      <c r="C62" s="123"/>
      <c r="D62" s="249"/>
      <c r="E62" s="249"/>
      <c r="F62" s="248"/>
      <c r="G62" s="332"/>
      <c r="H62" s="237"/>
      <c r="I62" s="250"/>
      <c r="J62" s="32"/>
      <c r="K62" s="32"/>
      <c r="L62" s="32"/>
      <c r="M62" s="32"/>
      <c r="N62" s="333"/>
      <c r="O62" s="32"/>
      <c r="P62" s="334"/>
      <c r="Q62" s="237"/>
      <c r="R62" s="248"/>
      <c r="S62" s="36"/>
      <c r="T62" s="213"/>
      <c r="U62" s="112"/>
      <c r="V62" s="112"/>
    </row>
    <row r="63" spans="1:22" s="353" customFormat="1" x14ac:dyDescent="0.2">
      <c r="A63" s="346" t="s">
        <v>47</v>
      </c>
      <c r="B63" s="347" t="s">
        <v>48</v>
      </c>
      <c r="C63" s="347" t="s">
        <v>49</v>
      </c>
      <c r="D63" s="348" t="s">
        <v>50</v>
      </c>
      <c r="E63" s="348"/>
      <c r="F63" s="346" t="s">
        <v>51</v>
      </c>
      <c r="G63" s="346" t="s">
        <v>52</v>
      </c>
      <c r="H63" s="347" t="s">
        <v>53</v>
      </c>
      <c r="I63" s="349" t="s">
        <v>54</v>
      </c>
      <c r="J63" s="347" t="s">
        <v>55</v>
      </c>
      <c r="K63" s="347" t="s">
        <v>56</v>
      </c>
      <c r="L63" s="347" t="s">
        <v>57</v>
      </c>
      <c r="M63" s="347" t="s">
        <v>58</v>
      </c>
      <c r="N63" s="354" t="s">
        <v>60</v>
      </c>
      <c r="O63" s="347" t="s">
        <v>61</v>
      </c>
      <c r="P63" s="351" t="s">
        <v>62</v>
      </c>
      <c r="Q63" s="347" t="s">
        <v>63</v>
      </c>
      <c r="R63" s="346" t="s">
        <v>64</v>
      </c>
      <c r="S63" s="341" t="s">
        <v>419</v>
      </c>
      <c r="T63" s="344"/>
      <c r="U63" s="344"/>
    </row>
    <row r="64" spans="1:22" s="47" customFormat="1" x14ac:dyDescent="0.2">
      <c r="A64" s="16" t="s">
        <v>380</v>
      </c>
      <c r="B64" s="16" t="s">
        <v>605</v>
      </c>
      <c r="C64" s="18" t="s">
        <v>606</v>
      </c>
      <c r="D64" s="19">
        <v>36251</v>
      </c>
      <c r="E64" s="19">
        <v>37346</v>
      </c>
      <c r="F64" s="16" t="s">
        <v>608</v>
      </c>
      <c r="G64" s="16" t="s">
        <v>607</v>
      </c>
      <c r="H64" s="18" t="s">
        <v>45</v>
      </c>
      <c r="I64" s="20">
        <f>6.38/I$1</f>
        <v>0.20580645161290323</v>
      </c>
      <c r="J64" s="20">
        <v>3.0000000000000001E-3</v>
      </c>
      <c r="K64" s="20">
        <v>2.2000000000000001E-3</v>
      </c>
      <c r="L64" s="20">
        <v>0</v>
      </c>
      <c r="M64" s="20">
        <v>0</v>
      </c>
      <c r="N64" s="21">
        <v>0</v>
      </c>
      <c r="O64" s="20">
        <f>SUM(I64:M64)</f>
        <v>0.21100645161290324</v>
      </c>
      <c r="P64" s="33">
        <v>28223</v>
      </c>
      <c r="Q64" s="18">
        <v>29750</v>
      </c>
      <c r="R64" s="16" t="s">
        <v>609</v>
      </c>
      <c r="S64" s="106">
        <f>I64*I$1*Q64</f>
        <v>189805</v>
      </c>
      <c r="T64" s="380" t="s">
        <v>610</v>
      </c>
      <c r="U64" s="112"/>
      <c r="V64" s="112" t="s">
        <v>698</v>
      </c>
    </row>
    <row r="65" spans="1:23" s="47" customFormat="1" x14ac:dyDescent="0.2">
      <c r="A65" s="16" t="s">
        <v>47</v>
      </c>
      <c r="B65" s="16" t="s">
        <v>605</v>
      </c>
      <c r="C65" s="18" t="s">
        <v>673</v>
      </c>
      <c r="D65" s="19">
        <v>36923</v>
      </c>
      <c r="E65" s="19">
        <v>37802</v>
      </c>
      <c r="F65" s="16"/>
      <c r="G65" s="16"/>
      <c r="H65" s="18" t="s">
        <v>45</v>
      </c>
      <c r="I65" s="20">
        <f>1.3566/I1</f>
        <v>4.3761290322580644E-2</v>
      </c>
      <c r="J65" s="20">
        <v>3.0000000000000001E-3</v>
      </c>
      <c r="K65" s="20">
        <v>2.2000000000000001E-3</v>
      </c>
      <c r="L65" s="20">
        <v>0</v>
      </c>
      <c r="M65" s="20">
        <v>0</v>
      </c>
      <c r="N65" s="21">
        <v>0</v>
      </c>
      <c r="O65" s="20">
        <f>SUM(I65:M65)</f>
        <v>4.8961290322580647E-2</v>
      </c>
      <c r="P65" s="33">
        <v>28754</v>
      </c>
      <c r="Q65" s="18">
        <v>15000</v>
      </c>
      <c r="R65" s="16" t="s">
        <v>651</v>
      </c>
      <c r="S65" s="106">
        <f>I65*I$1*Q65</f>
        <v>20349</v>
      </c>
      <c r="T65" s="380">
        <v>592256</v>
      </c>
      <c r="U65" s="112"/>
      <c r="V65" s="112" t="s">
        <v>698</v>
      </c>
    </row>
    <row r="66" spans="1:23" s="47" customFormat="1" x14ac:dyDescent="0.2">
      <c r="A66" s="16"/>
      <c r="B66" s="18"/>
      <c r="C66" s="18"/>
      <c r="D66" s="19"/>
      <c r="E66" s="19"/>
      <c r="F66" s="16"/>
      <c r="G66" s="16"/>
      <c r="H66" s="18"/>
      <c r="I66" s="24"/>
      <c r="J66" s="20"/>
      <c r="K66" s="32"/>
      <c r="L66" s="20"/>
      <c r="M66" s="20"/>
      <c r="N66" s="21"/>
      <c r="O66" s="20"/>
      <c r="P66" s="33"/>
      <c r="Q66" s="18"/>
      <c r="R66" s="18"/>
      <c r="S66" s="208"/>
      <c r="T66" s="112"/>
      <c r="U66" s="112"/>
    </row>
    <row r="67" spans="1:23" s="47" customFormat="1" x14ac:dyDescent="0.2">
      <c r="A67" s="16"/>
      <c r="B67" s="18"/>
      <c r="C67" s="18"/>
      <c r="D67" s="19"/>
      <c r="E67" s="19"/>
      <c r="F67" s="16"/>
      <c r="G67" s="16"/>
      <c r="H67" s="18"/>
      <c r="I67" s="24"/>
      <c r="J67" s="20"/>
      <c r="K67" s="20"/>
      <c r="L67" s="20"/>
      <c r="M67" s="20"/>
      <c r="N67" s="211"/>
      <c r="O67" s="20"/>
      <c r="P67" s="209"/>
      <c r="Q67" s="123">
        <f>SUM(Q64:Q66)</f>
        <v>44750</v>
      </c>
      <c r="R67" s="248" t="s">
        <v>479</v>
      </c>
      <c r="S67" s="36">
        <f>SUM(S64:S66)</f>
        <v>210154</v>
      </c>
      <c r="T67" s="229"/>
      <c r="U67" s="112"/>
      <c r="V67" s="112"/>
    </row>
    <row r="68" spans="1:23" s="47" customFormat="1" x14ac:dyDescent="0.2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211"/>
      <c r="O68" s="20"/>
      <c r="P68" s="209"/>
      <c r="Q68" s="237"/>
      <c r="R68" s="248" t="s">
        <v>572</v>
      </c>
      <c r="S68" s="36">
        <f>+S64</f>
        <v>189805</v>
      </c>
      <c r="T68" s="229"/>
      <c r="U68" s="112"/>
      <c r="V68" s="112"/>
    </row>
    <row r="69" spans="1:23" s="47" customFormat="1" ht="13.5" thickBot="1" x14ac:dyDescent="0.25">
      <c r="A69" s="16"/>
      <c r="B69" s="18"/>
      <c r="C69" s="18"/>
      <c r="D69" s="19"/>
      <c r="E69" s="19"/>
      <c r="F69" s="16"/>
      <c r="G69" s="16"/>
      <c r="H69" s="18"/>
      <c r="I69" s="24"/>
      <c r="J69" s="20"/>
      <c r="K69" s="20"/>
      <c r="L69" s="20"/>
      <c r="M69" s="20"/>
      <c r="N69" s="211"/>
      <c r="O69" s="20"/>
      <c r="P69" s="209"/>
      <c r="Q69" s="237"/>
      <c r="R69" s="248" t="s">
        <v>573</v>
      </c>
      <c r="S69" s="364">
        <f>+S67-S68</f>
        <v>20349</v>
      </c>
      <c r="T69" s="229"/>
      <c r="U69" s="112"/>
      <c r="V69" s="112"/>
    </row>
    <row r="70" spans="1:23" s="134" customFormat="1" ht="13.5" thickTop="1" x14ac:dyDescent="0.2">
      <c r="A70" s="26"/>
      <c r="B70" s="27"/>
      <c r="C70" s="27"/>
      <c r="D70" s="28"/>
      <c r="E70" s="28"/>
      <c r="F70" s="26"/>
      <c r="G70" s="26"/>
      <c r="H70" s="27"/>
      <c r="I70" s="29"/>
      <c r="J70" s="30"/>
      <c r="K70" s="30"/>
      <c r="L70" s="30"/>
      <c r="M70" s="30"/>
      <c r="N70" s="226"/>
      <c r="O70" s="30"/>
      <c r="P70" s="386"/>
      <c r="Q70" s="27"/>
      <c r="R70" s="26"/>
      <c r="S70" s="31"/>
      <c r="T70" s="387"/>
      <c r="U70" s="388"/>
      <c r="V70" s="388"/>
    </row>
    <row r="71" spans="1:23" x14ac:dyDescent="0.2">
      <c r="A71" s="215" t="s">
        <v>47</v>
      </c>
      <c r="B71" s="216" t="s">
        <v>48</v>
      </c>
      <c r="C71" s="216" t="s">
        <v>49</v>
      </c>
      <c r="D71" s="217" t="s">
        <v>50</v>
      </c>
      <c r="E71" s="217"/>
      <c r="F71" s="215" t="s">
        <v>51</v>
      </c>
      <c r="G71" s="215" t="s">
        <v>52</v>
      </c>
      <c r="H71" s="216" t="s">
        <v>471</v>
      </c>
      <c r="I71" s="218" t="s">
        <v>54</v>
      </c>
      <c r="J71" s="216" t="s">
        <v>55</v>
      </c>
      <c r="K71" s="216" t="s">
        <v>56</v>
      </c>
      <c r="L71" s="216" t="s">
        <v>57</v>
      </c>
      <c r="M71" s="216" t="s">
        <v>58</v>
      </c>
      <c r="N71" s="219" t="s">
        <v>60</v>
      </c>
      <c r="O71" s="216" t="s">
        <v>61</v>
      </c>
      <c r="P71" s="220" t="s">
        <v>450</v>
      </c>
      <c r="Q71" s="216" t="s">
        <v>63</v>
      </c>
      <c r="R71" s="215" t="s">
        <v>64</v>
      </c>
      <c r="S71" s="206" t="s">
        <v>451</v>
      </c>
      <c r="T71" s="221" t="s">
        <v>452</v>
      </c>
      <c r="U71" s="222" t="s">
        <v>453</v>
      </c>
      <c r="V71" s="112"/>
      <c r="W71" s="112"/>
    </row>
    <row r="72" spans="1:23" s="47" customFormat="1" x14ac:dyDescent="0.2">
      <c r="A72" s="16" t="s">
        <v>65</v>
      </c>
      <c r="B72" s="18" t="s">
        <v>77</v>
      </c>
      <c r="C72" s="18" t="s">
        <v>77</v>
      </c>
      <c r="D72" s="19">
        <v>36100</v>
      </c>
      <c r="E72" s="19">
        <v>39022</v>
      </c>
      <c r="F72" s="16">
        <v>1</v>
      </c>
      <c r="G72" s="16">
        <v>2</v>
      </c>
      <c r="H72" s="18" t="s">
        <v>66</v>
      </c>
      <c r="I72" s="24">
        <f>(14.1123+0.2)/I$1</f>
        <v>0.46168709677419351</v>
      </c>
      <c r="J72" s="20">
        <v>5.4000000000000003E-3</v>
      </c>
      <c r="K72" s="20">
        <v>2.2000000000000001E-3</v>
      </c>
      <c r="L72" s="20">
        <v>7.4999999999999997E-3</v>
      </c>
      <c r="M72" s="20">
        <v>1.1999999999999999E-3</v>
      </c>
      <c r="N72" s="21">
        <v>7.0000000000000001E-3</v>
      </c>
      <c r="O72" s="20">
        <f>SUM(I72:M72)</f>
        <v>0.47798709677419349</v>
      </c>
      <c r="P72" s="33" t="s">
        <v>78</v>
      </c>
      <c r="Q72" s="18">
        <v>2017</v>
      </c>
      <c r="R72" s="16" t="s">
        <v>236</v>
      </c>
      <c r="S72" s="492">
        <f>I72*I$1*Q72</f>
        <v>28867.909099999997</v>
      </c>
      <c r="T72" s="25"/>
      <c r="U72" s="112">
        <v>77758</v>
      </c>
      <c r="V72" s="47" t="s">
        <v>697</v>
      </c>
    </row>
    <row r="73" spans="1:23" s="47" customFormat="1" x14ac:dyDescent="0.2">
      <c r="A73" s="16" t="s">
        <v>65</v>
      </c>
      <c r="B73" s="18" t="s">
        <v>77</v>
      </c>
      <c r="C73" s="18" t="s">
        <v>70</v>
      </c>
      <c r="D73" s="19">
        <v>36100</v>
      </c>
      <c r="E73" s="19">
        <v>39539</v>
      </c>
      <c r="F73" s="16" t="s">
        <v>79</v>
      </c>
      <c r="G73" s="16" t="s">
        <v>80</v>
      </c>
      <c r="H73" s="18" t="s">
        <v>45</v>
      </c>
      <c r="I73" s="24">
        <f>(8.5058)/I$1</f>
        <v>0.27438064516129035</v>
      </c>
      <c r="J73" s="20">
        <v>3.0000000000000001E-3</v>
      </c>
      <c r="K73" s="20">
        <v>2.2000000000000001E-3</v>
      </c>
      <c r="L73" s="20">
        <v>0</v>
      </c>
      <c r="M73" s="20">
        <v>6.9999999999999999E-4</v>
      </c>
      <c r="N73" s="21">
        <v>0</v>
      </c>
      <c r="O73" s="20">
        <f>SUM(I73:M73)</f>
        <v>0.28028064516129031</v>
      </c>
      <c r="P73" s="33" t="s">
        <v>81</v>
      </c>
      <c r="Q73" s="18">
        <v>35465</v>
      </c>
      <c r="R73" s="16" t="s">
        <v>237</v>
      </c>
      <c r="S73" s="492">
        <f>I73*I$1*Q73</f>
        <v>301658.19700000004</v>
      </c>
      <c r="T73" s="25"/>
      <c r="U73" s="112">
        <v>77729</v>
      </c>
      <c r="V73" s="47" t="s">
        <v>702</v>
      </c>
    </row>
    <row r="74" spans="1:23" s="47" customFormat="1" x14ac:dyDescent="0.2">
      <c r="A74" s="16"/>
      <c r="B74" s="18"/>
      <c r="C74" s="18"/>
      <c r="D74" s="19"/>
      <c r="E74" s="19"/>
      <c r="F74" s="16"/>
      <c r="G74" s="16"/>
      <c r="H74" s="18"/>
      <c r="I74" s="24"/>
      <c r="J74" s="20"/>
      <c r="K74" s="20"/>
      <c r="L74" s="20"/>
      <c r="M74" s="20"/>
      <c r="N74" s="21"/>
      <c r="O74" s="20"/>
      <c r="P74" s="33"/>
      <c r="Q74" s="18"/>
      <c r="R74" s="16"/>
      <c r="S74" s="492"/>
      <c r="T74" s="25"/>
      <c r="U74" s="112"/>
      <c r="V74" s="112"/>
    </row>
    <row r="75" spans="1:23" s="47" customFormat="1" x14ac:dyDescent="0.2">
      <c r="A75" s="16"/>
      <c r="B75" s="18"/>
      <c r="C75" s="18"/>
      <c r="D75" s="19"/>
      <c r="E75" s="19"/>
      <c r="F75" s="16"/>
      <c r="G75" s="16"/>
      <c r="H75" s="18"/>
      <c r="I75" s="24"/>
      <c r="J75" s="20"/>
      <c r="K75" s="20"/>
      <c r="L75" s="20"/>
      <c r="M75" s="20"/>
      <c r="N75" s="211"/>
      <c r="O75" s="20"/>
      <c r="P75" s="209"/>
      <c r="Q75" s="123">
        <f>SUM(Q72:Q74)</f>
        <v>37482</v>
      </c>
      <c r="R75" s="248" t="s">
        <v>479</v>
      </c>
      <c r="S75" s="495">
        <f>SUM(S72:S74)</f>
        <v>330526.10610000003</v>
      </c>
      <c r="T75" s="25"/>
      <c r="U75" s="229"/>
      <c r="V75" s="112"/>
      <c r="W75" s="112"/>
    </row>
    <row r="76" spans="1:23" s="47" customFormat="1" x14ac:dyDescent="0.2">
      <c r="A76" s="16"/>
      <c r="B76" s="18"/>
      <c r="C76" s="18"/>
      <c r="D76" s="19"/>
      <c r="E76" s="19"/>
      <c r="F76" s="16"/>
      <c r="G76" s="16"/>
      <c r="H76" s="18"/>
      <c r="I76" s="24"/>
      <c r="J76" s="20"/>
      <c r="K76" s="20"/>
      <c r="L76" s="20"/>
      <c r="M76" s="20"/>
      <c r="N76" s="211"/>
      <c r="O76" s="20"/>
      <c r="P76" s="209"/>
      <c r="Q76" s="237"/>
      <c r="R76" s="248" t="s">
        <v>572</v>
      </c>
      <c r="S76" s="495">
        <f>SUM(S73)</f>
        <v>301658.19700000004</v>
      </c>
      <c r="T76" s="25"/>
      <c r="U76" s="229"/>
      <c r="V76" s="112"/>
      <c r="W76" s="112"/>
    </row>
    <row r="77" spans="1:23" s="47" customFormat="1" ht="13.5" thickBot="1" x14ac:dyDescent="0.25">
      <c r="A77" s="16"/>
      <c r="B77" s="18"/>
      <c r="C77" s="18"/>
      <c r="D77" s="19"/>
      <c r="E77" s="19"/>
      <c r="F77" s="16"/>
      <c r="G77" s="16"/>
      <c r="H77" s="18"/>
      <c r="I77" s="24"/>
      <c r="J77" s="20"/>
      <c r="K77" s="20"/>
      <c r="L77" s="20"/>
      <c r="M77" s="20"/>
      <c r="N77" s="211"/>
      <c r="O77" s="20"/>
      <c r="P77" s="209"/>
      <c r="Q77" s="237"/>
      <c r="R77" s="248" t="s">
        <v>573</v>
      </c>
      <c r="S77" s="497">
        <f>+S75-S76</f>
        <v>28867.90909999999</v>
      </c>
      <c r="T77" s="25"/>
      <c r="U77" s="229"/>
      <c r="V77" s="112"/>
      <c r="W77" s="112"/>
    </row>
    <row r="78" spans="1:23" s="47" customFormat="1" ht="13.5" thickTop="1" x14ac:dyDescent="0.2">
      <c r="A78" s="16"/>
      <c r="B78" s="18"/>
      <c r="C78" s="18"/>
      <c r="D78" s="19"/>
      <c r="E78" s="19"/>
      <c r="F78" s="16"/>
      <c r="G78" s="16"/>
      <c r="H78" s="18"/>
      <c r="I78" s="24"/>
      <c r="J78" s="20"/>
      <c r="K78" s="20"/>
      <c r="L78" s="20"/>
      <c r="M78" s="20"/>
      <c r="N78" s="211"/>
      <c r="O78" s="20"/>
      <c r="P78" s="209"/>
      <c r="Q78" s="18"/>
      <c r="R78" s="16"/>
      <c r="S78" s="25"/>
      <c r="T78" s="25"/>
      <c r="U78" s="229"/>
      <c r="V78" s="112"/>
      <c r="W78" s="112"/>
    </row>
    <row r="79" spans="1:23" s="134" customFormat="1" x14ac:dyDescent="0.2">
      <c r="A79" s="26"/>
      <c r="B79" s="27"/>
      <c r="C79" s="27"/>
      <c r="D79" s="28"/>
      <c r="E79" s="28"/>
      <c r="F79" s="26"/>
      <c r="G79" s="26"/>
      <c r="H79" s="27"/>
      <c r="I79" s="29"/>
      <c r="J79" s="30"/>
      <c r="K79" s="30"/>
      <c r="L79" s="30"/>
      <c r="M79" s="30"/>
      <c r="N79" s="226"/>
      <c r="O79" s="30"/>
      <c r="P79" s="386"/>
      <c r="Q79" s="27"/>
      <c r="R79" s="26"/>
      <c r="S79" s="31"/>
      <c r="T79" s="387"/>
      <c r="U79" s="388"/>
      <c r="V79" s="388"/>
    </row>
    <row r="80" spans="1:23" s="47" customFormat="1" x14ac:dyDescent="0.2">
      <c r="A80" s="16"/>
      <c r="B80" s="18"/>
      <c r="C80" s="18"/>
      <c r="D80" s="19"/>
      <c r="E80" s="19"/>
      <c r="F80" s="16"/>
      <c r="G80" s="16"/>
      <c r="H80" s="18"/>
      <c r="I80" s="24"/>
      <c r="J80" s="20"/>
      <c r="K80" s="20"/>
      <c r="L80" s="20"/>
      <c r="M80" s="20"/>
      <c r="N80" s="211"/>
      <c r="O80" s="20"/>
      <c r="P80" s="209"/>
      <c r="Q80" s="18"/>
      <c r="R80" s="16"/>
      <c r="S80" s="25"/>
      <c r="T80" s="229"/>
      <c r="U80" s="112"/>
      <c r="V80" s="112"/>
    </row>
    <row r="81" spans="1:23" s="353" customFormat="1" x14ac:dyDescent="0.2">
      <c r="A81" s="346" t="s">
        <v>47</v>
      </c>
      <c r="B81" s="347" t="s">
        <v>48</v>
      </c>
      <c r="C81" s="347" t="s">
        <v>49</v>
      </c>
      <c r="D81" s="348" t="s">
        <v>50</v>
      </c>
      <c r="E81" s="348"/>
      <c r="F81" s="346" t="s">
        <v>51</v>
      </c>
      <c r="G81" s="346" t="s">
        <v>52</v>
      </c>
      <c r="H81" s="347" t="s">
        <v>53</v>
      </c>
      <c r="I81" s="349" t="s">
        <v>54</v>
      </c>
      <c r="J81" s="347" t="s">
        <v>55</v>
      </c>
      <c r="K81" s="347" t="s">
        <v>56</v>
      </c>
      <c r="L81" s="347" t="s">
        <v>57</v>
      </c>
      <c r="M81" s="347" t="s">
        <v>58</v>
      </c>
      <c r="N81" s="354" t="s">
        <v>60</v>
      </c>
      <c r="O81" s="347" t="s">
        <v>61</v>
      </c>
      <c r="P81" s="351" t="s">
        <v>62</v>
      </c>
      <c r="Q81" s="347" t="s">
        <v>63</v>
      </c>
      <c r="R81" s="346" t="s">
        <v>64</v>
      </c>
      <c r="S81" s="341" t="s">
        <v>419</v>
      </c>
      <c r="T81" s="341" t="s">
        <v>420</v>
      </c>
      <c r="U81" s="344"/>
      <c r="V81" s="344"/>
    </row>
    <row r="82" spans="1:23" s="47" customFormat="1" x14ac:dyDescent="0.2">
      <c r="A82" s="16" t="s">
        <v>65</v>
      </c>
      <c r="B82" s="18" t="s">
        <v>233</v>
      </c>
      <c r="C82" s="18" t="s">
        <v>82</v>
      </c>
      <c r="D82" s="19">
        <v>36100</v>
      </c>
      <c r="E82" s="19">
        <v>39387</v>
      </c>
      <c r="F82" s="16" t="s">
        <v>74</v>
      </c>
      <c r="G82" s="16" t="s">
        <v>234</v>
      </c>
      <c r="H82" s="18" t="s">
        <v>45</v>
      </c>
      <c r="I82" s="20">
        <f>6.1038/I$1</f>
        <v>0.19689677419354837</v>
      </c>
      <c r="J82" s="20">
        <v>1.2999999999999999E-3</v>
      </c>
      <c r="K82" s="20">
        <v>2.2000000000000001E-3</v>
      </c>
      <c r="L82" s="20">
        <v>0</v>
      </c>
      <c r="M82" s="20">
        <v>0</v>
      </c>
      <c r="N82" s="21">
        <v>0.02</v>
      </c>
      <c r="O82" s="20">
        <f>SUM(I82:M82)</f>
        <v>0.20039677419354837</v>
      </c>
      <c r="P82" s="33" t="s">
        <v>67</v>
      </c>
      <c r="Q82" s="18">
        <v>117</v>
      </c>
      <c r="R82" s="16" t="s">
        <v>235</v>
      </c>
      <c r="S82" s="25">
        <f>I82*I$1*Q82</f>
        <v>714.14459999999997</v>
      </c>
      <c r="T82" s="106"/>
      <c r="U82" s="112">
        <v>79923</v>
      </c>
      <c r="V82" s="47" t="s">
        <v>703</v>
      </c>
    </row>
    <row r="83" spans="1:23" s="47" customFormat="1" x14ac:dyDescent="0.2">
      <c r="A83" s="16" t="s">
        <v>65</v>
      </c>
      <c r="B83" s="18" t="s">
        <v>233</v>
      </c>
      <c r="C83" s="18" t="s">
        <v>82</v>
      </c>
      <c r="D83" s="19">
        <v>36861</v>
      </c>
      <c r="E83" s="19">
        <v>37195</v>
      </c>
      <c r="F83" s="16" t="s">
        <v>74</v>
      </c>
      <c r="G83" s="16" t="s">
        <v>234</v>
      </c>
      <c r="H83" s="18" t="s">
        <v>45</v>
      </c>
      <c r="I83" s="20">
        <f>6.1038/I$1</f>
        <v>0.19689677419354837</v>
      </c>
      <c r="J83" s="20">
        <v>1.2999999999999999E-3</v>
      </c>
      <c r="K83" s="20">
        <v>2.2000000000000001E-3</v>
      </c>
      <c r="L83" s="20">
        <v>0</v>
      </c>
      <c r="M83" s="20">
        <v>0</v>
      </c>
      <c r="N83" s="21">
        <v>0.02</v>
      </c>
      <c r="O83" s="20">
        <f>SUM(I83:M83)</f>
        <v>0.20039677419354837</v>
      </c>
      <c r="P83" s="33" t="s">
        <v>624</v>
      </c>
      <c r="Q83" s="18">
        <v>9189</v>
      </c>
      <c r="R83" s="16" t="s">
        <v>571</v>
      </c>
      <c r="S83" s="25">
        <f>I83*I$1*Q83</f>
        <v>56087.818199999994</v>
      </c>
      <c r="T83" s="106"/>
      <c r="U83" s="112">
        <v>506530</v>
      </c>
      <c r="V83" s="47" t="s">
        <v>703</v>
      </c>
    </row>
    <row r="84" spans="1:23" s="47" customFormat="1" x14ac:dyDescent="0.2">
      <c r="A84" s="16"/>
      <c r="B84" s="18"/>
      <c r="C84" s="18"/>
      <c r="D84" s="19"/>
      <c r="E84" s="19"/>
      <c r="F84" s="16"/>
      <c r="G84" s="16"/>
      <c r="H84" s="18"/>
      <c r="I84" s="24"/>
      <c r="J84" s="20"/>
      <c r="K84" s="20"/>
      <c r="L84" s="20"/>
      <c r="M84" s="20"/>
      <c r="N84" s="21"/>
      <c r="O84" s="20"/>
      <c r="P84" s="33"/>
      <c r="Q84" s="18"/>
      <c r="R84" s="16"/>
      <c r="S84" s="25"/>
      <c r="T84" s="25">
        <f>SUM(T82:T83)</f>
        <v>0</v>
      </c>
      <c r="U84" s="112"/>
      <c r="V84" s="112"/>
    </row>
    <row r="85" spans="1:23" s="47" customFormat="1" x14ac:dyDescent="0.2">
      <c r="A85" s="16"/>
      <c r="B85" s="18"/>
      <c r="C85" s="18"/>
      <c r="D85" s="19"/>
      <c r="E85" s="19"/>
      <c r="F85" s="16"/>
      <c r="G85" s="16"/>
      <c r="H85" s="18"/>
      <c r="I85" s="24"/>
      <c r="J85" s="20"/>
      <c r="K85" s="20"/>
      <c r="L85" s="20"/>
      <c r="M85" s="20"/>
      <c r="N85" s="211"/>
      <c r="O85" s="20"/>
      <c r="P85" s="209"/>
      <c r="Q85" s="123">
        <f>SUM(Q82:Q84)</f>
        <v>9306</v>
      </c>
      <c r="R85" s="248" t="s">
        <v>479</v>
      </c>
      <c r="S85" s="36">
        <f>SUM(S82:S84)</f>
        <v>56801.962799999994</v>
      </c>
      <c r="T85" s="25"/>
      <c r="U85" s="229"/>
      <c r="V85" s="112"/>
      <c r="W85" s="112"/>
    </row>
    <row r="86" spans="1:23" s="47" customFormat="1" x14ac:dyDescent="0.2">
      <c r="A86" s="16"/>
      <c r="B86" s="18"/>
      <c r="C86" s="18"/>
      <c r="D86" s="19"/>
      <c r="E86" s="19"/>
      <c r="F86" s="16"/>
      <c r="G86" s="16"/>
      <c r="H86" s="18"/>
      <c r="I86" s="24"/>
      <c r="J86" s="20"/>
      <c r="K86" s="20"/>
      <c r="L86" s="20"/>
      <c r="M86" s="20"/>
      <c r="N86" s="211"/>
      <c r="O86" s="20"/>
      <c r="P86" s="209"/>
      <c r="Q86" s="237"/>
      <c r="R86" s="248" t="s">
        <v>572</v>
      </c>
      <c r="S86" s="36">
        <f>SUM(S83)</f>
        <v>56087.818199999994</v>
      </c>
      <c r="T86" s="25"/>
      <c r="U86" s="229"/>
      <c r="V86" s="112"/>
      <c r="W86" s="112"/>
    </row>
    <row r="87" spans="1:23" s="47" customFormat="1" ht="13.5" thickBot="1" x14ac:dyDescent="0.25">
      <c r="A87" s="16"/>
      <c r="B87" s="18"/>
      <c r="C87" s="18"/>
      <c r="D87" s="19"/>
      <c r="E87" s="19"/>
      <c r="F87" s="16"/>
      <c r="G87" s="16"/>
      <c r="H87" s="18"/>
      <c r="I87" s="24"/>
      <c r="J87" s="20"/>
      <c r="K87" s="20"/>
      <c r="L87" s="20"/>
      <c r="M87" s="20"/>
      <c r="N87" s="211"/>
      <c r="O87" s="20"/>
      <c r="P87" s="209"/>
      <c r="Q87" s="237"/>
      <c r="R87" s="248" t="s">
        <v>573</v>
      </c>
      <c r="S87" s="364">
        <f>+S85-S86</f>
        <v>714.14459999999963</v>
      </c>
      <c r="T87" s="25"/>
      <c r="U87" s="229"/>
      <c r="V87" s="112"/>
      <c r="W87" s="112"/>
    </row>
    <row r="88" spans="1:23" s="47" customFormat="1" ht="13.5" thickTop="1" x14ac:dyDescent="0.2">
      <c r="A88" s="16"/>
      <c r="B88" s="18"/>
      <c r="C88" s="18"/>
      <c r="D88" s="19"/>
      <c r="E88" s="19"/>
      <c r="F88" s="16"/>
      <c r="G88" s="16"/>
      <c r="H88" s="18"/>
      <c r="I88" s="24"/>
      <c r="J88" s="20"/>
      <c r="K88" s="20"/>
      <c r="L88" s="20"/>
      <c r="M88" s="20"/>
      <c r="N88" s="211"/>
      <c r="O88" s="20"/>
      <c r="P88" s="209"/>
      <c r="Q88" s="18"/>
      <c r="R88" s="16"/>
      <c r="S88" s="25"/>
      <c r="T88" s="25"/>
      <c r="U88" s="229"/>
      <c r="V88" s="112"/>
      <c r="W88" s="112"/>
    </row>
    <row r="89" spans="1:23" s="353" customFormat="1" x14ac:dyDescent="0.2">
      <c r="A89" s="346" t="s">
        <v>47</v>
      </c>
      <c r="B89" s="347" t="s">
        <v>48</v>
      </c>
      <c r="C89" s="347" t="s">
        <v>49</v>
      </c>
      <c r="D89" s="348" t="s">
        <v>50</v>
      </c>
      <c r="E89" s="348"/>
      <c r="F89" s="346" t="s">
        <v>51</v>
      </c>
      <c r="G89" s="346" t="s">
        <v>52</v>
      </c>
      <c r="H89" s="347" t="s">
        <v>53</v>
      </c>
      <c r="I89" s="349" t="s">
        <v>54</v>
      </c>
      <c r="J89" s="347" t="s">
        <v>55</v>
      </c>
      <c r="K89" s="347" t="s">
        <v>56</v>
      </c>
      <c r="L89" s="347" t="s">
        <v>57</v>
      </c>
      <c r="M89" s="347" t="s">
        <v>58</v>
      </c>
      <c r="N89" s="354" t="s">
        <v>60</v>
      </c>
      <c r="O89" s="347" t="s">
        <v>61</v>
      </c>
      <c r="P89" s="351" t="s">
        <v>62</v>
      </c>
      <c r="Q89" s="347" t="s">
        <v>63</v>
      </c>
      <c r="R89" s="346" t="s">
        <v>64</v>
      </c>
      <c r="S89" s="341" t="s">
        <v>419</v>
      </c>
      <c r="T89" s="344"/>
      <c r="U89" s="344"/>
    </row>
    <row r="90" spans="1:23" s="47" customFormat="1" x14ac:dyDescent="0.2">
      <c r="A90" s="16" t="s">
        <v>566</v>
      </c>
      <c r="B90" s="16" t="s">
        <v>598</v>
      </c>
      <c r="C90" s="18" t="s">
        <v>598</v>
      </c>
      <c r="D90" s="19" t="s">
        <v>599</v>
      </c>
      <c r="E90" s="19" t="s">
        <v>599</v>
      </c>
      <c r="F90" s="16" t="s">
        <v>277</v>
      </c>
      <c r="G90" s="16" t="s">
        <v>277</v>
      </c>
      <c r="H90" s="18" t="s">
        <v>45</v>
      </c>
      <c r="I90" s="24">
        <v>7.2900000000000006E-2</v>
      </c>
      <c r="J90" s="20">
        <v>3.0000000000000001E-3</v>
      </c>
      <c r="K90" s="20">
        <v>2.2000000000000001E-3</v>
      </c>
      <c r="L90" s="20">
        <v>0</v>
      </c>
      <c r="M90" s="20">
        <v>0</v>
      </c>
      <c r="N90" s="21">
        <v>0</v>
      </c>
      <c r="O90" s="20">
        <f>SUM(I90:M90)</f>
        <v>7.8100000000000003E-2</v>
      </c>
      <c r="P90" s="33" t="s">
        <v>600</v>
      </c>
      <c r="Q90" s="18">
        <v>25000</v>
      </c>
      <c r="R90" s="16"/>
      <c r="S90" s="106">
        <f>I90*I$1*Q90</f>
        <v>56497.5</v>
      </c>
      <c r="T90" s="112"/>
      <c r="U90" s="112"/>
      <c r="V90" s="47" t="s">
        <v>699</v>
      </c>
    </row>
    <row r="91" spans="1:23" s="47" customFormat="1" x14ac:dyDescent="0.2">
      <c r="A91" s="16" t="s">
        <v>339</v>
      </c>
      <c r="B91" s="16" t="s">
        <v>424</v>
      </c>
      <c r="C91" s="18" t="s">
        <v>749</v>
      </c>
      <c r="D91" s="19">
        <v>37012</v>
      </c>
      <c r="E91" s="19">
        <v>37042</v>
      </c>
      <c r="F91" s="16" t="s">
        <v>750</v>
      </c>
      <c r="G91" s="16" t="s">
        <v>751</v>
      </c>
      <c r="H91" s="18"/>
      <c r="I91" s="24">
        <v>0.08</v>
      </c>
      <c r="J91" s="20"/>
      <c r="K91" s="20"/>
      <c r="L91" s="20"/>
      <c r="M91" s="20"/>
      <c r="N91" s="21"/>
      <c r="O91" s="20"/>
      <c r="P91" s="33" t="s">
        <v>752</v>
      </c>
      <c r="Q91" s="18">
        <v>2700</v>
      </c>
      <c r="R91" s="16"/>
      <c r="S91" s="508">
        <f>+Q91*I91*I1</f>
        <v>6696</v>
      </c>
      <c r="T91" s="112"/>
      <c r="U91" s="112"/>
    </row>
    <row r="92" spans="1:23" s="47" customFormat="1" x14ac:dyDescent="0.2">
      <c r="A92" s="16" t="s">
        <v>339</v>
      </c>
      <c r="B92" s="18" t="s">
        <v>424</v>
      </c>
      <c r="C92" s="18" t="s">
        <v>408</v>
      </c>
      <c r="D92" s="19">
        <v>37012</v>
      </c>
      <c r="E92" s="19">
        <v>37042</v>
      </c>
      <c r="F92" s="16"/>
      <c r="G92" s="16"/>
      <c r="H92" s="18"/>
      <c r="I92" s="23">
        <v>3000</v>
      </c>
      <c r="J92" s="20"/>
      <c r="K92" s="32"/>
      <c r="L92" s="20"/>
      <c r="M92" s="20"/>
      <c r="N92" s="21"/>
      <c r="O92" s="20"/>
      <c r="P92" s="33">
        <v>20010011067</v>
      </c>
      <c r="Q92" s="18">
        <v>300000</v>
      </c>
      <c r="R92" s="18"/>
      <c r="S92" s="208">
        <v>3000</v>
      </c>
      <c r="T92" s="112"/>
      <c r="U92" s="112"/>
      <c r="V92" s="47">
        <v>759558</v>
      </c>
    </row>
    <row r="93" spans="1:23" s="47" customFormat="1" x14ac:dyDescent="0.2">
      <c r="A93" s="16"/>
      <c r="B93" s="18"/>
      <c r="C93" s="18"/>
      <c r="D93" s="19"/>
      <c r="E93" s="19"/>
      <c r="F93" s="16"/>
      <c r="G93" s="16"/>
      <c r="H93" s="18"/>
      <c r="I93" s="24"/>
      <c r="J93" s="20"/>
      <c r="K93" s="20"/>
      <c r="L93" s="20"/>
      <c r="M93" s="20"/>
      <c r="N93" s="211"/>
      <c r="O93" s="20"/>
      <c r="P93" s="209"/>
      <c r="Q93" s="123">
        <f>SUM(Q90:Q92)</f>
        <v>327700</v>
      </c>
      <c r="R93" s="248" t="s">
        <v>479</v>
      </c>
      <c r="S93" s="36">
        <f>SUM(S90:S92)</f>
        <v>66193.5</v>
      </c>
      <c r="T93" s="229"/>
      <c r="U93" s="112"/>
      <c r="V93" s="112"/>
    </row>
    <row r="94" spans="1:23" s="47" customFormat="1" x14ac:dyDescent="0.2">
      <c r="A94" s="16"/>
      <c r="B94" s="18"/>
      <c r="C94" s="18"/>
      <c r="D94" s="19"/>
      <c r="E94" s="19"/>
      <c r="F94" s="16"/>
      <c r="G94" s="16"/>
      <c r="H94" s="18"/>
      <c r="I94" s="24"/>
      <c r="J94" s="20"/>
      <c r="K94" s="20"/>
      <c r="L94" s="20"/>
      <c r="M94" s="20"/>
      <c r="N94" s="211"/>
      <c r="O94" s="20"/>
      <c r="P94" s="209"/>
      <c r="Q94" s="237"/>
      <c r="R94" s="248" t="s">
        <v>572</v>
      </c>
      <c r="S94" s="36">
        <v>0</v>
      </c>
      <c r="T94" s="229"/>
      <c r="U94" s="112"/>
      <c r="V94" s="112"/>
    </row>
    <row r="95" spans="1:23" s="47" customFormat="1" ht="13.5" thickBot="1" x14ac:dyDescent="0.25">
      <c r="A95" s="16"/>
      <c r="B95" s="18"/>
      <c r="C95" s="18"/>
      <c r="D95" s="19"/>
      <c r="E95" s="19"/>
      <c r="F95" s="16"/>
      <c r="G95" s="16"/>
      <c r="H95" s="18"/>
      <c r="I95" s="24"/>
      <c r="J95" s="20"/>
      <c r="K95" s="20"/>
      <c r="L95" s="20"/>
      <c r="M95" s="20"/>
      <c r="N95" s="211"/>
      <c r="O95" s="20"/>
      <c r="P95" s="209"/>
      <c r="Q95" s="237"/>
      <c r="R95" s="248" t="s">
        <v>573</v>
      </c>
      <c r="S95" s="364">
        <f>+S93-S94</f>
        <v>66193.5</v>
      </c>
      <c r="T95" s="229"/>
      <c r="U95" s="112"/>
      <c r="V95" s="112"/>
    </row>
    <row r="96" spans="1:23" s="47" customFormat="1" ht="13.5" thickTop="1" x14ac:dyDescent="0.2">
      <c r="A96" s="16"/>
      <c r="B96" s="18"/>
      <c r="C96" s="18"/>
      <c r="D96" s="19"/>
      <c r="E96" s="19"/>
      <c r="F96" s="16"/>
      <c r="G96" s="16"/>
      <c r="H96" s="18"/>
      <c r="I96" s="24"/>
      <c r="J96" s="20"/>
      <c r="K96" s="20"/>
      <c r="L96" s="20"/>
      <c r="M96" s="20"/>
      <c r="N96" s="211"/>
      <c r="O96" s="20"/>
      <c r="P96" s="209"/>
      <c r="Q96" s="237"/>
      <c r="R96" s="248"/>
      <c r="S96" s="36"/>
      <c r="T96" s="229"/>
      <c r="U96" s="112"/>
      <c r="V96" s="112"/>
    </row>
    <row r="97" spans="1:24" s="353" customFormat="1" x14ac:dyDescent="0.2">
      <c r="A97" s="346" t="s">
        <v>47</v>
      </c>
      <c r="B97" s="347" t="s">
        <v>48</v>
      </c>
      <c r="C97" s="347" t="s">
        <v>49</v>
      </c>
      <c r="D97" s="348" t="s">
        <v>50</v>
      </c>
      <c r="E97" s="348"/>
      <c r="F97" s="346" t="s">
        <v>51</v>
      </c>
      <c r="G97" s="346" t="s">
        <v>52</v>
      </c>
      <c r="H97" s="347" t="s">
        <v>471</v>
      </c>
      <c r="I97" s="349" t="s">
        <v>54</v>
      </c>
      <c r="J97" s="347" t="s">
        <v>55</v>
      </c>
      <c r="K97" s="347" t="s">
        <v>56</v>
      </c>
      <c r="L97" s="347" t="s">
        <v>57</v>
      </c>
      <c r="M97" s="347" t="s">
        <v>58</v>
      </c>
      <c r="N97" s="350" t="s">
        <v>60</v>
      </c>
      <c r="O97" s="347" t="s">
        <v>61</v>
      </c>
      <c r="P97" s="351" t="s">
        <v>450</v>
      </c>
      <c r="Q97" s="347" t="s">
        <v>63</v>
      </c>
      <c r="R97" s="346" t="s">
        <v>64</v>
      </c>
      <c r="S97" s="341" t="s">
        <v>451</v>
      </c>
      <c r="T97" s="352" t="s">
        <v>453</v>
      </c>
      <c r="U97" s="344"/>
      <c r="V97" s="344"/>
    </row>
    <row r="98" spans="1:24" x14ac:dyDescent="0.2">
      <c r="A98" s="16" t="s">
        <v>408</v>
      </c>
      <c r="B98" s="18" t="s">
        <v>506</v>
      </c>
      <c r="C98" s="18" t="s">
        <v>408</v>
      </c>
      <c r="D98" s="19">
        <v>36892</v>
      </c>
      <c r="E98" s="19" t="s">
        <v>744</v>
      </c>
      <c r="F98" s="16"/>
      <c r="G98" s="16"/>
      <c r="H98" s="18" t="s">
        <v>498</v>
      </c>
      <c r="I98" s="24">
        <f>4.28/I$1</f>
        <v>0.13806451612903226</v>
      </c>
      <c r="J98" s="20"/>
      <c r="K98" s="32"/>
      <c r="L98" s="20"/>
      <c r="M98" s="20"/>
      <c r="N98" s="211"/>
      <c r="O98" s="20"/>
      <c r="P98" s="33">
        <v>4862</v>
      </c>
      <c r="Q98" s="18">
        <v>40217</v>
      </c>
      <c r="R98" s="18"/>
      <c r="S98" s="25">
        <f>I98*I$1*Q98</f>
        <v>172128.76</v>
      </c>
      <c r="T98" s="493" t="s">
        <v>745</v>
      </c>
      <c r="U98" s="112"/>
      <c r="V98" s="112" t="s">
        <v>700</v>
      </c>
    </row>
    <row r="99" spans="1:24" x14ac:dyDescent="0.2">
      <c r="A99" s="16" t="s">
        <v>408</v>
      </c>
      <c r="B99" s="18" t="s">
        <v>506</v>
      </c>
      <c r="C99" s="18" t="s">
        <v>421</v>
      </c>
      <c r="D99" s="19"/>
      <c r="E99" s="19"/>
      <c r="F99" s="16"/>
      <c r="G99" s="16"/>
      <c r="H99" s="18"/>
      <c r="I99" s="24">
        <f>4.28/I$1</f>
        <v>0.13806451612903226</v>
      </c>
      <c r="J99" s="20"/>
      <c r="K99" s="32"/>
      <c r="L99" s="20"/>
      <c r="M99" s="20"/>
      <c r="N99" s="211"/>
      <c r="O99" s="20"/>
      <c r="P99" s="33">
        <v>712131</v>
      </c>
      <c r="Q99" s="18">
        <v>3850</v>
      </c>
      <c r="R99" s="18"/>
      <c r="S99" s="25">
        <f>I99*I$1*Q99</f>
        <v>16478</v>
      </c>
      <c r="T99" s="223">
        <v>234462</v>
      </c>
      <c r="U99" s="112"/>
      <c r="V99" s="112"/>
    </row>
    <row r="100" spans="1:24" x14ac:dyDescent="0.2">
      <c r="A100" s="16"/>
      <c r="B100" s="18"/>
      <c r="C100" s="18"/>
      <c r="D100" s="19"/>
      <c r="E100" s="19"/>
      <c r="F100" s="16"/>
      <c r="G100" s="16"/>
      <c r="H100" s="18"/>
      <c r="I100" s="24"/>
      <c r="J100" s="20"/>
      <c r="K100" s="32"/>
      <c r="L100" s="20"/>
      <c r="M100" s="20"/>
      <c r="N100" s="211"/>
      <c r="O100" s="20"/>
      <c r="P100" s="33"/>
      <c r="Q100" s="17"/>
      <c r="R100" s="18"/>
      <c r="S100" s="106"/>
      <c r="T100" s="223"/>
      <c r="U100" s="112"/>
      <c r="V100" s="112"/>
    </row>
    <row r="101" spans="1:24" s="75" customFormat="1" x14ac:dyDescent="0.2">
      <c r="A101" s="248"/>
      <c r="B101" s="123"/>
      <c r="C101" s="123"/>
      <c r="D101" s="249"/>
      <c r="E101" s="249"/>
      <c r="F101" s="248"/>
      <c r="G101" s="248"/>
      <c r="H101" s="123"/>
      <c r="I101" s="250"/>
      <c r="J101" s="32"/>
      <c r="K101" s="32"/>
      <c r="L101" s="32"/>
      <c r="M101" s="32"/>
      <c r="N101" s="333"/>
      <c r="O101" s="32"/>
      <c r="P101" s="355"/>
      <c r="Q101" s="123">
        <f>SUM(Q98:Q100)</f>
        <v>44067</v>
      </c>
      <c r="R101" s="248" t="s">
        <v>479</v>
      </c>
      <c r="S101" s="36">
        <f>SUM(S98:S100)</f>
        <v>188606.76</v>
      </c>
      <c r="T101" s="236"/>
      <c r="U101" s="111"/>
      <c r="V101" s="111"/>
    </row>
    <row r="102" spans="1:24" s="47" customFormat="1" x14ac:dyDescent="0.2">
      <c r="A102" s="16"/>
      <c r="B102" s="18"/>
      <c r="C102" s="18"/>
      <c r="D102" s="19"/>
      <c r="E102" s="19"/>
      <c r="F102" s="16"/>
      <c r="G102" s="16"/>
      <c r="H102" s="18"/>
      <c r="I102" s="24"/>
      <c r="J102" s="20"/>
      <c r="K102" s="20"/>
      <c r="L102" s="20"/>
      <c r="M102" s="20"/>
      <c r="N102" s="211"/>
      <c r="O102" s="20"/>
      <c r="P102" s="209"/>
      <c r="Q102" s="237"/>
      <c r="R102" s="248" t="s">
        <v>572</v>
      </c>
      <c r="S102" s="36">
        <v>0</v>
      </c>
      <c r="T102" s="229"/>
      <c r="U102" s="112"/>
      <c r="V102" s="112"/>
    </row>
    <row r="103" spans="1:24" s="47" customFormat="1" ht="13.5" thickBot="1" x14ac:dyDescent="0.25">
      <c r="A103" s="16"/>
      <c r="B103" s="18"/>
      <c r="C103" s="18"/>
      <c r="D103" s="19"/>
      <c r="E103" s="19"/>
      <c r="F103" s="16"/>
      <c r="G103" s="16"/>
      <c r="H103" s="18"/>
      <c r="I103" s="24"/>
      <c r="J103" s="20"/>
      <c r="K103" s="20"/>
      <c r="L103" s="20"/>
      <c r="M103" s="20"/>
      <c r="N103" s="211"/>
      <c r="O103" s="20"/>
      <c r="P103" s="209"/>
      <c r="Q103" s="237"/>
      <c r="R103" s="248" t="s">
        <v>573</v>
      </c>
      <c r="S103" s="365">
        <f>+S101-S102</f>
        <v>188606.76</v>
      </c>
      <c r="T103" s="229"/>
      <c r="U103" s="112"/>
      <c r="V103" s="112"/>
    </row>
    <row r="104" spans="1:24" s="47" customFormat="1" ht="13.5" thickTop="1" x14ac:dyDescent="0.2">
      <c r="A104" s="16"/>
      <c r="B104" s="18"/>
      <c r="C104" s="18"/>
      <c r="D104" s="19"/>
      <c r="E104" s="19"/>
      <c r="F104" s="16"/>
      <c r="G104" s="16"/>
      <c r="H104" s="18"/>
      <c r="I104" s="24"/>
      <c r="J104" s="20"/>
      <c r="K104" s="20"/>
      <c r="L104" s="20"/>
      <c r="M104" s="20"/>
      <c r="N104" s="211"/>
      <c r="O104" s="20"/>
      <c r="P104" s="209"/>
      <c r="Q104" s="18"/>
      <c r="R104" s="16"/>
      <c r="S104" s="25"/>
      <c r="T104" s="229"/>
      <c r="U104" s="112"/>
      <c r="V104" s="112"/>
    </row>
    <row r="105" spans="1:24" s="353" customFormat="1" x14ac:dyDescent="0.2">
      <c r="A105" s="346" t="s">
        <v>47</v>
      </c>
      <c r="B105" s="347" t="s">
        <v>48</v>
      </c>
      <c r="C105" s="347" t="s">
        <v>49</v>
      </c>
      <c r="D105" s="348" t="s">
        <v>50</v>
      </c>
      <c r="E105" s="348"/>
      <c r="F105" s="346" t="s">
        <v>51</v>
      </c>
      <c r="G105" s="346" t="s">
        <v>52</v>
      </c>
      <c r="H105" s="347" t="s">
        <v>53</v>
      </c>
      <c r="I105" s="349" t="s">
        <v>54</v>
      </c>
      <c r="J105" s="347" t="s">
        <v>55</v>
      </c>
      <c r="K105" s="347" t="s">
        <v>56</v>
      </c>
      <c r="L105" s="347" t="s">
        <v>57</v>
      </c>
      <c r="M105" s="347" t="s">
        <v>58</v>
      </c>
      <c r="N105" s="354" t="s">
        <v>60</v>
      </c>
      <c r="O105" s="347" t="s">
        <v>61</v>
      </c>
      <c r="P105" s="351" t="s">
        <v>62</v>
      </c>
      <c r="Q105" s="347" t="s">
        <v>63</v>
      </c>
      <c r="R105" s="346" t="s">
        <v>64</v>
      </c>
      <c r="S105" s="341" t="s">
        <v>419</v>
      </c>
      <c r="T105" s="344"/>
      <c r="U105" s="344"/>
    </row>
    <row r="106" spans="1:24" s="47" customFormat="1" x14ac:dyDescent="0.2">
      <c r="A106" s="16" t="s">
        <v>380</v>
      </c>
      <c r="B106" s="18" t="s">
        <v>71</v>
      </c>
      <c r="C106" s="18" t="s">
        <v>397</v>
      </c>
      <c r="D106" s="19">
        <v>36526</v>
      </c>
      <c r="E106" s="19">
        <v>37560</v>
      </c>
      <c r="F106" s="16" t="s">
        <v>440</v>
      </c>
      <c r="G106" s="16" t="s">
        <v>440</v>
      </c>
      <c r="H106" s="18" t="s">
        <v>66</v>
      </c>
      <c r="I106" s="24">
        <f>5.2701/I$1</f>
        <v>0.17000322580645161</v>
      </c>
      <c r="J106" s="20">
        <v>0</v>
      </c>
      <c r="K106" s="20">
        <v>0</v>
      </c>
      <c r="L106" s="20">
        <v>0</v>
      </c>
      <c r="M106" s="20">
        <v>0</v>
      </c>
      <c r="N106" s="21">
        <v>3.6900000000000002E-2</v>
      </c>
      <c r="O106" s="20">
        <v>0</v>
      </c>
      <c r="P106" s="209">
        <v>1440</v>
      </c>
      <c r="Q106" s="18">
        <v>4803</v>
      </c>
      <c r="R106" s="25" t="s">
        <v>45</v>
      </c>
      <c r="S106" s="25">
        <f>+I106*Q106*I1</f>
        <v>25312.290300000001</v>
      </c>
      <c r="T106" s="112">
        <v>251724</v>
      </c>
      <c r="U106" s="112"/>
      <c r="V106" s="47" t="s">
        <v>423</v>
      </c>
      <c r="W106" s="47" t="s">
        <v>700</v>
      </c>
    </row>
    <row r="107" spans="1:24" s="47" customFormat="1" x14ac:dyDescent="0.2">
      <c r="A107" s="16" t="s">
        <v>380</v>
      </c>
      <c r="B107" s="18" t="s">
        <v>71</v>
      </c>
      <c r="C107" s="18" t="s">
        <v>397</v>
      </c>
      <c r="D107" s="19">
        <v>36526</v>
      </c>
      <c r="E107" s="19">
        <v>37560</v>
      </c>
      <c r="F107" s="16" t="s">
        <v>440</v>
      </c>
      <c r="G107" s="16" t="s">
        <v>440</v>
      </c>
      <c r="H107" s="18" t="s">
        <v>66</v>
      </c>
      <c r="I107" s="24">
        <f>5.45/I$1</f>
        <v>0.17580645161290323</v>
      </c>
      <c r="J107" s="20">
        <v>0</v>
      </c>
      <c r="K107" s="20">
        <v>0</v>
      </c>
      <c r="L107" s="20">
        <v>0</v>
      </c>
      <c r="M107" s="20">
        <v>0</v>
      </c>
      <c r="N107" s="21">
        <v>3.6900000000000002E-2</v>
      </c>
      <c r="O107" s="20">
        <v>0</v>
      </c>
      <c r="P107" s="209">
        <v>1548</v>
      </c>
      <c r="Q107" s="18">
        <v>3841</v>
      </c>
      <c r="R107" s="25" t="s">
        <v>45</v>
      </c>
      <c r="S107" s="25">
        <f>+I107*Q107*I1</f>
        <v>20933.45</v>
      </c>
      <c r="T107" s="112">
        <v>251745</v>
      </c>
      <c r="U107" s="112"/>
      <c r="V107" s="47" t="s">
        <v>423</v>
      </c>
      <c r="W107" s="47" t="s">
        <v>700</v>
      </c>
    </row>
    <row r="108" spans="1:24" s="47" customFormat="1" x14ac:dyDescent="0.2">
      <c r="A108" s="16" t="s">
        <v>380</v>
      </c>
      <c r="B108" s="18" t="s">
        <v>71</v>
      </c>
      <c r="C108" s="18" t="s">
        <v>397</v>
      </c>
      <c r="D108" s="19">
        <v>36039</v>
      </c>
      <c r="E108" s="19">
        <v>37560</v>
      </c>
      <c r="F108" s="16" t="s">
        <v>398</v>
      </c>
      <c r="G108" s="16"/>
      <c r="H108" s="18" t="s">
        <v>66</v>
      </c>
      <c r="I108" s="24">
        <v>1.8499999999999999E-2</v>
      </c>
      <c r="J108" s="20">
        <v>0</v>
      </c>
      <c r="K108" s="20">
        <v>0</v>
      </c>
      <c r="L108" s="20">
        <v>0</v>
      </c>
      <c r="M108" s="20">
        <v>0</v>
      </c>
      <c r="N108" s="21">
        <v>3.6900000000000002E-2</v>
      </c>
      <c r="O108" s="20">
        <v>0</v>
      </c>
      <c r="P108" s="33">
        <v>2210</v>
      </c>
      <c r="Q108" s="18">
        <v>709765</v>
      </c>
      <c r="R108" s="25" t="s">
        <v>422</v>
      </c>
      <c r="S108" s="25">
        <f>+Q108*I108</f>
        <v>13130.6525</v>
      </c>
      <c r="T108" s="112">
        <v>251751</v>
      </c>
      <c r="U108" s="112">
        <v>96005270</v>
      </c>
      <c r="V108" s="47" t="s">
        <v>423</v>
      </c>
      <c r="W108" s="47" t="s">
        <v>700</v>
      </c>
      <c r="X108" s="331"/>
    </row>
    <row r="109" spans="1:24" s="47" customFormat="1" x14ac:dyDescent="0.2">
      <c r="A109" s="16" t="s">
        <v>380</v>
      </c>
      <c r="B109" s="18" t="s">
        <v>71</v>
      </c>
      <c r="C109" s="18" t="s">
        <v>397</v>
      </c>
      <c r="D109" s="19">
        <v>36039</v>
      </c>
      <c r="E109" s="19">
        <v>37560</v>
      </c>
      <c r="F109" s="16" t="s">
        <v>398</v>
      </c>
      <c r="G109" s="16"/>
      <c r="H109" s="18" t="s">
        <v>66</v>
      </c>
      <c r="I109" s="24">
        <f>1.15/I$1</f>
        <v>3.7096774193548385E-2</v>
      </c>
      <c r="J109" s="20">
        <v>0</v>
      </c>
      <c r="K109" s="20">
        <v>0</v>
      </c>
      <c r="L109" s="20">
        <v>0</v>
      </c>
      <c r="M109" s="20">
        <v>0</v>
      </c>
      <c r="N109" s="21">
        <v>3.6900000000000002E-2</v>
      </c>
      <c r="O109" s="20">
        <v>0</v>
      </c>
      <c r="P109" s="33">
        <v>2210</v>
      </c>
      <c r="Q109" s="18">
        <v>14388</v>
      </c>
      <c r="R109" s="25" t="s">
        <v>422</v>
      </c>
      <c r="S109" s="25">
        <f>+I109*Q109*I1</f>
        <v>16546.2</v>
      </c>
      <c r="T109" s="112">
        <v>251751</v>
      </c>
      <c r="U109" s="112">
        <v>96005270</v>
      </c>
      <c r="V109" s="47" t="s">
        <v>423</v>
      </c>
      <c r="W109" s="47" t="s">
        <v>700</v>
      </c>
    </row>
    <row r="110" spans="1:24" s="47" customFormat="1" x14ac:dyDescent="0.2">
      <c r="A110" s="16" t="s">
        <v>380</v>
      </c>
      <c r="B110" s="18" t="s">
        <v>71</v>
      </c>
      <c r="C110" s="18" t="s">
        <v>581</v>
      </c>
      <c r="D110" s="19">
        <v>36039</v>
      </c>
      <c r="E110" s="19">
        <v>37560</v>
      </c>
      <c r="F110" s="16" t="s">
        <v>398</v>
      </c>
      <c r="G110" s="16"/>
      <c r="H110" s="18" t="s">
        <v>66</v>
      </c>
      <c r="I110" s="24">
        <v>1.8499999999999999E-2</v>
      </c>
      <c r="J110" s="20">
        <v>0</v>
      </c>
      <c r="K110" s="20">
        <v>0</v>
      </c>
      <c r="L110" s="20">
        <v>0</v>
      </c>
      <c r="M110" s="20">
        <v>0</v>
      </c>
      <c r="N110" s="21">
        <v>3.6900000000000002E-2</v>
      </c>
      <c r="O110" s="20">
        <v>0</v>
      </c>
      <c r="P110" s="33">
        <v>2076</v>
      </c>
      <c r="Q110" s="18">
        <v>11827</v>
      </c>
      <c r="R110" s="25" t="s">
        <v>442</v>
      </c>
      <c r="S110" s="25">
        <f>+I110*Q110</f>
        <v>218.79949999999999</v>
      </c>
      <c r="T110" s="112">
        <v>251691</v>
      </c>
      <c r="U110" s="112">
        <v>96006727</v>
      </c>
      <c r="V110" s="47" t="s">
        <v>423</v>
      </c>
      <c r="W110" s="47" t="s">
        <v>700</v>
      </c>
    </row>
    <row r="111" spans="1:24" s="47" customFormat="1" x14ac:dyDescent="0.2">
      <c r="A111" s="16" t="s">
        <v>380</v>
      </c>
      <c r="B111" s="18" t="s">
        <v>71</v>
      </c>
      <c r="C111" s="18" t="s">
        <v>581</v>
      </c>
      <c r="D111" s="19">
        <v>36039</v>
      </c>
      <c r="E111" s="19">
        <v>37560</v>
      </c>
      <c r="F111" s="16" t="s">
        <v>398</v>
      </c>
      <c r="G111" s="16"/>
      <c r="H111" s="18"/>
      <c r="I111" s="24">
        <f>1.15/I$1</f>
        <v>3.7096774193548385E-2</v>
      </c>
      <c r="J111" s="20"/>
      <c r="K111" s="20"/>
      <c r="L111" s="20"/>
      <c r="M111" s="20"/>
      <c r="N111" s="21"/>
      <c r="O111" s="20"/>
      <c r="P111" s="33">
        <v>2076</v>
      </c>
      <c r="Q111" s="18">
        <v>209</v>
      </c>
      <c r="R111" s="25" t="s">
        <v>442</v>
      </c>
      <c r="S111" s="25">
        <f>+I111*Q111</f>
        <v>7.7532258064516126</v>
      </c>
      <c r="T111" s="112">
        <v>251691</v>
      </c>
      <c r="U111" s="112"/>
      <c r="V111" s="47" t="s">
        <v>423</v>
      </c>
      <c r="W111" s="47" t="s">
        <v>700</v>
      </c>
    </row>
    <row r="112" spans="1:24" s="47" customFormat="1" x14ac:dyDescent="0.2">
      <c r="A112" s="16" t="s">
        <v>380</v>
      </c>
      <c r="B112" s="18" t="s">
        <v>71</v>
      </c>
      <c r="C112" s="18" t="s">
        <v>581</v>
      </c>
      <c r="D112" s="19">
        <v>36039</v>
      </c>
      <c r="E112" s="19">
        <v>37560</v>
      </c>
      <c r="F112" s="16" t="s">
        <v>440</v>
      </c>
      <c r="G112" s="16" t="s">
        <v>440</v>
      </c>
      <c r="H112" s="18" t="s">
        <v>66</v>
      </c>
      <c r="I112" s="24">
        <f>5.61/I$1</f>
        <v>0.18096774193548387</v>
      </c>
      <c r="J112" s="20">
        <v>0</v>
      </c>
      <c r="K112" s="20">
        <v>0</v>
      </c>
      <c r="L112" s="20">
        <v>0</v>
      </c>
      <c r="M112" s="20">
        <v>0</v>
      </c>
      <c r="N112" s="21">
        <v>3.6900000000000002E-2</v>
      </c>
      <c r="O112" s="20">
        <v>0</v>
      </c>
      <c r="P112" s="33">
        <v>1339</v>
      </c>
      <c r="Q112" s="18">
        <v>90</v>
      </c>
      <c r="R112" s="25" t="s">
        <v>441</v>
      </c>
      <c r="S112" s="25">
        <f>+I112*Q112</f>
        <v>16.28709677419355</v>
      </c>
      <c r="T112" s="112">
        <v>251714</v>
      </c>
      <c r="U112" s="112"/>
      <c r="V112" s="47" t="s">
        <v>423</v>
      </c>
      <c r="W112" s="47" t="s">
        <v>700</v>
      </c>
    </row>
    <row r="113" spans="1:23" s="47" customFormat="1" x14ac:dyDescent="0.2">
      <c r="A113" s="16" t="s">
        <v>721</v>
      </c>
      <c r="B113" s="18" t="s">
        <v>71</v>
      </c>
      <c r="C113" s="18" t="s">
        <v>723</v>
      </c>
      <c r="D113" s="19">
        <v>36982</v>
      </c>
      <c r="E113" s="19">
        <v>37195</v>
      </c>
      <c r="F113" s="16" t="s">
        <v>724</v>
      </c>
      <c r="G113" s="16" t="s">
        <v>223</v>
      </c>
      <c r="H113" s="18" t="s">
        <v>66</v>
      </c>
      <c r="I113" s="24">
        <v>4.1700000000000001E-2</v>
      </c>
      <c r="J113" s="20">
        <v>0</v>
      </c>
      <c r="K113" s="20">
        <v>0</v>
      </c>
      <c r="L113" s="20">
        <v>0</v>
      </c>
      <c r="M113" s="20">
        <v>0</v>
      </c>
      <c r="N113" s="21">
        <v>3.6900000000000002E-2</v>
      </c>
      <c r="O113" s="20">
        <v>0</v>
      </c>
      <c r="P113" s="33">
        <v>36521</v>
      </c>
      <c r="Q113" s="18">
        <v>10000</v>
      </c>
      <c r="R113" s="25"/>
      <c r="S113" s="492">
        <f>+I113*Q113*$I$1</f>
        <v>12927</v>
      </c>
      <c r="T113" s="112">
        <v>703159</v>
      </c>
      <c r="U113" s="112">
        <v>96006727</v>
      </c>
      <c r="W113" s="47" t="s">
        <v>697</v>
      </c>
    </row>
    <row r="114" spans="1:23" s="47" customFormat="1" x14ac:dyDescent="0.2">
      <c r="A114" s="16" t="s">
        <v>722</v>
      </c>
      <c r="B114" s="18" t="s">
        <v>71</v>
      </c>
      <c r="C114" s="18" t="s">
        <v>301</v>
      </c>
      <c r="D114" s="19">
        <v>36982</v>
      </c>
      <c r="E114" s="19">
        <v>37042</v>
      </c>
      <c r="F114" s="16" t="s">
        <v>725</v>
      </c>
      <c r="G114" s="16" t="s">
        <v>223</v>
      </c>
      <c r="H114" s="18"/>
      <c r="I114" s="24">
        <v>0.125</v>
      </c>
      <c r="J114" s="20"/>
      <c r="K114" s="20"/>
      <c r="L114" s="20"/>
      <c r="M114" s="20"/>
      <c r="N114" s="21"/>
      <c r="O114" s="20"/>
      <c r="P114" s="33">
        <v>36606</v>
      </c>
      <c r="Q114" s="18">
        <v>10000</v>
      </c>
      <c r="R114" s="25"/>
      <c r="S114" s="492">
        <f>+I114*Q114*$I$1</f>
        <v>38750</v>
      </c>
      <c r="T114" s="493" t="s">
        <v>735</v>
      </c>
      <c r="U114" s="112"/>
      <c r="W114" s="47" t="s">
        <v>697</v>
      </c>
    </row>
    <row r="115" spans="1:23" s="47" customFormat="1" x14ac:dyDescent="0.2">
      <c r="A115" s="16" t="s">
        <v>746</v>
      </c>
      <c r="B115" s="18" t="s">
        <v>71</v>
      </c>
      <c r="C115" s="18" t="s">
        <v>301</v>
      </c>
      <c r="D115" s="19">
        <v>37012</v>
      </c>
      <c r="E115" s="19">
        <v>37042</v>
      </c>
      <c r="F115" s="16" t="s">
        <v>746</v>
      </c>
      <c r="G115" s="16" t="s">
        <v>746</v>
      </c>
      <c r="H115" s="18"/>
      <c r="I115" s="24">
        <v>1.4999999999999999E-2</v>
      </c>
      <c r="J115" s="20"/>
      <c r="K115" s="20"/>
      <c r="L115" s="20"/>
      <c r="M115" s="20"/>
      <c r="N115" s="21"/>
      <c r="O115" s="20"/>
      <c r="P115" s="33">
        <v>15692</v>
      </c>
      <c r="Q115" s="18">
        <v>250000</v>
      </c>
      <c r="R115" s="25"/>
      <c r="S115" s="492">
        <f>+Q115*I115</f>
        <v>3750</v>
      </c>
      <c r="T115" s="493"/>
      <c r="U115" s="112"/>
      <c r="W115" s="47" t="s">
        <v>697</v>
      </c>
    </row>
    <row r="116" spans="1:23" s="47" customFormat="1" x14ac:dyDescent="0.2">
      <c r="A116" s="124" t="s">
        <v>746</v>
      </c>
      <c r="B116" s="501" t="s">
        <v>71</v>
      </c>
      <c r="C116" s="501" t="s">
        <v>301</v>
      </c>
      <c r="D116" s="500">
        <v>37226</v>
      </c>
      <c r="E116" s="500">
        <v>37256</v>
      </c>
      <c r="F116" s="124" t="s">
        <v>746</v>
      </c>
      <c r="G116" s="124" t="s">
        <v>746</v>
      </c>
      <c r="H116" s="501"/>
      <c r="I116" s="502">
        <v>1.4999999999999999E-2</v>
      </c>
      <c r="J116" s="503"/>
      <c r="K116" s="503"/>
      <c r="L116" s="503"/>
      <c r="M116" s="503"/>
      <c r="N116" s="504"/>
      <c r="O116" s="503"/>
      <c r="P116" s="505">
        <v>15692</v>
      </c>
      <c r="Q116" s="501">
        <v>250000</v>
      </c>
      <c r="R116" s="506"/>
      <c r="S116" s="507">
        <f>+Q116*I116</f>
        <v>3750</v>
      </c>
      <c r="T116" s="493"/>
      <c r="U116" s="112"/>
      <c r="W116" s="47" t="s">
        <v>697</v>
      </c>
    </row>
    <row r="117" spans="1:23" s="47" customFormat="1" x14ac:dyDescent="0.2">
      <c r="A117" s="124" t="s">
        <v>746</v>
      </c>
      <c r="B117" s="501" t="s">
        <v>71</v>
      </c>
      <c r="C117" s="501" t="s">
        <v>301</v>
      </c>
      <c r="D117" s="500">
        <v>37043</v>
      </c>
      <c r="E117" s="500">
        <v>37225</v>
      </c>
      <c r="F117" s="124" t="s">
        <v>746</v>
      </c>
      <c r="G117" s="124" t="s">
        <v>746</v>
      </c>
      <c r="H117" s="501"/>
      <c r="I117" s="502">
        <v>1.4999999999999999E-2</v>
      </c>
      <c r="J117" s="503"/>
      <c r="K117" s="503"/>
      <c r="L117" s="503"/>
      <c r="M117" s="503"/>
      <c r="N117" s="504"/>
      <c r="O117" s="503"/>
      <c r="P117" s="505">
        <v>15692</v>
      </c>
      <c r="Q117" s="501">
        <v>500000</v>
      </c>
      <c r="R117" s="506"/>
      <c r="S117" s="507">
        <f>+Q117*I117</f>
        <v>7500</v>
      </c>
      <c r="T117" s="493"/>
      <c r="U117" s="112"/>
      <c r="W117" s="47" t="s">
        <v>697</v>
      </c>
    </row>
    <row r="118" spans="1:23" s="47" customFormat="1" x14ac:dyDescent="0.2">
      <c r="A118" s="16" t="s">
        <v>722</v>
      </c>
      <c r="B118" s="18" t="s">
        <v>71</v>
      </c>
      <c r="C118" s="18" t="s">
        <v>301</v>
      </c>
      <c r="D118" s="19">
        <v>36982</v>
      </c>
      <c r="E118" s="19">
        <v>37011</v>
      </c>
      <c r="F118" s="16" t="s">
        <v>725</v>
      </c>
      <c r="G118" s="16" t="s">
        <v>223</v>
      </c>
      <c r="H118" s="18" t="s">
        <v>66</v>
      </c>
      <c r="I118" s="24">
        <v>0.125</v>
      </c>
      <c r="J118" s="20">
        <v>0</v>
      </c>
      <c r="K118" s="20">
        <v>0</v>
      </c>
      <c r="L118" s="20">
        <v>0</v>
      </c>
      <c r="M118" s="20">
        <v>0</v>
      </c>
      <c r="N118" s="21">
        <v>3.6900000000000002E-2</v>
      </c>
      <c r="O118" s="20">
        <v>0</v>
      </c>
      <c r="P118" s="33"/>
      <c r="Q118" s="18">
        <v>10000</v>
      </c>
      <c r="R118" s="25"/>
      <c r="S118" s="25"/>
      <c r="T118" s="112"/>
      <c r="U118" s="112"/>
      <c r="W118" s="47" t="s">
        <v>697</v>
      </c>
    </row>
    <row r="119" spans="1:23" s="47" customFormat="1" ht="12" customHeight="1" x14ac:dyDescent="0.2">
      <c r="A119" s="16" t="s">
        <v>722</v>
      </c>
      <c r="B119" s="18" t="s">
        <v>71</v>
      </c>
      <c r="C119" s="18" t="s">
        <v>301</v>
      </c>
      <c r="D119" s="19">
        <v>36982</v>
      </c>
      <c r="E119" s="19">
        <v>37195</v>
      </c>
      <c r="F119" s="16">
        <v>1</v>
      </c>
      <c r="G119" s="16">
        <v>1</v>
      </c>
      <c r="H119" s="18" t="s">
        <v>68</v>
      </c>
      <c r="I119" s="24">
        <v>0</v>
      </c>
      <c r="J119" s="20"/>
      <c r="K119" s="20"/>
      <c r="L119" s="20"/>
      <c r="M119" s="20"/>
      <c r="N119" s="21"/>
      <c r="O119" s="20"/>
      <c r="P119" s="33">
        <v>36647</v>
      </c>
      <c r="Q119" s="18">
        <v>10000</v>
      </c>
      <c r="R119" s="42"/>
      <c r="S119" s="25">
        <v>0</v>
      </c>
      <c r="T119" s="380" t="s">
        <v>733</v>
      </c>
      <c r="U119" s="112"/>
      <c r="W119" s="47" t="s">
        <v>697</v>
      </c>
    </row>
    <row r="120" spans="1:23" s="47" customFormat="1" ht="12" customHeight="1" x14ac:dyDescent="0.2">
      <c r="A120" s="16"/>
      <c r="B120" s="18"/>
      <c r="C120" s="18"/>
      <c r="D120" s="19"/>
      <c r="E120" s="19"/>
      <c r="F120" s="16"/>
      <c r="G120" s="16"/>
      <c r="H120" s="18"/>
      <c r="I120" s="112"/>
      <c r="J120" s="20"/>
      <c r="K120" s="20"/>
      <c r="L120" s="20"/>
      <c r="M120" s="20"/>
      <c r="N120" s="21"/>
      <c r="O120" s="20"/>
      <c r="P120" s="33"/>
      <c r="Q120" s="18"/>
      <c r="R120" s="42"/>
      <c r="S120" s="223"/>
      <c r="T120" s="112"/>
      <c r="U120" s="112"/>
    </row>
    <row r="121" spans="1:23" s="75" customFormat="1" x14ac:dyDescent="0.2">
      <c r="A121" s="248" t="s">
        <v>45</v>
      </c>
      <c r="B121" s="123" t="s">
        <v>45</v>
      </c>
      <c r="C121" s="123" t="s">
        <v>45</v>
      </c>
      <c r="D121" s="249" t="s">
        <v>45</v>
      </c>
      <c r="E121" s="249" t="s">
        <v>45</v>
      </c>
      <c r="F121" s="248" t="s">
        <v>45</v>
      </c>
      <c r="G121" s="248" t="s">
        <v>45</v>
      </c>
      <c r="H121" s="123" t="s">
        <v>45</v>
      </c>
      <c r="I121" s="250" t="s">
        <v>45</v>
      </c>
      <c r="J121" s="32" t="s">
        <v>45</v>
      </c>
      <c r="K121" s="32" t="s">
        <v>45</v>
      </c>
      <c r="L121" s="32" t="s">
        <v>45</v>
      </c>
      <c r="M121" s="32" t="s">
        <v>46</v>
      </c>
      <c r="N121" s="207" t="s">
        <v>45</v>
      </c>
      <c r="O121" s="32" t="s">
        <v>45</v>
      </c>
      <c r="P121" s="232" t="s">
        <v>45</v>
      </c>
      <c r="Q121" s="123" t="s">
        <v>45</v>
      </c>
      <c r="R121" s="248" t="s">
        <v>45</v>
      </c>
      <c r="S121" s="36"/>
      <c r="T121" s="111"/>
      <c r="U121" s="111"/>
    </row>
    <row r="122" spans="1:23" s="75" customFormat="1" x14ac:dyDescent="0.2">
      <c r="A122" s="248"/>
      <c r="B122" s="123"/>
      <c r="C122" s="123"/>
      <c r="D122" s="249"/>
      <c r="E122" s="249"/>
      <c r="F122" s="248"/>
      <c r="G122" s="248"/>
      <c r="H122" s="123"/>
      <c r="I122" s="250"/>
      <c r="J122" s="32"/>
      <c r="K122" s="32"/>
      <c r="L122" s="32"/>
      <c r="M122" s="32"/>
      <c r="N122" s="333"/>
      <c r="O122" s="32"/>
      <c r="P122" s="355"/>
      <c r="Q122" s="123">
        <f>SUM(Q106:Q121)</f>
        <v>1784923</v>
      </c>
      <c r="R122" s="248" t="s">
        <v>479</v>
      </c>
      <c r="S122" s="36">
        <f>SUM(S106:S121)</f>
        <v>142842.43262258061</v>
      </c>
      <c r="T122" s="236"/>
      <c r="U122" s="111"/>
      <c r="V122" s="111"/>
    </row>
    <row r="123" spans="1:23" s="47" customFormat="1" x14ac:dyDescent="0.2">
      <c r="A123" s="16"/>
      <c r="B123" s="18"/>
      <c r="C123" s="18"/>
      <c r="D123" s="19"/>
      <c r="E123" s="19"/>
      <c r="F123" s="16"/>
      <c r="G123" s="16"/>
      <c r="H123" s="18"/>
      <c r="I123" s="24"/>
      <c r="J123" s="20"/>
      <c r="K123" s="20"/>
      <c r="L123" s="20"/>
      <c r="M123" s="20"/>
      <c r="N123" s="211"/>
      <c r="O123" s="20"/>
      <c r="P123" s="209"/>
      <c r="Q123" s="237"/>
      <c r="R123" s="248" t="s">
        <v>572</v>
      </c>
      <c r="S123" s="36">
        <f>SUM(S106:S112)</f>
        <v>76165.432622580629</v>
      </c>
      <c r="T123" s="229"/>
      <c r="U123" s="112"/>
      <c r="V123" s="112"/>
    </row>
    <row r="124" spans="1:23" s="47" customFormat="1" ht="13.5" thickBot="1" x14ac:dyDescent="0.25">
      <c r="A124" s="16"/>
      <c r="B124" s="18"/>
      <c r="C124" s="18"/>
      <c r="D124" s="19"/>
      <c r="E124" s="19"/>
      <c r="F124" s="16"/>
      <c r="G124" s="16"/>
      <c r="H124" s="18"/>
      <c r="I124" s="24"/>
      <c r="J124" s="20"/>
      <c r="K124" s="20"/>
      <c r="L124" s="20"/>
      <c r="M124" s="20"/>
      <c r="N124" s="211"/>
      <c r="O124" s="20"/>
      <c r="P124" s="209"/>
      <c r="Q124" s="237"/>
      <c r="R124" s="248" t="s">
        <v>573</v>
      </c>
      <c r="S124" s="364">
        <f>+S122-S123</f>
        <v>66676.999999999985</v>
      </c>
      <c r="T124" s="229"/>
      <c r="U124" s="112"/>
      <c r="V124" s="112"/>
    </row>
    <row r="125" spans="1:23" s="47" customFormat="1" ht="13.5" thickTop="1" x14ac:dyDescent="0.2">
      <c r="A125" s="16"/>
      <c r="B125" s="18"/>
      <c r="C125" s="18"/>
      <c r="D125" s="19"/>
      <c r="E125" s="19"/>
      <c r="F125" s="16"/>
      <c r="G125" s="16"/>
      <c r="H125" s="18"/>
      <c r="I125" s="24"/>
      <c r="J125" s="20"/>
      <c r="K125" s="20"/>
      <c r="L125" s="20"/>
      <c r="M125" s="20"/>
      <c r="N125" s="211"/>
      <c r="O125" s="20"/>
      <c r="P125" s="209"/>
      <c r="Q125" s="18"/>
      <c r="R125" s="16"/>
      <c r="S125" s="25"/>
      <c r="T125" s="229"/>
      <c r="U125" s="112"/>
      <c r="V125" s="112"/>
    </row>
    <row r="126" spans="1:23" s="353" customFormat="1" x14ac:dyDescent="0.2">
      <c r="A126" s="346" t="s">
        <v>47</v>
      </c>
      <c r="B126" s="347" t="s">
        <v>48</v>
      </c>
      <c r="C126" s="347" t="s">
        <v>49</v>
      </c>
      <c r="D126" s="348" t="s">
        <v>50</v>
      </c>
      <c r="E126" s="348"/>
      <c r="F126" s="346" t="s">
        <v>51</v>
      </c>
      <c r="G126" s="346" t="s">
        <v>52</v>
      </c>
      <c r="H126" s="347" t="s">
        <v>53</v>
      </c>
      <c r="I126" s="349" t="s">
        <v>54</v>
      </c>
      <c r="J126" s="347" t="s">
        <v>55</v>
      </c>
      <c r="K126" s="347" t="s">
        <v>56</v>
      </c>
      <c r="L126" s="347" t="s">
        <v>57</v>
      </c>
      <c r="M126" s="347" t="s">
        <v>58</v>
      </c>
      <c r="N126" s="354" t="s">
        <v>60</v>
      </c>
      <c r="O126" s="347" t="s">
        <v>61</v>
      </c>
      <c r="P126" s="351" t="s">
        <v>62</v>
      </c>
      <c r="Q126" s="347" t="s">
        <v>63</v>
      </c>
      <c r="R126" s="346" t="s">
        <v>64</v>
      </c>
      <c r="S126" s="341" t="s">
        <v>419</v>
      </c>
      <c r="T126" s="341" t="s">
        <v>420</v>
      </c>
      <c r="U126" s="344"/>
      <c r="V126" s="344"/>
    </row>
    <row r="127" spans="1:23" s="47" customFormat="1" x14ac:dyDescent="0.2">
      <c r="A127" s="16" t="s">
        <v>65</v>
      </c>
      <c r="B127" s="18" t="s">
        <v>71</v>
      </c>
      <c r="C127" s="18" t="s">
        <v>70</v>
      </c>
      <c r="D127" s="19">
        <v>36342</v>
      </c>
      <c r="E127" s="19">
        <v>39172</v>
      </c>
      <c r="F127" s="16" t="s">
        <v>72</v>
      </c>
      <c r="G127" s="16" t="s">
        <v>73</v>
      </c>
      <c r="H127" s="18" t="s">
        <v>68</v>
      </c>
      <c r="I127" s="24">
        <f>10.81/I$1</f>
        <v>0.34870967741935488</v>
      </c>
      <c r="J127" s="20">
        <v>0</v>
      </c>
      <c r="K127" s="20">
        <v>2.2000000000000001E-3</v>
      </c>
      <c r="L127" s="20">
        <v>7.4999999999999997E-3</v>
      </c>
      <c r="M127" s="20">
        <v>0</v>
      </c>
      <c r="N127" s="207">
        <v>1.3100000000000001E-2</v>
      </c>
      <c r="O127" s="20">
        <f>SUM(I127:M127)</f>
        <v>0.35840967741935487</v>
      </c>
      <c r="P127" s="33">
        <v>29667</v>
      </c>
      <c r="Q127" s="18">
        <v>35000</v>
      </c>
      <c r="R127" s="367" t="s">
        <v>580</v>
      </c>
      <c r="S127" s="492">
        <f>I127*I$1*Q127</f>
        <v>378350</v>
      </c>
      <c r="T127" s="25"/>
      <c r="U127" s="112" t="s">
        <v>584</v>
      </c>
      <c r="V127" s="112"/>
      <c r="W127" s="47" t="s">
        <v>697</v>
      </c>
    </row>
    <row r="128" spans="1:23" s="47" customFormat="1" ht="12" customHeight="1" x14ac:dyDescent="0.2">
      <c r="A128" s="16" t="s">
        <v>339</v>
      </c>
      <c r="B128" s="18" t="s">
        <v>515</v>
      </c>
      <c r="C128" s="18" t="s">
        <v>301</v>
      </c>
      <c r="D128" s="19">
        <v>36617</v>
      </c>
      <c r="E128" s="19">
        <v>36829</v>
      </c>
      <c r="F128" s="16">
        <v>4</v>
      </c>
      <c r="G128" s="16">
        <v>6</v>
      </c>
      <c r="H128" s="18" t="s">
        <v>66</v>
      </c>
      <c r="I128" s="24">
        <f>0.76/I$1</f>
        <v>2.4516129032258065E-2</v>
      </c>
      <c r="J128" s="20">
        <v>0</v>
      </c>
      <c r="K128" s="20">
        <v>0</v>
      </c>
      <c r="L128" s="20">
        <v>0</v>
      </c>
      <c r="M128" s="20">
        <v>0</v>
      </c>
      <c r="N128" s="21">
        <v>1.01E-2</v>
      </c>
      <c r="O128" s="20">
        <f>SUM(I128:M128)</f>
        <v>2.4516129032258065E-2</v>
      </c>
      <c r="P128" s="33">
        <v>33141</v>
      </c>
      <c r="Q128" s="18">
        <v>0</v>
      </c>
      <c r="R128" s="42" t="s">
        <v>45</v>
      </c>
      <c r="S128" s="492">
        <f>I128*I$1*Q128</f>
        <v>0</v>
      </c>
      <c r="T128" s="25"/>
      <c r="U128" s="112">
        <v>238860</v>
      </c>
      <c r="V128" s="112"/>
      <c r="W128" s="47" t="s">
        <v>702</v>
      </c>
    </row>
    <row r="129" spans="1:23" s="47" customFormat="1" ht="12" customHeight="1" x14ac:dyDescent="0.2">
      <c r="A129" s="16" t="s">
        <v>659</v>
      </c>
      <c r="B129" s="18" t="s">
        <v>71</v>
      </c>
      <c r="C129" s="18" t="s">
        <v>301</v>
      </c>
      <c r="D129" s="19">
        <v>36896</v>
      </c>
      <c r="E129" s="19">
        <v>36922</v>
      </c>
      <c r="F129" s="16" t="s">
        <v>657</v>
      </c>
      <c r="G129" s="16" t="s">
        <v>658</v>
      </c>
      <c r="H129" s="18" t="s">
        <v>66</v>
      </c>
      <c r="I129" s="24">
        <v>0</v>
      </c>
      <c r="J129" s="20">
        <v>0</v>
      </c>
      <c r="K129" s="20">
        <v>0</v>
      </c>
      <c r="L129" s="20">
        <v>0</v>
      </c>
      <c r="M129" s="20">
        <v>0</v>
      </c>
      <c r="N129" s="21">
        <v>1.01E-2</v>
      </c>
      <c r="O129" s="20">
        <f>SUM(I129:M129)</f>
        <v>0</v>
      </c>
      <c r="P129" s="33">
        <v>2891</v>
      </c>
      <c r="Q129" s="18">
        <v>5000</v>
      </c>
      <c r="R129" s="42" t="s">
        <v>660</v>
      </c>
      <c r="S129" s="494"/>
      <c r="T129" s="25"/>
      <c r="U129" s="112">
        <v>238860</v>
      </c>
      <c r="V129" s="112"/>
      <c r="W129" s="47" t="s">
        <v>697</v>
      </c>
    </row>
    <row r="130" spans="1:23" s="75" customFormat="1" x14ac:dyDescent="0.2">
      <c r="A130" s="248" t="s">
        <v>45</v>
      </c>
      <c r="B130" s="123" t="s">
        <v>45</v>
      </c>
      <c r="C130" s="123" t="s">
        <v>45</v>
      </c>
      <c r="D130" s="249" t="s">
        <v>45</v>
      </c>
      <c r="E130" s="249" t="s">
        <v>45</v>
      </c>
      <c r="F130" s="248" t="s">
        <v>45</v>
      </c>
      <c r="G130" s="248" t="s">
        <v>45</v>
      </c>
      <c r="H130" s="123" t="s">
        <v>45</v>
      </c>
      <c r="I130" s="250" t="s">
        <v>45</v>
      </c>
      <c r="J130" s="32" t="s">
        <v>45</v>
      </c>
      <c r="K130" s="32" t="s">
        <v>45</v>
      </c>
      <c r="L130" s="32" t="s">
        <v>45</v>
      </c>
      <c r="M130" s="32" t="s">
        <v>46</v>
      </c>
      <c r="N130" s="207" t="s">
        <v>45</v>
      </c>
      <c r="O130" s="32" t="s">
        <v>45</v>
      </c>
      <c r="P130" s="232" t="s">
        <v>45</v>
      </c>
      <c r="Q130" s="123" t="s">
        <v>45</v>
      </c>
      <c r="R130" s="248" t="s">
        <v>45</v>
      </c>
      <c r="S130" s="495"/>
      <c r="T130" s="36">
        <f>SUM(T126:T128)</f>
        <v>0</v>
      </c>
      <c r="U130" s="111"/>
      <c r="V130" s="111"/>
    </row>
    <row r="131" spans="1:23" s="75" customFormat="1" x14ac:dyDescent="0.2">
      <c r="A131" s="248"/>
      <c r="B131" s="123"/>
      <c r="C131" s="123">
        <f>65000/12</f>
        <v>5416.666666666667</v>
      </c>
      <c r="D131" s="249"/>
      <c r="E131" s="249"/>
      <c r="F131" s="248"/>
      <c r="G131" s="248"/>
      <c r="H131" s="123"/>
      <c r="I131" s="250"/>
      <c r="J131" s="32"/>
      <c r="K131" s="32"/>
      <c r="L131" s="32"/>
      <c r="M131" s="32"/>
      <c r="N131" s="333"/>
      <c r="O131" s="32"/>
      <c r="P131" s="355"/>
      <c r="Q131" s="123">
        <f>SUM(Q127:Q130)</f>
        <v>40000</v>
      </c>
      <c r="R131" s="248" t="s">
        <v>479</v>
      </c>
      <c r="S131" s="495">
        <f>SUM(S127:S130)</f>
        <v>378350</v>
      </c>
      <c r="T131" s="36"/>
      <c r="U131" s="236"/>
      <c r="V131" s="111"/>
      <c r="W131" s="111"/>
    </row>
    <row r="132" spans="1:23" s="47" customFormat="1" x14ac:dyDescent="0.2">
      <c r="A132" s="16"/>
      <c r="B132" s="18"/>
      <c r="C132" s="18"/>
      <c r="D132" s="19"/>
      <c r="E132" s="19"/>
      <c r="F132" s="16"/>
      <c r="G132" s="16"/>
      <c r="H132" s="18"/>
      <c r="I132" s="24"/>
      <c r="J132" s="20"/>
      <c r="K132" s="20"/>
      <c r="L132" s="20"/>
      <c r="M132" s="20"/>
      <c r="N132" s="211"/>
      <c r="O132" s="20"/>
      <c r="P132" s="209"/>
      <c r="Q132" s="237"/>
      <c r="R132" s="248" t="s">
        <v>572</v>
      </c>
      <c r="S132" s="495">
        <f>SUM(S127)</f>
        <v>378350</v>
      </c>
      <c r="T132" s="25"/>
      <c r="U132" s="229"/>
      <c r="V132" s="112"/>
      <c r="W132" s="112"/>
    </row>
    <row r="133" spans="1:23" s="47" customFormat="1" ht="13.5" thickBot="1" x14ac:dyDescent="0.25">
      <c r="A133" s="16"/>
      <c r="B133" s="18"/>
      <c r="C133" s="18"/>
      <c r="D133" s="19"/>
      <c r="E133" s="19"/>
      <c r="F133" s="16"/>
      <c r="G133" s="16"/>
      <c r="H133" s="18"/>
      <c r="I133" s="24"/>
      <c r="J133" s="20"/>
      <c r="K133" s="20"/>
      <c r="L133" s="20"/>
      <c r="M133" s="20"/>
      <c r="N133" s="211"/>
      <c r="O133" s="20"/>
      <c r="P133" s="209"/>
      <c r="Q133" s="237"/>
      <c r="R133" s="248" t="s">
        <v>573</v>
      </c>
      <c r="S133" s="364">
        <f>+S131-S132</f>
        <v>0</v>
      </c>
      <c r="T133" s="25"/>
      <c r="U133" s="229"/>
      <c r="V133" s="112"/>
      <c r="W133" s="112"/>
    </row>
    <row r="134" spans="1:23" s="47" customFormat="1" ht="13.5" thickTop="1" x14ac:dyDescent="0.2">
      <c r="A134" s="16"/>
      <c r="B134" s="18"/>
      <c r="C134" s="18"/>
      <c r="D134" s="19"/>
      <c r="E134" s="19"/>
      <c r="F134" s="16"/>
      <c r="G134" s="16"/>
      <c r="H134" s="18"/>
      <c r="I134" s="24"/>
      <c r="J134" s="20"/>
      <c r="K134" s="20"/>
      <c r="L134" s="20"/>
      <c r="M134" s="20"/>
      <c r="N134" s="211"/>
      <c r="O134" s="20"/>
      <c r="P134" s="209"/>
      <c r="Q134" s="18"/>
      <c r="R134" s="16"/>
      <c r="S134" s="25"/>
      <c r="T134" s="25"/>
      <c r="U134" s="229"/>
      <c r="V134" s="112"/>
      <c r="W134" s="112"/>
    </row>
    <row r="135" spans="1:23" s="353" customFormat="1" x14ac:dyDescent="0.2">
      <c r="A135" s="346" t="s">
        <v>47</v>
      </c>
      <c r="B135" s="347" t="s">
        <v>48</v>
      </c>
      <c r="C135" s="347" t="s">
        <v>49</v>
      </c>
      <c r="D135" s="348" t="s">
        <v>50</v>
      </c>
      <c r="E135" s="348"/>
      <c r="F135" s="346" t="s">
        <v>51</v>
      </c>
      <c r="G135" s="346" t="s">
        <v>52</v>
      </c>
      <c r="H135" s="347" t="s">
        <v>471</v>
      </c>
      <c r="I135" s="349" t="s">
        <v>54</v>
      </c>
      <c r="J135" s="347" t="s">
        <v>55</v>
      </c>
      <c r="K135" s="347" t="s">
        <v>56</v>
      </c>
      <c r="L135" s="347" t="s">
        <v>57</v>
      </c>
      <c r="M135" s="347" t="s">
        <v>58</v>
      </c>
      <c r="N135" s="350" t="s">
        <v>60</v>
      </c>
      <c r="O135" s="347" t="s">
        <v>61</v>
      </c>
      <c r="P135" s="351" t="s">
        <v>450</v>
      </c>
      <c r="Q135" s="347" t="s">
        <v>63</v>
      </c>
      <c r="R135" s="346" t="s">
        <v>64</v>
      </c>
      <c r="S135" s="341" t="s">
        <v>451</v>
      </c>
      <c r="T135" s="352" t="s">
        <v>453</v>
      </c>
      <c r="U135" s="344"/>
      <c r="V135" s="344"/>
    </row>
    <row r="136" spans="1:23" s="191" customFormat="1" x14ac:dyDescent="0.2">
      <c r="A136" s="436" t="s">
        <v>339</v>
      </c>
      <c r="B136" s="437" t="s">
        <v>473</v>
      </c>
      <c r="C136" s="437" t="s">
        <v>727</v>
      </c>
      <c r="D136" s="438">
        <v>36982</v>
      </c>
      <c r="E136" s="438">
        <v>37195</v>
      </c>
      <c r="F136" s="436" t="s">
        <v>84</v>
      </c>
      <c r="G136" s="436" t="s">
        <v>728</v>
      </c>
      <c r="H136" s="437" t="s">
        <v>45</v>
      </c>
      <c r="I136" s="439">
        <f>0.9171/I$1</f>
        <v>2.9583870967741937E-2</v>
      </c>
      <c r="J136" s="440"/>
      <c r="K136" s="440"/>
      <c r="L136" s="440"/>
      <c r="M136" s="440"/>
      <c r="N136" s="441"/>
      <c r="O136" s="440"/>
      <c r="P136" s="442">
        <v>910077</v>
      </c>
      <c r="Q136" s="437">
        <v>10000</v>
      </c>
      <c r="R136" s="436" t="s">
        <v>45</v>
      </c>
      <c r="S136" s="443">
        <f>I136*$I$1*Q136</f>
        <v>9171</v>
      </c>
      <c r="T136" s="444">
        <v>703658</v>
      </c>
      <c r="U136" s="444"/>
      <c r="V136" s="191" t="s">
        <v>701</v>
      </c>
    </row>
    <row r="137" spans="1:23" s="191" customFormat="1" x14ac:dyDescent="0.2">
      <c r="A137" s="436" t="s">
        <v>339</v>
      </c>
      <c r="B137" s="437" t="s">
        <v>473</v>
      </c>
      <c r="C137" s="437" t="s">
        <v>727</v>
      </c>
      <c r="D137" s="438">
        <v>37012</v>
      </c>
      <c r="E137" s="438">
        <v>37042</v>
      </c>
      <c r="F137" s="436" t="s">
        <v>84</v>
      </c>
      <c r="G137" s="436" t="s">
        <v>728</v>
      </c>
      <c r="H137" s="437" t="s">
        <v>45</v>
      </c>
      <c r="I137" s="439">
        <v>3.7499999999999999E-2</v>
      </c>
      <c r="J137" s="440"/>
      <c r="K137" s="440"/>
      <c r="L137" s="440"/>
      <c r="M137" s="440"/>
      <c r="N137" s="441"/>
      <c r="O137" s="440"/>
      <c r="P137" s="442">
        <v>910140</v>
      </c>
      <c r="Q137" s="437">
        <v>5000</v>
      </c>
      <c r="R137" s="436" t="s">
        <v>45</v>
      </c>
      <c r="S137" s="443">
        <f>I137*$I$1*Q137</f>
        <v>5812.4999999999991</v>
      </c>
      <c r="T137" s="444">
        <v>756703</v>
      </c>
      <c r="U137" s="444"/>
      <c r="V137" s="191" t="s">
        <v>701</v>
      </c>
    </row>
    <row r="138" spans="1:23" s="191" customFormat="1" x14ac:dyDescent="0.2">
      <c r="A138" s="436" t="s">
        <v>339</v>
      </c>
      <c r="B138" s="437" t="s">
        <v>473</v>
      </c>
      <c r="C138" s="437" t="s">
        <v>727</v>
      </c>
      <c r="D138" s="438">
        <v>37012</v>
      </c>
      <c r="E138" s="438">
        <v>37042</v>
      </c>
      <c r="F138" s="436" t="s">
        <v>75</v>
      </c>
      <c r="G138" s="436" t="s">
        <v>95</v>
      </c>
      <c r="H138" s="437" t="s">
        <v>45</v>
      </c>
      <c r="I138" s="439">
        <f>1.5208339*0.0328767</f>
        <v>4.999999988013E-2</v>
      </c>
      <c r="J138" s="440"/>
      <c r="K138" s="440"/>
      <c r="L138" s="440"/>
      <c r="M138" s="440"/>
      <c r="N138" s="441"/>
      <c r="O138" s="440"/>
      <c r="P138" s="442"/>
      <c r="Q138" s="437">
        <v>30000</v>
      </c>
      <c r="R138" s="436" t="s">
        <v>45</v>
      </c>
      <c r="S138" s="443">
        <f>I138*$I$1*Q138</f>
        <v>46499.999888520899</v>
      </c>
      <c r="T138" s="444">
        <v>703670</v>
      </c>
      <c r="U138" s="444"/>
      <c r="V138" s="191" t="s">
        <v>701</v>
      </c>
    </row>
    <row r="139" spans="1:23" s="191" customFormat="1" x14ac:dyDescent="0.2">
      <c r="A139" s="436" t="s">
        <v>730</v>
      </c>
      <c r="B139" s="437" t="s">
        <v>473</v>
      </c>
      <c r="C139" s="437" t="s">
        <v>727</v>
      </c>
      <c r="D139" s="438">
        <v>36982</v>
      </c>
      <c r="E139" s="438">
        <v>36983</v>
      </c>
      <c r="F139" s="436" t="s">
        <v>731</v>
      </c>
      <c r="G139" s="436" t="s">
        <v>208</v>
      </c>
      <c r="H139" s="437" t="s">
        <v>45</v>
      </c>
      <c r="I139" s="439">
        <v>0</v>
      </c>
      <c r="J139" s="440"/>
      <c r="K139" s="440"/>
      <c r="L139" s="440"/>
      <c r="M139" s="440"/>
      <c r="N139" s="441"/>
      <c r="O139" s="440"/>
      <c r="P139" s="442"/>
      <c r="Q139" s="437">
        <v>0</v>
      </c>
      <c r="R139" s="436" t="s">
        <v>732</v>
      </c>
      <c r="S139" s="443">
        <f>I139*$I$1*Q139</f>
        <v>0</v>
      </c>
      <c r="T139" s="444"/>
      <c r="U139" s="444"/>
      <c r="V139" s="191" t="s">
        <v>701</v>
      </c>
    </row>
    <row r="140" spans="1:23" s="75" customFormat="1" x14ac:dyDescent="0.2">
      <c r="A140" s="248"/>
      <c r="B140" s="123"/>
      <c r="C140" s="123"/>
      <c r="D140" s="249"/>
      <c r="E140" s="249"/>
      <c r="F140" s="248"/>
      <c r="G140" s="248"/>
      <c r="H140" s="123"/>
      <c r="I140" s="250"/>
      <c r="J140" s="32"/>
      <c r="K140" s="32"/>
      <c r="L140" s="32"/>
      <c r="M140" s="32"/>
      <c r="N140" s="333"/>
      <c r="O140" s="32"/>
      <c r="P140" s="355"/>
      <c r="Q140" s="123">
        <f>SUM(Q136:Q136)</f>
        <v>10000</v>
      </c>
      <c r="R140" s="248" t="s">
        <v>479</v>
      </c>
      <c r="S140" s="36">
        <f>SUM(S136:S139)</f>
        <v>61483.499888520899</v>
      </c>
      <c r="T140" s="236"/>
      <c r="U140" s="111"/>
      <c r="V140" s="111"/>
    </row>
    <row r="141" spans="1:23" s="47" customFormat="1" x14ac:dyDescent="0.2">
      <c r="A141" s="16"/>
      <c r="B141" s="18"/>
      <c r="C141" s="18"/>
      <c r="D141" s="19"/>
      <c r="E141" s="19"/>
      <c r="F141" s="16"/>
      <c r="G141" s="16"/>
      <c r="H141" s="18"/>
      <c r="I141" s="24"/>
      <c r="J141" s="20"/>
      <c r="K141" s="20"/>
      <c r="L141" s="20"/>
      <c r="M141" s="20"/>
      <c r="N141" s="211"/>
      <c r="O141" s="20"/>
      <c r="P141" s="209"/>
      <c r="Q141" s="237"/>
      <c r="R141" s="248" t="s">
        <v>572</v>
      </c>
      <c r="S141" s="36">
        <v>0</v>
      </c>
      <c r="T141" s="229"/>
      <c r="U141" s="112"/>
      <c r="V141" s="112"/>
    </row>
    <row r="142" spans="1:23" s="47" customFormat="1" ht="13.5" thickBot="1" x14ac:dyDescent="0.25">
      <c r="A142" s="16"/>
      <c r="B142" s="18"/>
      <c r="C142" s="18"/>
      <c r="D142" s="19"/>
      <c r="E142" s="19"/>
      <c r="F142" s="16"/>
      <c r="G142" s="16"/>
      <c r="H142" s="18"/>
      <c r="I142" s="24"/>
      <c r="J142" s="20"/>
      <c r="K142" s="20"/>
      <c r="L142" s="20"/>
      <c r="M142" s="20"/>
      <c r="N142" s="211"/>
      <c r="O142" s="20"/>
      <c r="P142" s="209"/>
      <c r="Q142" s="237"/>
      <c r="R142" s="248" t="s">
        <v>573</v>
      </c>
      <c r="S142" s="365">
        <f>+S140-S141</f>
        <v>61483.499888520899</v>
      </c>
      <c r="T142" s="229"/>
      <c r="U142" s="112"/>
      <c r="V142" s="112"/>
    </row>
    <row r="143" spans="1:23" s="47" customFormat="1" ht="13.5" thickTop="1" x14ac:dyDescent="0.2">
      <c r="A143" s="16"/>
      <c r="B143" s="18"/>
      <c r="C143" s="18"/>
      <c r="D143" s="19"/>
      <c r="E143" s="19"/>
      <c r="F143" s="16"/>
      <c r="G143" s="16"/>
      <c r="H143" s="18"/>
      <c r="I143" s="24"/>
      <c r="J143" s="20"/>
      <c r="K143" s="20"/>
      <c r="L143" s="20"/>
      <c r="M143" s="20"/>
      <c r="N143" s="211"/>
      <c r="O143" s="20"/>
      <c r="P143" s="209"/>
      <c r="Q143" s="18"/>
      <c r="R143" s="16"/>
      <c r="S143" s="25"/>
      <c r="T143" s="229"/>
      <c r="U143" s="112"/>
      <c r="V143" s="112"/>
    </row>
    <row r="144" spans="1:23" s="353" customFormat="1" x14ac:dyDescent="0.2">
      <c r="A144" s="346" t="s">
        <v>47</v>
      </c>
      <c r="B144" s="347" t="s">
        <v>48</v>
      </c>
      <c r="C144" s="347" t="s">
        <v>49</v>
      </c>
      <c r="D144" s="348" t="s">
        <v>50</v>
      </c>
      <c r="E144" s="348"/>
      <c r="F144" s="346" t="s">
        <v>51</v>
      </c>
      <c r="G144" s="346" t="s">
        <v>52</v>
      </c>
      <c r="H144" s="347" t="s">
        <v>53</v>
      </c>
      <c r="I144" s="349" t="s">
        <v>54</v>
      </c>
      <c r="J144" s="347" t="s">
        <v>55</v>
      </c>
      <c r="K144" s="347" t="s">
        <v>56</v>
      </c>
      <c r="L144" s="347" t="s">
        <v>57</v>
      </c>
      <c r="M144" s="347" t="s">
        <v>58</v>
      </c>
      <c r="N144" s="354" t="s">
        <v>60</v>
      </c>
      <c r="O144" s="347" t="s">
        <v>61</v>
      </c>
      <c r="P144" s="351" t="s">
        <v>62</v>
      </c>
      <c r="Q144" s="347" t="s">
        <v>63</v>
      </c>
      <c r="R144" s="346" t="s">
        <v>64</v>
      </c>
      <c r="S144" s="341" t="s">
        <v>419</v>
      </c>
      <c r="T144" s="344"/>
      <c r="U144" s="344"/>
    </row>
    <row r="145" spans="1:22" s="191" customFormat="1" x14ac:dyDescent="0.2">
      <c r="A145" s="436" t="s">
        <v>339</v>
      </c>
      <c r="B145" s="437" t="s">
        <v>546</v>
      </c>
      <c r="C145" s="437" t="s">
        <v>612</v>
      </c>
      <c r="D145" s="438">
        <v>36982</v>
      </c>
      <c r="E145" s="438">
        <v>37195</v>
      </c>
      <c r="F145" s="436" t="s">
        <v>622</v>
      </c>
      <c r="G145" s="436" t="s">
        <v>623</v>
      </c>
      <c r="H145" s="437" t="s">
        <v>516</v>
      </c>
      <c r="I145" s="490">
        <v>5.0000000000000001E-3</v>
      </c>
      <c r="J145" s="440"/>
      <c r="K145" s="440"/>
      <c r="L145" s="440"/>
      <c r="M145" s="440"/>
      <c r="N145" s="441"/>
      <c r="O145" s="440"/>
      <c r="P145" s="442" t="s">
        <v>736</v>
      </c>
      <c r="Q145" s="437">
        <v>15994</v>
      </c>
      <c r="R145" s="436" t="s">
        <v>737</v>
      </c>
      <c r="S145" s="495">
        <f>+I145*Q145*I$1</f>
        <v>2479.0700000000002</v>
      </c>
      <c r="T145" s="491" t="s">
        <v>738</v>
      </c>
      <c r="U145" s="444"/>
      <c r="V145" s="191" t="s">
        <v>697</v>
      </c>
    </row>
    <row r="146" spans="1:22" s="191" customFormat="1" x14ac:dyDescent="0.2">
      <c r="A146" s="436" t="s">
        <v>339</v>
      </c>
      <c r="B146" s="437" t="s">
        <v>546</v>
      </c>
      <c r="C146" s="437" t="s">
        <v>612</v>
      </c>
      <c r="D146" s="438">
        <v>36982</v>
      </c>
      <c r="E146" s="438">
        <v>37195</v>
      </c>
      <c r="F146" s="436" t="s">
        <v>622</v>
      </c>
      <c r="G146" s="436" t="s">
        <v>623</v>
      </c>
      <c r="H146" s="437" t="s">
        <v>516</v>
      </c>
      <c r="I146" s="490">
        <v>5.0000000000000001E-3</v>
      </c>
      <c r="J146" s="440"/>
      <c r="K146" s="440"/>
      <c r="L146" s="440"/>
      <c r="M146" s="440"/>
      <c r="N146" s="441"/>
      <c r="O146" s="440"/>
      <c r="P146" s="442" t="s">
        <v>739</v>
      </c>
      <c r="Q146" s="437">
        <v>1006</v>
      </c>
      <c r="R146" s="436" t="s">
        <v>740</v>
      </c>
      <c r="S146" s="495">
        <f>+I146*Q146*I$1</f>
        <v>155.93</v>
      </c>
      <c r="T146" s="491" t="s">
        <v>741</v>
      </c>
      <c r="U146" s="444"/>
    </row>
    <row r="147" spans="1:22" s="75" customFormat="1" x14ac:dyDescent="0.2">
      <c r="A147" s="248"/>
      <c r="B147" s="123"/>
      <c r="C147" s="123"/>
      <c r="D147" s="249"/>
      <c r="E147" s="249"/>
      <c r="F147" s="248"/>
      <c r="G147" s="248"/>
      <c r="H147" s="123"/>
      <c r="I147" s="250"/>
      <c r="J147" s="32"/>
      <c r="K147" s="32"/>
      <c r="L147" s="32"/>
      <c r="M147" s="32"/>
      <c r="N147" s="207" t="s">
        <v>45</v>
      </c>
      <c r="O147" s="32"/>
      <c r="P147" s="232"/>
      <c r="Q147" s="123"/>
      <c r="R147" s="248" t="s">
        <v>45</v>
      </c>
      <c r="S147" s="495"/>
      <c r="T147" s="111"/>
      <c r="U147" s="111"/>
    </row>
    <row r="148" spans="1:22" s="75" customFormat="1" x14ac:dyDescent="0.2">
      <c r="A148" s="248"/>
      <c r="B148" s="123"/>
      <c r="C148" s="123"/>
      <c r="D148" s="249"/>
      <c r="E148" s="249"/>
      <c r="F148" s="248"/>
      <c r="G148" s="248"/>
      <c r="H148" s="123"/>
      <c r="I148" s="250"/>
      <c r="J148" s="32"/>
      <c r="K148" s="32"/>
      <c r="L148" s="32"/>
      <c r="M148" s="32"/>
      <c r="N148" s="333"/>
      <c r="O148" s="32"/>
      <c r="P148" s="355"/>
      <c r="Q148" s="123">
        <f>SUM(Q145:Q147)</f>
        <v>17000</v>
      </c>
      <c r="R148" s="248" t="s">
        <v>479</v>
      </c>
      <c r="S148" s="495">
        <f>SUM(S145:S147)</f>
        <v>2635</v>
      </c>
      <c r="T148" s="236"/>
      <c r="U148" s="111"/>
      <c r="V148" s="111"/>
    </row>
    <row r="149" spans="1:22" s="47" customFormat="1" x14ac:dyDescent="0.2">
      <c r="A149" s="16"/>
      <c r="B149" s="18"/>
      <c r="C149" s="18"/>
      <c r="D149" s="19"/>
      <c r="E149" s="19"/>
      <c r="F149" s="16"/>
      <c r="G149" s="16"/>
      <c r="H149" s="18"/>
      <c r="I149" s="24"/>
      <c r="J149" s="20"/>
      <c r="K149" s="20"/>
      <c r="L149" s="20"/>
      <c r="M149" s="20"/>
      <c r="N149" s="211"/>
      <c r="O149" s="20"/>
      <c r="P149" s="209"/>
      <c r="Q149" s="237"/>
      <c r="R149" s="248" t="s">
        <v>572</v>
      </c>
      <c r="S149" s="495">
        <v>0</v>
      </c>
      <c r="T149" s="229"/>
      <c r="U149" s="112"/>
      <c r="V149" s="112"/>
    </row>
    <row r="150" spans="1:22" s="47" customFormat="1" ht="13.5" thickBot="1" x14ac:dyDescent="0.25">
      <c r="A150" s="16"/>
      <c r="B150" s="18"/>
      <c r="C150" s="18"/>
      <c r="D150" s="19"/>
      <c r="E150" s="19"/>
      <c r="F150" s="16"/>
      <c r="G150" s="16"/>
      <c r="H150" s="18"/>
      <c r="I150" s="24"/>
      <c r="J150" s="20"/>
      <c r="K150" s="20"/>
      <c r="L150" s="20"/>
      <c r="M150" s="20"/>
      <c r="N150" s="211"/>
      <c r="O150" s="20"/>
      <c r="P150" s="209"/>
      <c r="Q150" s="237"/>
      <c r="R150" s="248" t="s">
        <v>573</v>
      </c>
      <c r="S150" s="496">
        <f>+S148-S149</f>
        <v>2635</v>
      </c>
      <c r="T150" s="229"/>
      <c r="U150" s="112"/>
      <c r="V150" s="112"/>
    </row>
    <row r="151" spans="1:22" s="47" customFormat="1" ht="13.5" thickTop="1" x14ac:dyDescent="0.2">
      <c r="A151" s="16"/>
      <c r="B151" s="18"/>
      <c r="C151" s="18"/>
      <c r="D151" s="19"/>
      <c r="E151" s="19"/>
      <c r="F151" s="16"/>
      <c r="G151" s="16"/>
      <c r="H151" s="18"/>
      <c r="I151" s="24"/>
      <c r="J151" s="20"/>
      <c r="K151" s="20"/>
      <c r="L151" s="20"/>
      <c r="M151" s="20"/>
      <c r="N151" s="211"/>
      <c r="O151" s="20"/>
      <c r="P151" s="209"/>
      <c r="Q151" s="18"/>
      <c r="R151" s="16"/>
      <c r="S151" s="25"/>
      <c r="T151" s="229"/>
      <c r="U151" s="112"/>
      <c r="V151" s="112"/>
    </row>
    <row r="152" spans="1:22" s="353" customFormat="1" x14ac:dyDescent="0.2">
      <c r="A152" s="346" t="s">
        <v>47</v>
      </c>
      <c r="B152" s="347" t="s">
        <v>48</v>
      </c>
      <c r="C152" s="347" t="s">
        <v>49</v>
      </c>
      <c r="D152" s="348" t="s">
        <v>50</v>
      </c>
      <c r="E152" s="348"/>
      <c r="F152" s="346" t="s">
        <v>51</v>
      </c>
      <c r="G152" s="346" t="s">
        <v>52</v>
      </c>
      <c r="H152" s="347" t="s">
        <v>53</v>
      </c>
      <c r="I152" s="349" t="s">
        <v>54</v>
      </c>
      <c r="J152" s="347" t="s">
        <v>55</v>
      </c>
      <c r="K152" s="347" t="s">
        <v>56</v>
      </c>
      <c r="L152" s="347" t="s">
        <v>57</v>
      </c>
      <c r="M152" s="347" t="s">
        <v>58</v>
      </c>
      <c r="N152" s="347" t="s">
        <v>59</v>
      </c>
      <c r="O152" s="347" t="s">
        <v>61</v>
      </c>
      <c r="P152" s="351" t="s">
        <v>62</v>
      </c>
      <c r="Q152" s="347" t="s">
        <v>63</v>
      </c>
      <c r="R152" s="346" t="s">
        <v>64</v>
      </c>
      <c r="S152" s="356" t="s">
        <v>419</v>
      </c>
      <c r="T152" s="344"/>
      <c r="U152" s="344"/>
    </row>
    <row r="153" spans="1:22" x14ac:dyDescent="0.2">
      <c r="A153" s="16" t="s">
        <v>339</v>
      </c>
      <c r="B153" s="17" t="s">
        <v>439</v>
      </c>
      <c r="C153" s="18" t="s">
        <v>439</v>
      </c>
      <c r="D153" s="19">
        <v>37012</v>
      </c>
      <c r="E153" s="19">
        <v>37042</v>
      </c>
      <c r="F153" s="16" t="s">
        <v>729</v>
      </c>
      <c r="G153" s="16" t="s">
        <v>474</v>
      </c>
      <c r="H153" s="17" t="s">
        <v>66</v>
      </c>
      <c r="I153" s="24">
        <f>0.465/I$1</f>
        <v>1.5000000000000001E-2</v>
      </c>
      <c r="J153" s="20"/>
      <c r="K153" s="20"/>
      <c r="L153" s="20"/>
      <c r="M153" s="20"/>
      <c r="N153" s="20"/>
      <c r="O153" s="20"/>
      <c r="P153" s="404">
        <v>3.8896999999999999</v>
      </c>
      <c r="Q153" s="18">
        <v>2174</v>
      </c>
      <c r="R153" s="16" t="s">
        <v>747</v>
      </c>
      <c r="S153" s="25">
        <f>I153*$I$1*Q153</f>
        <v>1010.9100000000001</v>
      </c>
      <c r="T153" s="112">
        <v>761664</v>
      </c>
      <c r="U153" s="112"/>
      <c r="V153" s="34" t="s">
        <v>701</v>
      </c>
    </row>
    <row r="154" spans="1:22" s="537" customFormat="1" x14ac:dyDescent="0.2">
      <c r="A154" s="159" t="s">
        <v>339</v>
      </c>
      <c r="B154" s="530" t="s">
        <v>439</v>
      </c>
      <c r="C154" s="160" t="s">
        <v>439</v>
      </c>
      <c r="D154" s="531">
        <v>37043</v>
      </c>
      <c r="E154" s="531">
        <v>37195</v>
      </c>
      <c r="F154" s="159" t="s">
        <v>729</v>
      </c>
      <c r="G154" s="159" t="s">
        <v>474</v>
      </c>
      <c r="H154" s="530" t="s">
        <v>66</v>
      </c>
      <c r="I154" s="532">
        <f>0.458/I$1</f>
        <v>1.4774193548387098E-2</v>
      </c>
      <c r="J154" s="533"/>
      <c r="K154" s="533"/>
      <c r="L154" s="533"/>
      <c r="M154" s="533"/>
      <c r="N154" s="533"/>
      <c r="O154" s="533"/>
      <c r="P154" s="534">
        <v>3.9039999999999999</v>
      </c>
      <c r="Q154" s="160">
        <v>2174</v>
      </c>
      <c r="R154" s="159" t="s">
        <v>777</v>
      </c>
      <c r="S154" s="535">
        <v>0</v>
      </c>
      <c r="T154" s="536">
        <v>796450</v>
      </c>
      <c r="U154" s="536"/>
      <c r="V154" s="537" t="s">
        <v>701</v>
      </c>
    </row>
    <row r="155" spans="1:22" x14ac:dyDescent="0.2">
      <c r="A155" s="16" t="s">
        <v>65</v>
      </c>
      <c r="B155" s="17" t="s">
        <v>439</v>
      </c>
      <c r="C155" s="18" t="s">
        <v>439</v>
      </c>
      <c r="D155" s="19">
        <v>37012</v>
      </c>
      <c r="E155" s="19">
        <v>37376</v>
      </c>
      <c r="F155" s="16" t="s">
        <v>773</v>
      </c>
      <c r="G155" s="16" t="s">
        <v>774</v>
      </c>
      <c r="H155" s="17" t="s">
        <v>68</v>
      </c>
      <c r="I155" s="24">
        <f>10.9043/I$1</f>
        <v>0.35175161290322576</v>
      </c>
      <c r="J155" s="20"/>
      <c r="K155" s="20"/>
      <c r="L155" s="20"/>
      <c r="M155" s="20"/>
      <c r="N155" s="20"/>
      <c r="O155" s="20"/>
      <c r="P155" s="404">
        <v>3.8923999999999999</v>
      </c>
      <c r="Q155" s="18">
        <v>1700</v>
      </c>
      <c r="R155" s="16" t="s">
        <v>775</v>
      </c>
      <c r="S155" s="25">
        <f>I155*$I$1*Q155</f>
        <v>18537.309999999998</v>
      </c>
      <c r="T155" s="112">
        <v>759549</v>
      </c>
      <c r="U155" s="112"/>
      <c r="V155" s="34"/>
    </row>
    <row r="156" spans="1:22" x14ac:dyDescent="0.2">
      <c r="A156" s="16" t="s">
        <v>65</v>
      </c>
      <c r="B156" s="17" t="s">
        <v>439</v>
      </c>
      <c r="C156" s="18" t="s">
        <v>439</v>
      </c>
      <c r="D156" s="19">
        <v>37012</v>
      </c>
      <c r="E156" s="19">
        <v>37376</v>
      </c>
      <c r="F156" s="16" t="s">
        <v>773</v>
      </c>
      <c r="G156" s="16" t="s">
        <v>774</v>
      </c>
      <c r="H156" s="17" t="s">
        <v>68</v>
      </c>
      <c r="I156" s="24">
        <f>10.9043/I$1</f>
        <v>0.35175161290322576</v>
      </c>
      <c r="J156" s="20"/>
      <c r="K156" s="20"/>
      <c r="L156" s="20"/>
      <c r="M156" s="20"/>
      <c r="N156" s="20"/>
      <c r="O156" s="20"/>
      <c r="P156" s="404">
        <v>3.8923999999999999</v>
      </c>
      <c r="Q156" s="18">
        <v>2500</v>
      </c>
      <c r="R156" s="16" t="s">
        <v>775</v>
      </c>
      <c r="S156" s="25">
        <f>I156*$I$1*Q156</f>
        <v>27260.749999999996</v>
      </c>
      <c r="T156" s="112">
        <v>759549</v>
      </c>
      <c r="U156" s="112"/>
      <c r="V156" s="34"/>
    </row>
    <row r="157" spans="1:22" x14ac:dyDescent="0.2">
      <c r="A157" s="16" t="s">
        <v>65</v>
      </c>
      <c r="B157" s="17" t="s">
        <v>439</v>
      </c>
      <c r="C157" s="18" t="s">
        <v>439</v>
      </c>
      <c r="D157" s="19">
        <v>37012</v>
      </c>
      <c r="E157" s="19">
        <v>37376</v>
      </c>
      <c r="F157" s="16" t="s">
        <v>773</v>
      </c>
      <c r="G157" s="16" t="s">
        <v>774</v>
      </c>
      <c r="H157" s="17" t="s">
        <v>68</v>
      </c>
      <c r="I157" s="24">
        <f>10.9043/I$1</f>
        <v>0.35175161290322576</v>
      </c>
      <c r="J157" s="20"/>
      <c r="K157" s="20"/>
      <c r="L157" s="20"/>
      <c r="M157" s="20"/>
      <c r="N157" s="20"/>
      <c r="O157" s="20"/>
      <c r="P157" s="404">
        <v>3.8923999999999999</v>
      </c>
      <c r="Q157" s="18">
        <v>5800</v>
      </c>
      <c r="R157" s="16" t="s">
        <v>775</v>
      </c>
      <c r="S157" s="25">
        <f>I157*$I$1*Q157</f>
        <v>63244.939999999995</v>
      </c>
      <c r="T157" s="112">
        <v>759549</v>
      </c>
      <c r="U157" s="112"/>
      <c r="V157" s="34"/>
    </row>
    <row r="158" spans="1:22" x14ac:dyDescent="0.2">
      <c r="N158" s="34"/>
      <c r="P158" s="47"/>
      <c r="Q158" s="47"/>
      <c r="S158" s="331"/>
      <c r="V158" s="34"/>
    </row>
    <row r="159" spans="1:22" s="75" customFormat="1" x14ac:dyDescent="0.2">
      <c r="A159" s="248"/>
      <c r="B159" s="123"/>
      <c r="C159" s="123"/>
      <c r="D159" s="249"/>
      <c r="E159" s="249"/>
      <c r="F159" s="248"/>
      <c r="G159" s="248"/>
      <c r="H159" s="123"/>
      <c r="I159" s="250"/>
      <c r="J159" s="32"/>
      <c r="K159" s="32"/>
      <c r="L159" s="32"/>
      <c r="M159" s="32"/>
      <c r="N159" s="333"/>
      <c r="O159" s="32"/>
      <c r="P159" s="355"/>
      <c r="Q159" s="123">
        <f>SUM(Q153:Q158)</f>
        <v>14348</v>
      </c>
      <c r="R159" s="248" t="s">
        <v>479</v>
      </c>
      <c r="S159" s="36">
        <f>SUM(S153:S158)</f>
        <v>110053.90999999999</v>
      </c>
      <c r="T159" s="236"/>
      <c r="U159" s="111"/>
      <c r="V159" s="111"/>
    </row>
    <row r="160" spans="1:22" s="47" customFormat="1" x14ac:dyDescent="0.2">
      <c r="A160" s="16"/>
      <c r="B160" s="18"/>
      <c r="C160" s="18"/>
      <c r="D160" s="19"/>
      <c r="E160" s="19"/>
      <c r="F160" s="16"/>
      <c r="G160" s="16"/>
      <c r="H160" s="18"/>
      <c r="I160" s="24"/>
      <c r="J160" s="20"/>
      <c r="K160" s="20"/>
      <c r="L160" s="20"/>
      <c r="M160" s="20"/>
      <c r="N160" s="211"/>
      <c r="O160" s="20"/>
      <c r="P160" s="209"/>
      <c r="Q160" s="237"/>
      <c r="R160" s="248" t="s">
        <v>572</v>
      </c>
      <c r="S160" s="36">
        <f>SUM(S155:S157)</f>
        <v>109043</v>
      </c>
      <c r="T160" s="229"/>
      <c r="U160" s="112"/>
      <c r="V160" s="112"/>
    </row>
    <row r="161" spans="1:22" s="47" customFormat="1" ht="13.5" thickBot="1" x14ac:dyDescent="0.25">
      <c r="A161" s="16"/>
      <c r="B161" s="18"/>
      <c r="C161" s="18"/>
      <c r="D161" s="19"/>
      <c r="E161" s="19"/>
      <c r="F161" s="16"/>
      <c r="G161" s="16"/>
      <c r="H161" s="18"/>
      <c r="I161" s="24"/>
      <c r="J161" s="20"/>
      <c r="K161" s="20"/>
      <c r="L161" s="20"/>
      <c r="M161" s="20"/>
      <c r="N161" s="211"/>
      <c r="O161" s="20"/>
      <c r="P161" s="209"/>
      <c r="Q161" s="237"/>
      <c r="R161" s="248" t="s">
        <v>573</v>
      </c>
      <c r="S161" s="365">
        <f>+S159-S160</f>
        <v>1010.9099999999889</v>
      </c>
      <c r="T161" s="229"/>
      <c r="U161" s="112"/>
      <c r="V161" s="112"/>
    </row>
    <row r="162" spans="1:22" s="47" customFormat="1" ht="13.5" thickTop="1" x14ac:dyDescent="0.2">
      <c r="A162" s="16"/>
      <c r="B162" s="18"/>
      <c r="C162" s="18"/>
      <c r="D162" s="19"/>
      <c r="E162" s="19"/>
      <c r="F162" s="16"/>
      <c r="G162" s="16"/>
      <c r="H162" s="18"/>
      <c r="I162" s="24"/>
      <c r="J162" s="20"/>
      <c r="K162" s="20"/>
      <c r="L162" s="20"/>
      <c r="M162" s="20"/>
      <c r="N162" s="211"/>
      <c r="O162" s="20"/>
      <c r="P162" s="209"/>
      <c r="Q162" s="18"/>
      <c r="R162" s="16"/>
      <c r="S162" s="25"/>
      <c r="T162" s="229"/>
      <c r="U162" s="112"/>
      <c r="V162" s="112"/>
    </row>
    <row r="163" spans="1:22" x14ac:dyDescent="0.2">
      <c r="A163" s="16"/>
      <c r="B163" s="18"/>
      <c r="C163" s="18"/>
      <c r="D163" s="19"/>
      <c r="E163" s="19"/>
      <c r="F163" s="16"/>
      <c r="G163" s="16"/>
      <c r="H163" s="18"/>
      <c r="I163" s="24"/>
      <c r="J163" s="20"/>
      <c r="K163" s="32"/>
      <c r="L163" s="20"/>
      <c r="M163" s="20"/>
      <c r="N163" s="211"/>
      <c r="O163" s="20"/>
      <c r="P163" s="232"/>
      <c r="Q163" s="237"/>
      <c r="R163" s="123"/>
      <c r="S163" s="357"/>
      <c r="T163" s="223"/>
      <c r="U163" s="112"/>
      <c r="V163" s="112"/>
    </row>
    <row r="164" spans="1:22" x14ac:dyDescent="0.2">
      <c r="A164" s="16"/>
      <c r="B164" s="18"/>
      <c r="C164" s="18"/>
      <c r="D164" s="19"/>
      <c r="E164" s="19"/>
      <c r="F164" s="16"/>
      <c r="G164" s="16"/>
      <c r="H164" s="18"/>
      <c r="I164" s="24"/>
      <c r="J164" s="20"/>
      <c r="K164" s="32"/>
      <c r="L164" s="20"/>
      <c r="M164" s="20"/>
      <c r="N164" s="230"/>
      <c r="O164" s="20"/>
      <c r="P164" s="232"/>
      <c r="Q164" s="123"/>
      <c r="R164" s="123"/>
      <c r="S164" s="75"/>
      <c r="T164" s="239"/>
      <c r="U164" s="231"/>
      <c r="V164" s="231"/>
    </row>
    <row r="165" spans="1:22" x14ac:dyDescent="0.2">
      <c r="A165" s="16"/>
      <c r="B165" s="18"/>
      <c r="C165" s="18"/>
      <c r="D165" s="19" t="s">
        <v>45</v>
      </c>
      <c r="E165" s="19"/>
      <c r="F165" s="16"/>
      <c r="G165" s="16"/>
      <c r="H165" s="18"/>
      <c r="I165" s="24"/>
      <c r="J165" s="20"/>
      <c r="K165" s="32"/>
      <c r="L165" s="20"/>
      <c r="M165" s="20"/>
      <c r="N165" s="211"/>
      <c r="O165" s="20"/>
      <c r="P165" s="232"/>
      <c r="Q165" s="41"/>
      <c r="R165" s="233"/>
      <c r="S165" s="234"/>
      <c r="T165" s="236"/>
      <c r="U165" s="111"/>
      <c r="V165" s="111"/>
    </row>
    <row r="166" spans="1:22" x14ac:dyDescent="0.2">
      <c r="A166" s="35"/>
      <c r="B166" s="18"/>
      <c r="C166" s="18"/>
      <c r="D166" s="19"/>
      <c r="E166" s="19"/>
      <c r="F166" s="16"/>
      <c r="G166" s="16"/>
      <c r="H166" s="18"/>
      <c r="I166" s="24"/>
      <c r="J166" s="20"/>
      <c r="K166" s="20"/>
      <c r="L166" s="20"/>
      <c r="M166" s="20"/>
      <c r="N166" s="211"/>
      <c r="O166" s="20"/>
      <c r="P166" s="232"/>
      <c r="Q166" s="237"/>
      <c r="R166" s="410"/>
      <c r="S166" s="234"/>
      <c r="T166" s="212"/>
      <c r="U166" s="111"/>
      <c r="V166" s="111"/>
    </row>
    <row r="167" spans="1:22" x14ac:dyDescent="0.2">
      <c r="A167" s="35"/>
      <c r="B167" s="18"/>
      <c r="C167" s="18"/>
      <c r="D167" s="19"/>
      <c r="E167" s="19"/>
      <c r="F167" s="16"/>
      <c r="G167" s="16"/>
      <c r="H167" s="18"/>
      <c r="I167" s="20"/>
      <c r="J167" s="20"/>
      <c r="K167" s="20"/>
      <c r="L167" s="20"/>
      <c r="M167" s="20"/>
      <c r="N167" s="211"/>
      <c r="O167" s="20"/>
      <c r="P167" s="232"/>
      <c r="Q167" s="237"/>
      <c r="R167" s="36"/>
      <c r="S167" s="234"/>
      <c r="T167" s="212"/>
      <c r="U167" s="111"/>
      <c r="V167" s="111"/>
    </row>
    <row r="168" spans="1:22" x14ac:dyDescent="0.2">
      <c r="A168" s="35"/>
      <c r="B168" s="18"/>
      <c r="C168" s="18"/>
      <c r="D168" s="19"/>
      <c r="E168" s="19"/>
      <c r="F168" s="16"/>
      <c r="G168" s="16"/>
      <c r="H168" s="18"/>
      <c r="I168" s="24"/>
      <c r="J168" s="20"/>
      <c r="K168" s="20"/>
      <c r="L168" s="20"/>
      <c r="M168" s="20"/>
      <c r="N168" s="211"/>
      <c r="O168" s="20"/>
      <c r="P168" s="232"/>
      <c r="Q168" s="237"/>
      <c r="R168" s="36"/>
      <c r="S168" s="234"/>
      <c r="T168" s="212"/>
      <c r="U168" s="111"/>
      <c r="V168" s="111"/>
    </row>
    <row r="169" spans="1:22" x14ac:dyDescent="0.2">
      <c r="A169" s="35"/>
      <c r="B169" s="18"/>
      <c r="C169" s="18"/>
      <c r="D169" s="19"/>
      <c r="E169" s="19"/>
      <c r="F169" s="16"/>
      <c r="G169" s="16"/>
      <c r="H169" s="18"/>
      <c r="I169" s="20"/>
      <c r="J169" s="20"/>
      <c r="K169" s="20"/>
      <c r="L169" s="20"/>
      <c r="M169" s="20"/>
      <c r="N169" s="211"/>
      <c r="O169" s="20"/>
      <c r="P169" s="232"/>
      <c r="Q169" s="237"/>
      <c r="R169" s="36"/>
      <c r="S169" s="36"/>
      <c r="T169" s="212"/>
      <c r="U169" s="111"/>
      <c r="V169" s="111"/>
    </row>
    <row r="170" spans="1:22" x14ac:dyDescent="0.2">
      <c r="A170" s="35"/>
      <c r="B170" s="18"/>
      <c r="C170" s="18"/>
      <c r="D170" s="19"/>
      <c r="E170" s="19"/>
      <c r="F170" s="16"/>
      <c r="G170" s="16"/>
      <c r="H170" s="18"/>
      <c r="I170" s="24"/>
      <c r="J170" s="20"/>
      <c r="K170" s="20"/>
      <c r="L170" s="20"/>
      <c r="M170" s="20"/>
      <c r="N170" s="211"/>
      <c r="O170" s="20"/>
      <c r="P170" s="232"/>
      <c r="Q170" s="237"/>
      <c r="R170" s="36"/>
      <c r="S170" s="36"/>
      <c r="T170" s="212"/>
      <c r="U170" s="111"/>
      <c r="V170" s="111"/>
    </row>
    <row r="171" spans="1:22" x14ac:dyDescent="0.2">
      <c r="A171" s="35"/>
      <c r="B171" s="18"/>
      <c r="C171" s="18"/>
      <c r="D171" s="19"/>
      <c r="E171" s="19"/>
      <c r="F171" s="16"/>
      <c r="G171" s="16"/>
      <c r="H171" s="18"/>
      <c r="I171" s="20"/>
      <c r="J171" s="20"/>
      <c r="K171" s="20"/>
      <c r="L171" s="20"/>
      <c r="M171" s="20"/>
      <c r="N171" s="211"/>
      <c r="O171" s="20"/>
      <c r="P171" s="232"/>
      <c r="Q171" s="237"/>
      <c r="R171" s="36"/>
      <c r="S171" s="36"/>
      <c r="T171" s="212"/>
      <c r="U171" s="111"/>
      <c r="V171" s="111"/>
    </row>
    <row r="172" spans="1:22" x14ac:dyDescent="0.2">
      <c r="A172" s="35"/>
      <c r="B172" s="18"/>
      <c r="C172" s="18"/>
      <c r="D172" s="19"/>
      <c r="E172" s="19"/>
      <c r="F172" s="16"/>
      <c r="G172" s="16"/>
      <c r="H172" s="18"/>
      <c r="I172" s="20"/>
      <c r="J172" s="20"/>
      <c r="K172" s="20"/>
      <c r="L172" s="20"/>
      <c r="M172" s="20"/>
      <c r="N172" s="211"/>
      <c r="O172" s="20"/>
      <c r="P172" s="232"/>
      <c r="Q172" s="237"/>
      <c r="R172" s="36"/>
      <c r="S172" s="36"/>
      <c r="T172" s="212"/>
      <c r="U172" s="123"/>
      <c r="V172" s="111"/>
    </row>
    <row r="173" spans="1:22" x14ac:dyDescent="0.2">
      <c r="A173" s="35"/>
      <c r="B173" s="18"/>
      <c r="C173" s="18"/>
      <c r="D173" s="19"/>
      <c r="E173" s="19"/>
      <c r="F173" s="16"/>
      <c r="G173" s="16"/>
      <c r="H173" s="18"/>
      <c r="I173" s="20"/>
      <c r="J173" s="20"/>
      <c r="K173" s="20"/>
      <c r="L173" s="20"/>
      <c r="M173" s="20"/>
      <c r="N173" s="211"/>
      <c r="O173" s="20"/>
      <c r="P173" s="232"/>
      <c r="Q173" s="237"/>
      <c r="R173" s="36"/>
      <c r="S173" s="36"/>
      <c r="T173" s="212"/>
      <c r="U173" s="111"/>
      <c r="V173" s="111"/>
    </row>
    <row r="174" spans="1:22" x14ac:dyDescent="0.2">
      <c r="A174" s="35"/>
      <c r="B174" s="18"/>
      <c r="C174" s="18"/>
      <c r="D174" s="19"/>
      <c r="E174" s="19"/>
      <c r="F174" s="16"/>
      <c r="G174" s="16"/>
      <c r="H174" s="18"/>
      <c r="I174" s="20"/>
      <c r="J174" s="20"/>
      <c r="K174" s="20"/>
      <c r="L174" s="20"/>
      <c r="M174" s="20"/>
      <c r="N174" s="211"/>
      <c r="O174" s="20"/>
      <c r="P174" s="232"/>
      <c r="Q174" s="237"/>
      <c r="R174" s="36"/>
      <c r="S174" s="36"/>
      <c r="T174" s="212"/>
      <c r="U174" s="111"/>
      <c r="V174" s="111"/>
    </row>
    <row r="175" spans="1:22" x14ac:dyDescent="0.2">
      <c r="A175" s="35"/>
      <c r="B175" s="18"/>
      <c r="C175" s="18"/>
      <c r="D175" s="19"/>
      <c r="E175" s="19"/>
      <c r="F175" s="16"/>
      <c r="G175" s="16"/>
      <c r="H175" s="18"/>
      <c r="I175" s="24"/>
      <c r="J175" s="20"/>
      <c r="K175" s="20"/>
      <c r="L175" s="20"/>
      <c r="M175" s="20"/>
      <c r="N175" s="211"/>
      <c r="O175" s="20"/>
      <c r="P175" s="232"/>
      <c r="Q175" s="237"/>
      <c r="R175" s="123"/>
      <c r="S175" s="36"/>
      <c r="T175" s="212"/>
      <c r="U175" s="111"/>
      <c r="V175" s="111"/>
    </row>
    <row r="176" spans="1:22" x14ac:dyDescent="0.2">
      <c r="A176" s="35"/>
      <c r="B176" s="18"/>
      <c r="C176" s="18"/>
      <c r="D176" s="19"/>
      <c r="E176" s="19"/>
      <c r="F176" s="16"/>
      <c r="G176" s="16"/>
      <c r="H176" s="18"/>
      <c r="I176" s="24"/>
      <c r="J176" s="20"/>
      <c r="K176" s="20"/>
      <c r="L176" s="20"/>
      <c r="M176" s="20"/>
      <c r="N176" s="211"/>
      <c r="O176" s="20"/>
      <c r="P176" s="232"/>
      <c r="Q176" s="237"/>
      <c r="R176" s="123"/>
      <c r="S176" s="36"/>
      <c r="T176" s="212"/>
      <c r="U176" s="111"/>
      <c r="V176" s="111"/>
    </row>
    <row r="177" spans="16:21" x14ac:dyDescent="0.2">
      <c r="P177" s="46"/>
      <c r="Q177" s="46"/>
      <c r="R177" s="46"/>
      <c r="S177" s="75"/>
      <c r="T177" s="239"/>
      <c r="U177" s="239"/>
    </row>
    <row r="178" spans="16:21" x14ac:dyDescent="0.2">
      <c r="P178" s="46"/>
      <c r="Q178" s="46"/>
      <c r="R178" s="46"/>
      <c r="S178" s="75"/>
      <c r="T178" s="239"/>
      <c r="U178" s="239"/>
    </row>
  </sheetData>
  <phoneticPr fontId="0" type="noConversion"/>
  <pageMargins left="0.75" right="0.75" top="1" bottom="1" header="0.5" footer="0.5"/>
  <pageSetup paperSize="5" scale="70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90"/>
  <sheetViews>
    <sheetView workbookViewId="0">
      <selection activeCell="A6" sqref="A6"/>
    </sheetView>
  </sheetViews>
  <sheetFormatPr defaultRowHeight="12.75" x14ac:dyDescent="0.2"/>
  <cols>
    <col min="1" max="1" width="8.5703125" style="47" customWidth="1"/>
    <col min="2" max="3" width="9.140625" style="47"/>
    <col min="4" max="5" width="9.85546875" style="47" customWidth="1"/>
    <col min="6" max="6" width="12.42578125" style="47" customWidth="1"/>
    <col min="7" max="7" width="11.140625" style="47" customWidth="1"/>
    <col min="8" max="8" width="10.42578125" style="47" customWidth="1"/>
    <col min="9" max="9" width="8.7109375" style="47" customWidth="1"/>
    <col min="10" max="10" width="14" style="47" customWidth="1"/>
    <col min="11" max="11" width="8.140625" style="47" customWidth="1"/>
    <col min="12" max="12" width="10" style="47" customWidth="1"/>
    <col min="13" max="13" width="9.7109375" style="79" bestFit="1" customWidth="1"/>
    <col min="14" max="16384" width="9.140625" style="47"/>
  </cols>
  <sheetData>
    <row r="1" spans="1:29" x14ac:dyDescent="0.2">
      <c r="A1" s="65" t="s">
        <v>45</v>
      </c>
      <c r="B1" s="65"/>
    </row>
    <row r="2" spans="1:29" x14ac:dyDescent="0.2">
      <c r="B2" s="65"/>
    </row>
    <row r="3" spans="1:29" x14ac:dyDescent="0.2">
      <c r="A3" s="256" t="s">
        <v>316</v>
      </c>
      <c r="B3" s="252"/>
      <c r="C3" s="252"/>
      <c r="D3" s="252"/>
      <c r="E3" s="252"/>
      <c r="F3" s="252"/>
      <c r="G3" s="252"/>
      <c r="H3" s="253"/>
      <c r="J3" s="258" t="s">
        <v>319</v>
      </c>
      <c r="K3" s="72">
        <f>+Rates!W17</f>
        <v>0.14794600510162087</v>
      </c>
      <c r="Z3" s="47">
        <v>2.8</v>
      </c>
      <c r="AC3" s="47">
        <v>3.03</v>
      </c>
    </row>
    <row r="4" spans="1:29" x14ac:dyDescent="0.2">
      <c r="A4" s="254"/>
      <c r="B4" s="270">
        <v>1</v>
      </c>
      <c r="C4" s="270">
        <v>2</v>
      </c>
      <c r="D4" s="270">
        <v>3</v>
      </c>
      <c r="E4" s="270">
        <v>4</v>
      </c>
      <c r="F4" s="270" t="s">
        <v>199</v>
      </c>
      <c r="G4" s="270">
        <v>5</v>
      </c>
      <c r="H4" s="303">
        <v>6</v>
      </c>
      <c r="J4" s="259" t="s">
        <v>521</v>
      </c>
      <c r="K4" s="286">
        <f>+Rates!W16</f>
        <v>0.12534600510162086</v>
      </c>
    </row>
    <row r="5" spans="1:29" x14ac:dyDescent="0.2">
      <c r="A5" s="269">
        <v>1</v>
      </c>
      <c r="B5" s="76">
        <f>+Rates!B17</f>
        <v>3.6481384846964462E-2</v>
      </c>
      <c r="C5" s="76">
        <f>+Rates!B22</f>
        <v>5.73357553159329E-2</v>
      </c>
      <c r="D5" s="76">
        <f>+Rates!B27</f>
        <v>7.9197489624455802E-2</v>
      </c>
      <c r="E5" s="76">
        <f>+Rates!B32</f>
        <v>0.17522549019607847</v>
      </c>
      <c r="F5" s="76"/>
      <c r="G5" s="76">
        <f>+Rates!B37</f>
        <v>0.25293299098721378</v>
      </c>
      <c r="H5" s="302">
        <f>+Rates!B42</f>
        <v>0.29623761758799322</v>
      </c>
      <c r="J5" s="66"/>
    </row>
    <row r="6" spans="1:29" x14ac:dyDescent="0.2">
      <c r="A6" s="269">
        <v>2</v>
      </c>
      <c r="B6" s="76"/>
      <c r="C6" s="76"/>
      <c r="D6" s="76">
        <f>+Rates!B52</f>
        <v>4.5320072624571578E-2</v>
      </c>
      <c r="E6" s="76">
        <f>+Rates!B57</f>
        <v>0.15804884318766041</v>
      </c>
      <c r="F6" s="76"/>
      <c r="G6" s="76">
        <f>+Rates!B62</f>
        <v>0.235748626918659</v>
      </c>
      <c r="H6" s="302">
        <f>+Rates!B67</f>
        <v>0.27904566133108666</v>
      </c>
      <c r="J6" s="258" t="s">
        <v>320</v>
      </c>
      <c r="K6" s="287">
        <f>+Rates!Z17</f>
        <v>0.19996066311911626</v>
      </c>
    </row>
    <row r="7" spans="1:29" x14ac:dyDescent="0.2">
      <c r="A7" s="269">
        <v>3</v>
      </c>
      <c r="B7" s="76"/>
      <c r="C7" s="76"/>
      <c r="D7" s="76">
        <f>+Rates!B72</f>
        <v>4.1204740859782679E-2</v>
      </c>
      <c r="E7" s="76">
        <f>+Rates!B77</f>
        <v>0.13740660387017484</v>
      </c>
      <c r="F7" s="76"/>
      <c r="G7" s="76">
        <f>+Rates!B82</f>
        <v>0.21523675018193125</v>
      </c>
      <c r="H7" s="302">
        <f>+Rates!B87</f>
        <v>0.25860295659467414</v>
      </c>
      <c r="J7" s="259" t="s">
        <v>519</v>
      </c>
      <c r="K7" s="286">
        <f>+Rates!Z16</f>
        <v>0.10266066311911626</v>
      </c>
    </row>
    <row r="8" spans="1:29" x14ac:dyDescent="0.2">
      <c r="A8" s="269">
        <v>4</v>
      </c>
      <c r="B8" s="76"/>
      <c r="C8" s="76"/>
      <c r="D8" s="76"/>
      <c r="E8" s="76">
        <f>+Rates!B92</f>
        <v>0.11293861991642024</v>
      </c>
      <c r="F8" s="76"/>
      <c r="G8" s="76"/>
      <c r="H8" s="302">
        <f>+Rates!B102</f>
        <v>0.23087359632644555</v>
      </c>
      <c r="J8" s="65"/>
      <c r="K8" s="68"/>
    </row>
    <row r="9" spans="1:29" x14ac:dyDescent="0.2">
      <c r="A9" s="272" t="s">
        <v>199</v>
      </c>
      <c r="B9" s="76"/>
      <c r="C9" s="76"/>
      <c r="D9" s="76"/>
      <c r="E9" s="76"/>
      <c r="F9" s="76">
        <f>+Rates!B107</f>
        <v>2.8047933219350635E-2</v>
      </c>
      <c r="G9" s="76"/>
      <c r="H9" s="302"/>
      <c r="K9" s="117"/>
    </row>
    <row r="10" spans="1:29" x14ac:dyDescent="0.2">
      <c r="A10" s="269">
        <v>5</v>
      </c>
      <c r="B10" s="76"/>
      <c r="C10" s="76"/>
      <c r="D10" s="76"/>
      <c r="E10" s="76"/>
      <c r="F10" s="76"/>
      <c r="G10" s="76">
        <f>+Rates!B112</f>
        <v>9.9439245320540146E-2</v>
      </c>
      <c r="H10" s="302"/>
      <c r="K10" s="68"/>
      <c r="N10" s="79" t="s">
        <v>474</v>
      </c>
    </row>
    <row r="11" spans="1:29" x14ac:dyDescent="0.2">
      <c r="A11" s="269">
        <v>6</v>
      </c>
      <c r="B11" s="75"/>
      <c r="C11" s="75"/>
      <c r="D11" s="75"/>
      <c r="E11" s="75"/>
      <c r="F11" s="75"/>
      <c r="G11" s="75"/>
      <c r="H11" s="302">
        <f>+Rates!B122</f>
        <v>6.2792845723832133E-2</v>
      </c>
      <c r="J11" s="256" t="s">
        <v>500</v>
      </c>
      <c r="K11" s="261"/>
      <c r="N11" s="79">
        <v>4.46</v>
      </c>
      <c r="O11" s="47">
        <v>4.4550000000000001</v>
      </c>
    </row>
    <row r="12" spans="1:29" x14ac:dyDescent="0.2">
      <c r="A12" s="320"/>
      <c r="B12" s="298" t="s">
        <v>734</v>
      </c>
      <c r="C12" s="298"/>
      <c r="D12" s="298"/>
      <c r="E12" s="298"/>
      <c r="F12" s="298"/>
      <c r="G12" s="298"/>
      <c r="H12" s="321"/>
      <c r="J12" s="262" t="s">
        <v>502</v>
      </c>
      <c r="K12" s="263">
        <f>SUM(Rates!AI17)</f>
        <v>2.2969076305220566E-2</v>
      </c>
      <c r="N12" s="79">
        <v>4.42</v>
      </c>
      <c r="O12" s="47">
        <v>4.4400000000000004</v>
      </c>
    </row>
    <row r="13" spans="1:29" x14ac:dyDescent="0.2">
      <c r="A13" s="325" t="s">
        <v>565</v>
      </c>
      <c r="B13" s="324" t="s">
        <v>564</v>
      </c>
      <c r="C13" s="299" t="s">
        <v>204</v>
      </c>
      <c r="D13" s="299" t="s">
        <v>205</v>
      </c>
      <c r="E13" s="299" t="s">
        <v>206</v>
      </c>
      <c r="F13" s="297"/>
      <c r="G13" s="297"/>
      <c r="H13" s="322"/>
      <c r="J13" s="262" t="s">
        <v>501</v>
      </c>
      <c r="K13" s="264">
        <f>SUM(Rates!H137)</f>
        <v>6.898260705197895E-2</v>
      </c>
      <c r="N13" s="79"/>
    </row>
    <row r="14" spans="1:29" ht="13.5" thickBot="1" x14ac:dyDescent="0.25">
      <c r="A14" s="73" t="s">
        <v>563</v>
      </c>
      <c r="B14" s="284">
        <f>SUM(Rates!B69+Rates!B71)</f>
        <v>2.2304740859782676E-2</v>
      </c>
      <c r="C14" s="284">
        <f>SUM(Rates!K22+Rates!B69+Rates!B71)</f>
        <v>0.16142755113523868</v>
      </c>
      <c r="D14" s="284">
        <f>SUM(Rates!B69+Rates!B71+Rates!K47)</f>
        <v>0.13380847266211976</v>
      </c>
      <c r="E14" s="284">
        <f>0.0622+B14</f>
        <v>8.450474085978267E-2</v>
      </c>
      <c r="F14" s="134" t="s">
        <v>620</v>
      </c>
      <c r="G14" s="134"/>
      <c r="H14" s="323"/>
      <c r="J14" s="254" t="s">
        <v>30</v>
      </c>
      <c r="K14" s="265">
        <f>SUM(K12:K13)</f>
        <v>9.1951683357199512E-2</v>
      </c>
      <c r="M14" s="79" t="s">
        <v>83</v>
      </c>
      <c r="N14" s="79">
        <f>+N11-E14</f>
        <v>4.3754952591402176</v>
      </c>
    </row>
    <row r="15" spans="1:29" ht="13.5" thickTop="1" x14ac:dyDescent="0.2">
      <c r="A15" s="75"/>
      <c r="B15" s="374"/>
      <c r="C15" s="374"/>
      <c r="D15" s="374"/>
      <c r="E15" s="374"/>
      <c r="F15" s="75"/>
      <c r="G15" s="75"/>
      <c r="H15" s="75"/>
      <c r="J15" s="254"/>
      <c r="K15" s="263"/>
      <c r="N15" s="79"/>
    </row>
    <row r="16" spans="1:29" x14ac:dyDescent="0.2">
      <c r="A16" s="256" t="s">
        <v>593</v>
      </c>
      <c r="B16" s="375"/>
      <c r="C16" s="375">
        <v>2</v>
      </c>
      <c r="D16" s="375">
        <v>3</v>
      </c>
      <c r="E16" s="375">
        <v>4</v>
      </c>
      <c r="F16" s="375" t="s">
        <v>199</v>
      </c>
      <c r="G16" s="375">
        <v>5</v>
      </c>
      <c r="H16" s="376">
        <v>6</v>
      </c>
      <c r="J16" s="361"/>
      <c r="K16" s="306"/>
      <c r="N16" s="79"/>
    </row>
    <row r="17" spans="1:14" x14ac:dyDescent="0.2">
      <c r="A17" s="269">
        <v>2</v>
      </c>
      <c r="B17" s="76"/>
      <c r="C17" s="273">
        <f>SUM(Rates!E37)-0.0189</f>
        <v>8.5756577626029118E-2</v>
      </c>
      <c r="D17" s="273">
        <f>SUM(Rates!E39,Rates!E41)</f>
        <v>0.13782007262457158</v>
      </c>
      <c r="E17" s="273">
        <f>SUM(Rates!E47)</f>
        <v>0.36234884318766036</v>
      </c>
      <c r="F17" s="273"/>
      <c r="G17" s="273"/>
      <c r="H17" s="328"/>
      <c r="J17" s="254"/>
      <c r="K17" s="263"/>
      <c r="N17" s="79"/>
    </row>
    <row r="18" spans="1:14" x14ac:dyDescent="0.2">
      <c r="A18" s="269">
        <v>3</v>
      </c>
      <c r="B18" s="76"/>
      <c r="C18" s="273"/>
      <c r="D18" s="273">
        <f>SUM(Rates!E49,Rates!E51)</f>
        <v>9.6204740859782673E-2</v>
      </c>
      <c r="E18" s="273">
        <f>SUM(Rates!E57)</f>
        <v>0.32090660387017489</v>
      </c>
      <c r="F18" s="273"/>
      <c r="G18" s="273"/>
      <c r="H18" s="328"/>
      <c r="J18" s="254"/>
      <c r="K18" s="263"/>
      <c r="N18" s="79"/>
    </row>
    <row r="19" spans="1:14" x14ac:dyDescent="0.2">
      <c r="A19" s="269">
        <v>4</v>
      </c>
      <c r="B19" s="76"/>
      <c r="C19" s="273"/>
      <c r="D19" s="273"/>
      <c r="E19" s="273">
        <f>SUM(Rates!E67)</f>
        <v>0.26623861991642023</v>
      </c>
      <c r="F19" s="273"/>
      <c r="G19" s="273"/>
      <c r="H19" s="328"/>
      <c r="J19" s="254"/>
      <c r="K19" s="263"/>
      <c r="N19" s="79"/>
    </row>
    <row r="20" spans="1:14" x14ac:dyDescent="0.2">
      <c r="A20" s="254">
        <v>6</v>
      </c>
      <c r="B20" s="374"/>
      <c r="C20" s="374"/>
      <c r="D20" s="374"/>
      <c r="E20" s="374"/>
      <c r="F20" s="378"/>
      <c r="G20" s="378"/>
      <c r="H20" s="379">
        <f>SUM(Rates!E82)</f>
        <v>0.1466711664482305</v>
      </c>
      <c r="J20" s="254"/>
      <c r="K20" s="263"/>
      <c r="N20" s="79"/>
    </row>
    <row r="21" spans="1:14" x14ac:dyDescent="0.2">
      <c r="A21" s="73"/>
      <c r="B21" s="377" t="s">
        <v>594</v>
      </c>
      <c r="C21" s="284"/>
      <c r="D21" s="284"/>
      <c r="E21" s="284"/>
      <c r="F21" s="134"/>
      <c r="G21" s="134"/>
      <c r="H21" s="323"/>
      <c r="J21" s="254"/>
      <c r="K21" s="263"/>
      <c r="N21" s="79"/>
    </row>
    <row r="22" spans="1:14" x14ac:dyDescent="0.2">
      <c r="A22" s="70"/>
      <c r="J22" s="254"/>
      <c r="K22" s="263"/>
      <c r="N22" s="79">
        <f>+N12-E14</f>
        <v>4.3354952591402176</v>
      </c>
    </row>
    <row r="23" spans="1:14" x14ac:dyDescent="0.2">
      <c r="A23" s="266" t="s">
        <v>317</v>
      </c>
      <c r="B23" s="252"/>
      <c r="C23" s="252"/>
      <c r="D23" s="252"/>
      <c r="E23" s="252"/>
      <c r="F23" s="252"/>
      <c r="G23" s="252"/>
      <c r="H23" s="252"/>
      <c r="I23" s="252"/>
      <c r="J23" s="252"/>
      <c r="K23" s="306"/>
      <c r="N23" s="79"/>
    </row>
    <row r="24" spans="1:14" x14ac:dyDescent="0.2">
      <c r="A24" s="307"/>
      <c r="B24" s="75"/>
      <c r="C24" s="270" t="s">
        <v>214</v>
      </c>
      <c r="D24" s="75"/>
      <c r="E24" s="75"/>
      <c r="F24" s="75"/>
      <c r="G24" s="75"/>
      <c r="H24" s="75"/>
      <c r="I24" s="75"/>
      <c r="J24" s="75"/>
      <c r="K24" s="308"/>
      <c r="M24" s="79" t="s">
        <v>85</v>
      </c>
      <c r="N24" s="79">
        <f>+N11-D14</f>
        <v>4.3261915273378806</v>
      </c>
    </row>
    <row r="25" spans="1:14" x14ac:dyDescent="0.2">
      <c r="A25" s="307"/>
      <c r="B25" s="75"/>
      <c r="C25" s="270" t="s">
        <v>215</v>
      </c>
      <c r="D25" s="75" t="s">
        <v>216</v>
      </c>
      <c r="E25" s="75"/>
      <c r="F25" s="75"/>
      <c r="G25" s="75"/>
      <c r="H25" s="75"/>
      <c r="I25" s="75"/>
      <c r="J25" s="75"/>
      <c r="K25" s="308"/>
      <c r="N25" s="79">
        <f>+N12-D14</f>
        <v>4.2861915273378806</v>
      </c>
    </row>
    <row r="26" spans="1:14" x14ac:dyDescent="0.2">
      <c r="A26" s="269"/>
      <c r="B26" s="270" t="s">
        <v>217</v>
      </c>
      <c r="C26" s="270" t="s">
        <v>218</v>
      </c>
      <c r="D26" s="270" t="s">
        <v>219</v>
      </c>
      <c r="E26" s="270" t="s">
        <v>220</v>
      </c>
      <c r="F26" s="270" t="s">
        <v>221</v>
      </c>
      <c r="G26" s="75" t="s">
        <v>222</v>
      </c>
      <c r="H26" s="270" t="s">
        <v>223</v>
      </c>
      <c r="I26" s="270" t="s">
        <v>224</v>
      </c>
      <c r="J26" s="270" t="s">
        <v>225</v>
      </c>
      <c r="K26" s="309" t="s">
        <v>226</v>
      </c>
      <c r="N26" s="79"/>
    </row>
    <row r="27" spans="1:14" x14ac:dyDescent="0.2">
      <c r="A27" s="310" t="s">
        <v>200</v>
      </c>
      <c r="B27" s="76">
        <f>+Rates!H22-0.0225+B35+B36</f>
        <v>0.22960469853590557</v>
      </c>
      <c r="C27" s="76">
        <f>+Rates!H22-0.0072</f>
        <v>0.19181615416154135</v>
      </c>
      <c r="D27" s="76">
        <f>+C27-0.0072</f>
        <v>0.18461615416154134</v>
      </c>
      <c r="E27" s="76">
        <f>+D27-0.0225</f>
        <v>0.16211615416154135</v>
      </c>
      <c r="F27" s="76">
        <f>+D27+0.0072</f>
        <v>0.19181615416154135</v>
      </c>
      <c r="G27" s="76">
        <f>+Rates!H27</f>
        <v>0.28330913466569024</v>
      </c>
      <c r="H27" s="76">
        <f>+Rates!H32</f>
        <v>0.31309604043807882</v>
      </c>
      <c r="I27" s="76">
        <f>+Rates!H37</f>
        <v>0.36820806794055239</v>
      </c>
      <c r="J27" s="311">
        <f>+Rates!H42</f>
        <v>0.42154528301886807</v>
      </c>
      <c r="K27" s="302">
        <f>+Rates!H47</f>
        <v>0.49178980341326467</v>
      </c>
      <c r="M27" s="79" t="s">
        <v>84</v>
      </c>
      <c r="N27" s="79">
        <f>+N11-C14</f>
        <v>4.2985724488647614</v>
      </c>
    </row>
    <row r="28" spans="1:14" x14ac:dyDescent="0.2">
      <c r="A28" s="272" t="s">
        <v>201</v>
      </c>
      <c r="B28" s="76"/>
      <c r="C28" s="76">
        <f>+Rates!H52-0.0072</f>
        <v>9.213584048460384E-2</v>
      </c>
      <c r="D28" s="76"/>
      <c r="E28" s="76"/>
      <c r="F28" s="76">
        <f>+C28+0.0072</f>
        <v>9.9335840484603838E-2</v>
      </c>
      <c r="G28" s="76"/>
      <c r="H28" s="76"/>
      <c r="I28" s="76"/>
      <c r="J28" s="296"/>
      <c r="K28" s="309"/>
      <c r="N28" s="79">
        <f>+N12-C14</f>
        <v>4.2585724488647614</v>
      </c>
    </row>
    <row r="29" spans="1:14" x14ac:dyDescent="0.2">
      <c r="A29" s="269">
        <v>1</v>
      </c>
      <c r="B29" s="76">
        <f>+Rates!H57-0.0225+B35+B36</f>
        <v>0.1898751160935909</v>
      </c>
      <c r="C29" s="76"/>
      <c r="D29" s="76">
        <f>+Rates!H57-0.0072</f>
        <v>0.15208657171922668</v>
      </c>
      <c r="E29" s="76">
        <f>+D29-0.0225</f>
        <v>0.12958657171922669</v>
      </c>
      <c r="F29" s="76"/>
      <c r="G29" s="76">
        <f>+Rates!H62</f>
        <v>0.24273707818502799</v>
      </c>
      <c r="H29" s="76">
        <f>+Rates!H67</f>
        <v>0.27202921324835494</v>
      </c>
      <c r="I29" s="76">
        <f>+Rates!H72</f>
        <v>0.3275180535074782</v>
      </c>
      <c r="J29" s="76">
        <f>+Rates!H77</f>
        <v>0.38020582792725721</v>
      </c>
      <c r="K29" s="302">
        <f>+Rates!H82</f>
        <v>0.45037003107253826</v>
      </c>
    </row>
    <row r="30" spans="1:14" x14ac:dyDescent="0.2">
      <c r="A30" s="269">
        <v>2</v>
      </c>
      <c r="B30" s="76"/>
      <c r="C30" s="76"/>
      <c r="D30" s="76"/>
      <c r="E30" s="76"/>
      <c r="F30" s="76"/>
      <c r="G30" s="76"/>
      <c r="H30" s="76"/>
      <c r="I30" s="76"/>
      <c r="J30" s="76">
        <f>SUM(Rates!H87)</f>
        <v>8.8957581814289449E-2</v>
      </c>
      <c r="K30" s="302"/>
    </row>
    <row r="31" spans="1:14" x14ac:dyDescent="0.2">
      <c r="A31" s="269">
        <v>4</v>
      </c>
      <c r="B31" s="76"/>
      <c r="C31" s="76"/>
      <c r="D31" s="76"/>
      <c r="E31" s="76"/>
      <c r="F31" s="76"/>
      <c r="G31" s="76"/>
      <c r="H31" s="76"/>
      <c r="I31" s="76"/>
      <c r="J31" s="76"/>
      <c r="K31" s="302">
        <f>+Rates!H97</f>
        <v>0.17892952691680275</v>
      </c>
    </row>
    <row r="32" spans="1:14" x14ac:dyDescent="0.2">
      <c r="A32" s="269">
        <v>5</v>
      </c>
      <c r="B32" s="76"/>
      <c r="C32" s="76"/>
      <c r="D32" s="76"/>
      <c r="E32" s="76"/>
      <c r="F32" s="76"/>
      <c r="G32" s="76"/>
      <c r="H32" s="76"/>
      <c r="I32" s="76">
        <f>+Rates!H102</f>
        <v>0.10279736177094953</v>
      </c>
      <c r="J32" s="76">
        <f>+Rates!H107</f>
        <v>0.10410783163007248</v>
      </c>
      <c r="K32" s="302">
        <f>+Rates!H117</f>
        <v>0.16928059914407967</v>
      </c>
    </row>
    <row r="33" spans="1:12" x14ac:dyDescent="0.2">
      <c r="A33" s="312">
        <v>6</v>
      </c>
      <c r="B33" s="280"/>
      <c r="C33" s="280"/>
      <c r="D33" s="280"/>
      <c r="E33" s="280"/>
      <c r="F33" s="76"/>
      <c r="G33" s="76"/>
      <c r="H33" s="76"/>
      <c r="I33" s="76"/>
      <c r="J33" s="76"/>
      <c r="K33" s="302">
        <f>+Rates!H132</f>
        <v>0.10829157841654044</v>
      </c>
    </row>
    <row r="34" spans="1:12" x14ac:dyDescent="0.2">
      <c r="A34" s="68"/>
      <c r="B34" s="67"/>
      <c r="C34" s="67"/>
      <c r="D34" s="67"/>
      <c r="E34" s="67"/>
      <c r="F34" s="319"/>
      <c r="G34" s="76"/>
      <c r="H34" s="76"/>
      <c r="I34" s="76"/>
      <c r="J34" s="76"/>
      <c r="K34" s="302"/>
    </row>
    <row r="35" spans="1:12" x14ac:dyDescent="0.2">
      <c r="A35" s="71" t="s">
        <v>232</v>
      </c>
      <c r="B35" s="72">
        <f>0.0009+0.0022+0.0075</f>
        <v>1.06E-2</v>
      </c>
      <c r="F35" s="313" t="s">
        <v>243</v>
      </c>
      <c r="G35" s="75"/>
      <c r="H35" s="75"/>
      <c r="I35" s="75"/>
      <c r="J35" s="75"/>
      <c r="K35" s="309"/>
    </row>
    <row r="36" spans="1:12" x14ac:dyDescent="0.2">
      <c r="A36" s="73" t="s">
        <v>192</v>
      </c>
      <c r="B36" s="74">
        <f>0.0101*(+Rates!H4+Rates!H57-0.0225)</f>
        <v>4.2488544374364189E-2</v>
      </c>
      <c r="F36" s="313" t="s">
        <v>288</v>
      </c>
      <c r="G36" s="75"/>
      <c r="H36" s="75"/>
      <c r="I36" s="314">
        <f>+I27-I32</f>
        <v>0.26541070616960283</v>
      </c>
      <c r="J36" s="314">
        <f>+J27-J32</f>
        <v>0.31743745138879559</v>
      </c>
      <c r="K36" s="315">
        <f>+K27-K32</f>
        <v>0.322509204269185</v>
      </c>
    </row>
    <row r="37" spans="1:12" x14ac:dyDescent="0.2">
      <c r="A37" s="75"/>
      <c r="B37" s="76"/>
      <c r="F37" s="316" t="s">
        <v>289</v>
      </c>
      <c r="G37" s="134"/>
      <c r="H37" s="134"/>
      <c r="I37" s="317">
        <f>+I29-I32</f>
        <v>0.22472069173652867</v>
      </c>
      <c r="J37" s="317">
        <f>+J29-J32</f>
        <v>0.27609799629718473</v>
      </c>
      <c r="K37" s="318">
        <f>+K29-K32</f>
        <v>0.28108943192845859</v>
      </c>
    </row>
    <row r="38" spans="1:12" x14ac:dyDescent="0.2">
      <c r="A38" s="75"/>
      <c r="B38" s="76"/>
    </row>
    <row r="39" spans="1:12" x14ac:dyDescent="0.2">
      <c r="A39" s="266" t="s">
        <v>407</v>
      </c>
      <c r="B39" s="252"/>
      <c r="C39" s="252"/>
      <c r="D39" s="252"/>
      <c r="E39" s="252"/>
      <c r="F39" s="252"/>
      <c r="G39" s="252"/>
      <c r="H39" s="252"/>
      <c r="I39" s="252"/>
      <c r="J39" s="267"/>
      <c r="K39" s="268"/>
      <c r="L39" s="75"/>
    </row>
    <row r="40" spans="1:12" x14ac:dyDescent="0.2">
      <c r="A40" s="269"/>
      <c r="B40" s="270" t="s">
        <v>204</v>
      </c>
      <c r="C40" s="270" t="s">
        <v>198</v>
      </c>
      <c r="D40" s="270" t="s">
        <v>227</v>
      </c>
      <c r="E40" s="270" t="s">
        <v>228</v>
      </c>
      <c r="F40" s="270" t="s">
        <v>229</v>
      </c>
      <c r="G40" s="270" t="s">
        <v>230</v>
      </c>
      <c r="H40" s="205"/>
      <c r="I40" s="75"/>
      <c r="J40" s="205" t="s">
        <v>415</v>
      </c>
      <c r="K40" s="271" t="s">
        <v>416</v>
      </c>
      <c r="L40" s="75"/>
    </row>
    <row r="41" spans="1:12" x14ac:dyDescent="0.2">
      <c r="A41" s="272" t="s">
        <v>204</v>
      </c>
      <c r="B41" s="76">
        <f>+Rates!K17</f>
        <v>0.13976797856995682</v>
      </c>
      <c r="C41" s="76">
        <f>+Rates!K27</f>
        <v>0.1815598378546931</v>
      </c>
      <c r="D41" s="76">
        <f>+Rates!K22</f>
        <v>0.139122810275456</v>
      </c>
      <c r="E41" s="76">
        <f>+Rates!K32</f>
        <v>0.32275142979543758</v>
      </c>
      <c r="F41" s="76">
        <f>+Rates!K37</f>
        <v>0.40479174361759906</v>
      </c>
      <c r="G41" s="76">
        <f>+Rates!K42</f>
        <v>0.46132887231241748</v>
      </c>
      <c r="H41" s="273"/>
      <c r="I41" s="75"/>
      <c r="J41" s="204">
        <f>+Rates!N32</f>
        <v>0.88059174361759907</v>
      </c>
      <c r="K41" s="274">
        <f>SUM(Rates!N37)</f>
        <v>1.0203288723124175</v>
      </c>
      <c r="L41" s="75"/>
    </row>
    <row r="42" spans="1:12" x14ac:dyDescent="0.2">
      <c r="A42" s="272" t="s">
        <v>209</v>
      </c>
      <c r="B42" s="76"/>
      <c r="C42" s="76">
        <f>+Rates!K87</f>
        <v>0.14138542589350053</v>
      </c>
      <c r="D42" s="275">
        <f>+D44</f>
        <v>0.13598542589350054</v>
      </c>
      <c r="E42" s="76">
        <f>+E44</f>
        <v>0.28335278514588857</v>
      </c>
      <c r="F42" s="76">
        <f>+F44</f>
        <v>0.36574452813945979</v>
      </c>
      <c r="G42" s="76">
        <f>+G44</f>
        <v>0.42251464580617148</v>
      </c>
      <c r="H42" s="273"/>
      <c r="I42" s="75"/>
      <c r="J42" s="204">
        <f>SUM(Rates!N77)</f>
        <v>0.69624452813945981</v>
      </c>
      <c r="K42" s="274">
        <f>SUM(Rates!N82)</f>
        <v>0.83621464580617144</v>
      </c>
      <c r="L42" s="75"/>
    </row>
    <row r="43" spans="1:12" x14ac:dyDescent="0.2">
      <c r="A43" s="272" t="s">
        <v>205</v>
      </c>
      <c r="B43" s="76"/>
      <c r="C43" s="76">
        <f>+Rates!K52</f>
        <v>0.15416225986366441</v>
      </c>
      <c r="D43" s="76">
        <f>+Rates!K47</f>
        <v>0.11150373180233708</v>
      </c>
      <c r="E43" s="76">
        <f>+Rates!K57</f>
        <v>0.29623034688231548</v>
      </c>
      <c r="F43" s="76">
        <f>+Rates!K62</f>
        <v>0.37867876106194703</v>
      </c>
      <c r="G43" s="76">
        <f>+Rates!K67</f>
        <v>0.43549096654680219</v>
      </c>
      <c r="H43" s="273"/>
      <c r="I43" s="75"/>
      <c r="J43" s="204">
        <f>SUM(Rates!N52)</f>
        <v>0.72377876106194705</v>
      </c>
      <c r="K43" s="274">
        <f>SUM(Rates!N57)</f>
        <v>0.86379096654680221</v>
      </c>
      <c r="L43" s="75"/>
    </row>
    <row r="44" spans="1:12" x14ac:dyDescent="0.2">
      <c r="A44" s="272" t="s">
        <v>206</v>
      </c>
      <c r="B44" s="76"/>
      <c r="C44" s="76">
        <f>+Rates!K87</f>
        <v>0.14138542589350053</v>
      </c>
      <c r="D44" s="76">
        <f>+Rates!K77</f>
        <v>0.13598542589350054</v>
      </c>
      <c r="E44" s="76">
        <f>+Rates!K97</f>
        <v>0.28335278514588857</v>
      </c>
      <c r="F44" s="76">
        <f>+Rates!K102</f>
        <v>0.36574452813945979</v>
      </c>
      <c r="G44" s="76">
        <f>+Rates!K107</f>
        <v>0.42251464580617148</v>
      </c>
      <c r="H44" s="273"/>
      <c r="I44" s="75"/>
      <c r="J44" s="204">
        <f>SUM(Rates!N77)</f>
        <v>0.69624452813945981</v>
      </c>
      <c r="K44" s="274">
        <f>SUM(Rates!N82)</f>
        <v>0.83621464580617144</v>
      </c>
      <c r="L44" s="75"/>
    </row>
    <row r="45" spans="1:12" x14ac:dyDescent="0.2">
      <c r="A45" s="276" t="s">
        <v>207</v>
      </c>
      <c r="B45" s="75"/>
      <c r="C45" s="75"/>
      <c r="D45" s="75"/>
      <c r="E45" s="203">
        <f>+Rates!K112</f>
        <v>0.147381926718814</v>
      </c>
      <c r="F45" s="76">
        <f>+Rates!K117</f>
        <v>0.22785709515859712</v>
      </c>
      <c r="G45" s="76">
        <f>+Rates!K122</f>
        <v>0.28327409162717199</v>
      </c>
      <c r="H45" s="277"/>
      <c r="I45" s="75"/>
      <c r="J45" s="204">
        <f>SUM(Rates!N87)</f>
        <v>0.48795709515859709</v>
      </c>
      <c r="K45" s="274">
        <f>SUM(Rates!N92)</f>
        <v>0.62657409162717204</v>
      </c>
    </row>
    <row r="46" spans="1:12" x14ac:dyDescent="0.2">
      <c r="A46" s="276" t="s">
        <v>208</v>
      </c>
      <c r="B46" s="75"/>
      <c r="C46" s="75"/>
      <c r="D46" s="75"/>
      <c r="E46" s="203"/>
      <c r="F46" s="76">
        <f>+Rates!K142</f>
        <v>0</v>
      </c>
      <c r="G46" s="76">
        <f>+Rates!K147</f>
        <v>0</v>
      </c>
      <c r="H46" s="273"/>
      <c r="I46" s="75"/>
      <c r="J46" s="204"/>
      <c r="K46" s="274">
        <f>SUM(Rates!N102)</f>
        <v>0.53280571249215303</v>
      </c>
    </row>
    <row r="47" spans="1:12" x14ac:dyDescent="0.2">
      <c r="A47" s="278" t="s">
        <v>91</v>
      </c>
      <c r="B47" s="134"/>
      <c r="C47" s="134"/>
      <c r="D47" s="134"/>
      <c r="E47" s="279"/>
      <c r="F47" s="134"/>
      <c r="G47" s="280">
        <f>+Rates!K152</f>
        <v>0</v>
      </c>
      <c r="H47" s="281"/>
      <c r="I47" s="134"/>
      <c r="J47" s="282"/>
      <c r="K47" s="260">
        <f>SUM(Rates!N107)</f>
        <v>0.33472260061919551</v>
      </c>
    </row>
    <row r="48" spans="1:12" x14ac:dyDescent="0.2">
      <c r="A48" s="78"/>
      <c r="E48" s="79"/>
      <c r="G48" s="67"/>
      <c r="H48" s="118"/>
      <c r="J48" s="204"/>
      <c r="K48" s="204"/>
    </row>
    <row r="49" spans="1:13" x14ac:dyDescent="0.2">
      <c r="F49" s="256" t="s">
        <v>520</v>
      </c>
      <c r="G49" s="252"/>
      <c r="H49" s="252"/>
      <c r="I49" s="252"/>
      <c r="J49" s="253"/>
    </row>
    <row r="50" spans="1:13" x14ac:dyDescent="0.2">
      <c r="A50" s="256" t="s">
        <v>424</v>
      </c>
      <c r="B50" s="283" t="s">
        <v>434</v>
      </c>
      <c r="C50" s="283" t="s">
        <v>435</v>
      </c>
      <c r="D50" s="283" t="s">
        <v>436</v>
      </c>
      <c r="E50" s="283" t="s">
        <v>437</v>
      </c>
      <c r="F50" s="254"/>
      <c r="G50" s="75" t="s">
        <v>244</v>
      </c>
      <c r="H50" s="75" t="s">
        <v>245</v>
      </c>
      <c r="I50" s="300" t="s">
        <v>202</v>
      </c>
      <c r="J50" s="301" t="s">
        <v>203</v>
      </c>
    </row>
    <row r="51" spans="1:13" x14ac:dyDescent="0.2">
      <c r="A51" s="73"/>
      <c r="B51" s="284">
        <f>+Rates!Q17</f>
        <v>7.7941116751269038E-2</v>
      </c>
      <c r="C51" s="284">
        <f>SUM(Rates!Q22)</f>
        <v>7.9941116751269026E-2</v>
      </c>
      <c r="D51" s="284">
        <f>SUM(Rates!Q27)</f>
        <v>0.11919078812691919</v>
      </c>
      <c r="E51" s="284">
        <f>SUM(Rates!Q32)</f>
        <v>0.14017946611909626</v>
      </c>
      <c r="F51" s="262" t="s">
        <v>213</v>
      </c>
      <c r="G51" s="273">
        <f>+Rates!AF17-0.0072</f>
        <v>1.3890491934675836E-2</v>
      </c>
      <c r="H51" s="326">
        <f>+G51+0.0072</f>
        <v>2.1090491934675836E-2</v>
      </c>
      <c r="I51" s="327">
        <f>+Rates!AF35</f>
        <v>0.10462883085084659</v>
      </c>
      <c r="J51" s="328">
        <f>+Rates!AF23</f>
        <v>0.15763446001648773</v>
      </c>
    </row>
    <row r="52" spans="1:13" x14ac:dyDescent="0.2">
      <c r="F52" s="73">
        <v>1</v>
      </c>
      <c r="G52" s="134"/>
      <c r="H52" s="134"/>
      <c r="I52" s="134"/>
      <c r="J52" s="285">
        <f>SUM(Rates!AF29)</f>
        <v>0.15583446001648774</v>
      </c>
    </row>
    <row r="53" spans="1:13" ht="13.5" thickBot="1" x14ac:dyDescent="0.25">
      <c r="I53" s="257"/>
      <c r="J53" s="75"/>
      <c r="K53" s="75"/>
      <c r="L53" s="75"/>
      <c r="M53" s="203"/>
    </row>
    <row r="54" spans="1:13" ht="14.25" thickTop="1" thickBot="1" x14ac:dyDescent="0.25">
      <c r="A54" s="256" t="s">
        <v>268</v>
      </c>
      <c r="B54" s="252"/>
      <c r="C54" s="252"/>
      <c r="D54" s="252"/>
      <c r="E54" s="253"/>
      <c r="F54" s="358" t="s">
        <v>574</v>
      </c>
      <c r="G54" s="253"/>
      <c r="I54" s="292" t="s">
        <v>548</v>
      </c>
      <c r="J54" s="293" t="s">
        <v>558</v>
      </c>
      <c r="K54" s="295">
        <f>+Rates!AL17</f>
        <v>9.574489795918345E-2</v>
      </c>
      <c r="L54" s="294" t="s">
        <v>498</v>
      </c>
      <c r="M54" s="203"/>
    </row>
    <row r="55" spans="1:13" ht="13.5" thickTop="1" x14ac:dyDescent="0.2">
      <c r="A55" s="269"/>
      <c r="B55" s="270" t="s">
        <v>210</v>
      </c>
      <c r="C55" s="270" t="s">
        <v>211</v>
      </c>
      <c r="D55" s="270" t="s">
        <v>231</v>
      </c>
      <c r="E55" s="303"/>
      <c r="F55" s="359" t="s">
        <v>575</v>
      </c>
      <c r="G55" s="309"/>
      <c r="I55" s="408"/>
      <c r="J55" s="257"/>
      <c r="K55" s="363"/>
      <c r="L55" s="257"/>
      <c r="M55" s="203"/>
    </row>
    <row r="56" spans="1:13" x14ac:dyDescent="0.2">
      <c r="A56" s="272" t="s">
        <v>210</v>
      </c>
      <c r="B56" s="76">
        <f>+Rates!T32</f>
        <v>0.11260793178344446</v>
      </c>
      <c r="C56" s="76">
        <f>+C57+B56</f>
        <v>0.18050136299901753</v>
      </c>
      <c r="D56" s="76">
        <f>SUM(Rates!T27,Rates!T37,Rates!T32)</f>
        <v>0.3256135006062556</v>
      </c>
      <c r="E56" s="302"/>
      <c r="F56" s="360" t="s">
        <v>114</v>
      </c>
      <c r="G56" s="302">
        <f>Rates!AC34</f>
        <v>5.8319935626634428E-2</v>
      </c>
      <c r="H56" s="77"/>
      <c r="I56" s="255"/>
      <c r="J56" s="255"/>
      <c r="K56" s="255"/>
      <c r="L56" s="255"/>
      <c r="M56" s="203"/>
    </row>
    <row r="57" spans="1:13" x14ac:dyDescent="0.2">
      <c r="A57" s="272" t="s">
        <v>211</v>
      </c>
      <c r="B57" s="76"/>
      <c r="C57" s="304">
        <f>+Rates!T37</f>
        <v>6.7893431215573063E-2</v>
      </c>
      <c r="D57" s="304">
        <f>+Rates!T37+Rates!T27</f>
        <v>0.21300556882281113</v>
      </c>
      <c r="E57" s="302"/>
      <c r="F57" s="361"/>
      <c r="G57" s="361"/>
      <c r="H57" s="283"/>
      <c r="I57" s="456"/>
      <c r="J57" s="456" t="s">
        <v>684</v>
      </c>
      <c r="K57" s="456"/>
      <c r="L57" s="457"/>
      <c r="M57" s="203"/>
    </row>
    <row r="58" spans="1:13" x14ac:dyDescent="0.2">
      <c r="A58" s="272" t="s">
        <v>212</v>
      </c>
      <c r="B58" s="76"/>
      <c r="C58" s="76"/>
      <c r="D58" s="76">
        <f>+Rates!T27</f>
        <v>0.14511213760723807</v>
      </c>
      <c r="E58" s="302"/>
      <c r="F58" s="67"/>
      <c r="G58" s="458"/>
      <c r="H58" s="257" t="s">
        <v>683</v>
      </c>
      <c r="I58" s="255"/>
      <c r="J58" s="255"/>
      <c r="K58" s="255"/>
      <c r="L58" s="459"/>
      <c r="M58" s="203"/>
    </row>
    <row r="59" spans="1:13" x14ac:dyDescent="0.2">
      <c r="A59" s="305"/>
      <c r="B59" s="280" t="s">
        <v>340</v>
      </c>
      <c r="C59" s="280"/>
      <c r="D59" s="280"/>
      <c r="E59" s="74"/>
      <c r="F59" s="67"/>
      <c r="G59" s="254"/>
      <c r="H59" s="455">
        <v>0</v>
      </c>
      <c r="I59" s="455" t="s">
        <v>201</v>
      </c>
      <c r="J59" s="455">
        <v>1</v>
      </c>
      <c r="K59" s="455">
        <v>2</v>
      </c>
      <c r="L59" s="460">
        <v>3</v>
      </c>
      <c r="M59" s="203"/>
    </row>
    <row r="60" spans="1:13" x14ac:dyDescent="0.2">
      <c r="G60" s="461" t="s">
        <v>200</v>
      </c>
      <c r="H60" s="374">
        <f>+Rates!H238</f>
        <v>6.901169826542905E-2</v>
      </c>
      <c r="I60" s="455"/>
      <c r="J60" s="374">
        <f>+Rates!H244</f>
        <v>0.13541615416154137</v>
      </c>
      <c r="K60" s="374">
        <f>+Rates!H250</f>
        <v>0.22110913466569024</v>
      </c>
      <c r="L60" s="379">
        <f>+Rates!H256</f>
        <v>0.24809604043807884</v>
      </c>
      <c r="M60" s="203"/>
    </row>
    <row r="61" spans="1:13" ht="13.5" thickBot="1" x14ac:dyDescent="0.25">
      <c r="F61" s="288"/>
      <c r="G61" s="462" t="s">
        <v>201</v>
      </c>
      <c r="H61" s="378"/>
      <c r="I61" s="374">
        <f>+Rates!H262</f>
        <v>7.4035840484603849E-2</v>
      </c>
      <c r="J61" s="455"/>
      <c r="K61" s="455"/>
      <c r="L61" s="460"/>
      <c r="M61" s="203"/>
    </row>
    <row r="62" spans="1:13" ht="13.5" thickBot="1" x14ac:dyDescent="0.25">
      <c r="A62" s="121" t="s">
        <v>394</v>
      </c>
      <c r="B62" s="122"/>
      <c r="C62" s="122"/>
      <c r="D62" s="122"/>
      <c r="E62" s="122"/>
      <c r="F62" s="330">
        <f>Rates!A1</f>
        <v>37028</v>
      </c>
      <c r="G62" s="455">
        <v>1</v>
      </c>
      <c r="H62" s="378"/>
      <c r="I62" s="455"/>
      <c r="J62" s="374">
        <f>+Rates!H268</f>
        <v>0.10538657171922669</v>
      </c>
      <c r="K62" s="374">
        <f>+Rates!H274</f>
        <v>0.190937078185028</v>
      </c>
      <c r="L62" s="285">
        <f>+Rates!H280</f>
        <v>0.21742921324835493</v>
      </c>
      <c r="M62" s="203"/>
    </row>
    <row r="63" spans="1:13" x14ac:dyDescent="0.2">
      <c r="A63" s="118" t="s">
        <v>381</v>
      </c>
      <c r="B63" s="79">
        <f>+Rates!B6</f>
        <v>4.18</v>
      </c>
      <c r="D63" s="80" t="s">
        <v>388</v>
      </c>
      <c r="E63" s="79">
        <f>Rates!T3</f>
        <v>4.1449999999999996</v>
      </c>
      <c r="F63" s="513" t="str">
        <f>Rates!A2</f>
        <v xml:space="preserve">Gas Daily </v>
      </c>
      <c r="G63" s="527"/>
      <c r="H63" s="252"/>
      <c r="I63" s="528"/>
      <c r="J63" s="528"/>
      <c r="K63" s="529"/>
      <c r="L63" s="255"/>
      <c r="M63" s="203"/>
    </row>
    <row r="64" spans="1:13" ht="13.5" thickBot="1" x14ac:dyDescent="0.25">
      <c r="A64" s="66" t="s">
        <v>382</v>
      </c>
      <c r="B64" s="119">
        <f>+Rates!B5</f>
        <v>4.21</v>
      </c>
      <c r="C64" s="66"/>
      <c r="D64" s="69" t="s">
        <v>29</v>
      </c>
      <c r="E64" s="79">
        <f>Rates!T4</f>
        <v>4.2128934312155728</v>
      </c>
      <c r="F64" s="510" t="str">
        <f>Rates!B2</f>
        <v>-.30</v>
      </c>
      <c r="G64" s="511"/>
      <c r="H64" s="257" t="s">
        <v>762</v>
      </c>
      <c r="I64" s="255"/>
      <c r="J64" s="255"/>
      <c r="K64" s="459"/>
      <c r="L64" s="255"/>
      <c r="M64" s="203"/>
    </row>
    <row r="65" spans="1:13" x14ac:dyDescent="0.2">
      <c r="A65" s="66" t="s">
        <v>383</v>
      </c>
      <c r="B65" s="79">
        <f>Rates!B4</f>
        <v>4.2549999999999999</v>
      </c>
      <c r="C65" s="67"/>
      <c r="D65" s="117" t="s">
        <v>385</v>
      </c>
      <c r="E65" s="203">
        <f>+Rates!AF3</f>
        <v>4.1449999999999996</v>
      </c>
      <c r="G65" s="254"/>
      <c r="H65" s="257"/>
      <c r="I65" s="514" t="s">
        <v>765</v>
      </c>
      <c r="J65" s="514" t="s">
        <v>766</v>
      </c>
      <c r="K65" s="523" t="s">
        <v>761</v>
      </c>
      <c r="L65" s="255"/>
      <c r="M65" s="203"/>
    </row>
    <row r="66" spans="1:13" x14ac:dyDescent="0.2">
      <c r="A66" s="118" t="s">
        <v>384</v>
      </c>
      <c r="B66" s="79">
        <f>Rates!B3</f>
        <v>4.16</v>
      </c>
      <c r="C66" s="67"/>
      <c r="D66" s="47" t="s">
        <v>389</v>
      </c>
      <c r="E66" s="79">
        <f>+Rates!H4</f>
        <v>4.07</v>
      </c>
      <c r="G66" s="254" t="s">
        <v>771</v>
      </c>
      <c r="H66" s="75"/>
      <c r="I66" s="519">
        <f>+Rates!AR17</f>
        <v>0.14164426229508226</v>
      </c>
      <c r="J66" s="519">
        <f>+Rates!AR41</f>
        <v>0.12464426229508226</v>
      </c>
      <c r="K66" s="524">
        <f>+Rates!AR35</f>
        <v>0.43148032786885293</v>
      </c>
      <c r="L66" s="255"/>
      <c r="M66" s="203"/>
    </row>
    <row r="67" spans="1:13" x14ac:dyDescent="0.2">
      <c r="A67" s="118" t="s">
        <v>387</v>
      </c>
      <c r="B67" s="79">
        <f>Rates!B7</f>
        <v>4.6157448979591837</v>
      </c>
      <c r="C67" s="67"/>
      <c r="D67" s="80" t="s">
        <v>559</v>
      </c>
      <c r="E67" s="79">
        <f>+Rates!H5</f>
        <v>4.41</v>
      </c>
      <c r="G67" s="254" t="s">
        <v>772</v>
      </c>
      <c r="H67" s="75"/>
      <c r="I67" s="520">
        <f>+Rates!AR23</f>
        <v>0.13648032786885295</v>
      </c>
      <c r="J67" s="520">
        <f>+Rates!AR48</f>
        <v>0.11948032786885295</v>
      </c>
      <c r="K67" s="525">
        <f>+Rates!AR35</f>
        <v>0.43148032786885293</v>
      </c>
      <c r="L67" s="257"/>
      <c r="M67" s="203"/>
    </row>
    <row r="68" spans="1:13" x14ac:dyDescent="0.2">
      <c r="A68" s="66" t="s">
        <v>84</v>
      </c>
      <c r="B68" s="79">
        <f>Rates!K5</f>
        <v>4.0199999999999996</v>
      </c>
      <c r="D68" s="117" t="s">
        <v>386</v>
      </c>
      <c r="E68" s="79">
        <f>Rates!Z3</f>
        <v>4.4000000000000004</v>
      </c>
      <c r="G68" s="254"/>
      <c r="H68" s="75"/>
      <c r="I68" s="255"/>
      <c r="J68" s="255"/>
      <c r="K68" s="459"/>
      <c r="L68" s="255"/>
      <c r="M68" s="203"/>
    </row>
    <row r="69" spans="1:13" x14ac:dyDescent="0.2">
      <c r="A69" s="66" t="s">
        <v>85</v>
      </c>
      <c r="B69" s="79">
        <f>Rates!K4</f>
        <v>4.0999999999999996</v>
      </c>
      <c r="D69" s="117" t="s">
        <v>287</v>
      </c>
      <c r="E69" s="79">
        <f>Rates!W3</f>
        <v>4.3899999999999997</v>
      </c>
      <c r="G69" s="254"/>
      <c r="H69" s="75" t="s">
        <v>343</v>
      </c>
      <c r="I69" s="512">
        <v>3.4799999999999998E-2</v>
      </c>
      <c r="J69" s="512">
        <v>1.78E-2</v>
      </c>
      <c r="K69" s="309">
        <v>0.32979999999999998</v>
      </c>
      <c r="L69" s="255"/>
      <c r="M69" s="203"/>
    </row>
    <row r="70" spans="1:13" x14ac:dyDescent="0.2">
      <c r="A70" s="118" t="s">
        <v>83</v>
      </c>
      <c r="B70" s="79">
        <f>Rates!K3</f>
        <v>4.12</v>
      </c>
      <c r="D70" s="80" t="s">
        <v>410</v>
      </c>
      <c r="E70" s="79">
        <f>Rates!AI3</f>
        <v>4.3</v>
      </c>
      <c r="G70" s="73"/>
      <c r="H70" s="134" t="s">
        <v>192</v>
      </c>
      <c r="I70" s="522">
        <v>2.4E-2</v>
      </c>
      <c r="J70" s="522">
        <v>2.4E-2</v>
      </c>
      <c r="K70" s="526">
        <v>2.4E-2</v>
      </c>
      <c r="L70" s="255"/>
      <c r="M70" s="203"/>
    </row>
    <row r="71" spans="1:13" x14ac:dyDescent="0.2">
      <c r="A71" s="118" t="s">
        <v>207</v>
      </c>
      <c r="B71" s="79">
        <f>Rates!K6</f>
        <v>4.2450000000000001</v>
      </c>
      <c r="E71" s="79"/>
      <c r="I71" s="255"/>
      <c r="J71" s="255"/>
      <c r="K71" s="255"/>
      <c r="L71" s="255"/>
      <c r="M71" s="203"/>
    </row>
    <row r="72" spans="1:13" x14ac:dyDescent="0.2">
      <c r="A72" s="118" t="s">
        <v>91</v>
      </c>
      <c r="B72" s="79">
        <f>Rates!K7</f>
        <v>4.53</v>
      </c>
      <c r="D72" s="369" t="s">
        <v>585</v>
      </c>
      <c r="E72" s="370">
        <f>Rates!D2</f>
        <v>4.165</v>
      </c>
      <c r="I72" s="255"/>
      <c r="J72" s="255"/>
      <c r="K72" s="255"/>
      <c r="L72" s="255"/>
      <c r="M72" s="203"/>
    </row>
    <row r="73" spans="1:13" x14ac:dyDescent="0.2">
      <c r="I73" s="255"/>
      <c r="J73" s="255"/>
      <c r="K73" s="255"/>
      <c r="L73" s="255"/>
      <c r="M73" s="203"/>
    </row>
    <row r="74" spans="1:13" x14ac:dyDescent="0.2">
      <c r="I74" s="255"/>
      <c r="J74" s="255"/>
      <c r="K74" s="255"/>
      <c r="L74" s="255"/>
      <c r="M74" s="203"/>
    </row>
    <row r="75" spans="1:13" x14ac:dyDescent="0.2">
      <c r="I75" s="255"/>
      <c r="J75" s="255"/>
      <c r="K75" s="255"/>
      <c r="L75" s="255"/>
      <c r="M75" s="203"/>
    </row>
    <row r="76" spans="1:13" x14ac:dyDescent="0.2">
      <c r="I76" s="255"/>
      <c r="J76" s="255"/>
      <c r="K76" s="255"/>
      <c r="L76" s="255"/>
      <c r="M76" s="203"/>
    </row>
    <row r="77" spans="1:13" x14ac:dyDescent="0.2">
      <c r="I77" s="257"/>
      <c r="J77" s="75"/>
      <c r="K77" s="75"/>
      <c r="L77" s="75"/>
      <c r="M77" s="203"/>
    </row>
    <row r="78" spans="1:13" x14ac:dyDescent="0.2">
      <c r="I78" s="75"/>
      <c r="J78" s="257"/>
      <c r="K78" s="75"/>
      <c r="L78" s="257"/>
      <c r="M78" s="203"/>
    </row>
    <row r="79" spans="1:13" x14ac:dyDescent="0.2">
      <c r="I79" s="255"/>
      <c r="J79" s="255"/>
      <c r="K79" s="255"/>
      <c r="L79" s="255"/>
      <c r="M79" s="203"/>
    </row>
    <row r="80" spans="1:13" x14ac:dyDescent="0.2">
      <c r="I80" s="255"/>
      <c r="J80" s="255"/>
      <c r="K80" s="255"/>
      <c r="L80" s="255"/>
      <c r="M80" s="203"/>
    </row>
    <row r="81" spans="9:13" x14ac:dyDescent="0.2">
      <c r="I81" s="255"/>
      <c r="J81" s="255"/>
      <c r="K81" s="255"/>
      <c r="L81" s="255"/>
      <c r="M81" s="203"/>
    </row>
    <row r="82" spans="9:13" x14ac:dyDescent="0.2">
      <c r="I82" s="255"/>
      <c r="J82" s="255"/>
      <c r="K82" s="255"/>
      <c r="L82" s="255"/>
      <c r="M82" s="203"/>
    </row>
    <row r="83" spans="9:13" x14ac:dyDescent="0.2">
      <c r="I83" s="255"/>
      <c r="J83" s="255"/>
      <c r="K83" s="255"/>
      <c r="L83" s="255"/>
      <c r="M83" s="203"/>
    </row>
    <row r="84" spans="9:13" x14ac:dyDescent="0.2">
      <c r="I84" s="255"/>
      <c r="J84" s="255"/>
      <c r="K84" s="255"/>
      <c r="L84" s="255"/>
    </row>
    <row r="85" spans="9:13" x14ac:dyDescent="0.2">
      <c r="I85" s="255"/>
      <c r="J85" s="255"/>
      <c r="K85" s="255"/>
      <c r="L85" s="255"/>
    </row>
    <row r="86" spans="9:13" x14ac:dyDescent="0.2">
      <c r="I86" s="251"/>
      <c r="J86" s="251"/>
      <c r="K86" s="251"/>
      <c r="L86" s="251"/>
    </row>
    <row r="87" spans="9:13" x14ac:dyDescent="0.2">
      <c r="I87" s="251"/>
      <c r="J87" s="251"/>
      <c r="K87" s="251"/>
      <c r="L87" s="251"/>
    </row>
    <row r="88" spans="9:13" x14ac:dyDescent="0.2">
      <c r="I88" s="251"/>
      <c r="J88" s="251"/>
      <c r="K88" s="251"/>
      <c r="L88" s="251"/>
    </row>
    <row r="89" spans="9:13" x14ac:dyDescent="0.2">
      <c r="I89" s="251"/>
      <c r="J89" s="251"/>
      <c r="K89" s="251"/>
      <c r="L89" s="251"/>
    </row>
    <row r="90" spans="9:13" x14ac:dyDescent="0.2">
      <c r="I90" s="251"/>
      <c r="J90" s="251"/>
      <c r="K90" s="251"/>
      <c r="L90" s="251"/>
    </row>
  </sheetData>
  <phoneticPr fontId="0" type="noConversion"/>
  <pageMargins left="0.75" right="0.75" top="1" bottom="1" header="0.5" footer="0.5"/>
  <pageSetup scale="72" orientation="portrait" r:id="rId1"/>
  <headerFooter alignWithMargins="0">
    <oddHeader xml:space="preserve">&amp;C&amp;14May
 2001 Rates Using Current Cash Prices
</oddHeader>
    <oddFooter>&amp;L&amp;D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R280"/>
  <sheetViews>
    <sheetView workbookViewId="0">
      <pane ySplit="7" topLeftCell="A8" activePane="bottomLeft" state="frozen"/>
      <selection activeCell="G38" sqref="G38"/>
      <selection pane="bottomLeft" activeCell="B1" sqref="B1"/>
    </sheetView>
  </sheetViews>
  <sheetFormatPr defaultRowHeight="12.75" x14ac:dyDescent="0.2"/>
  <cols>
    <col min="1" max="1" width="11.85546875" style="34" customWidth="1"/>
    <col min="2" max="2" width="10.85546875" style="34" customWidth="1"/>
    <col min="3" max="3" width="4" style="34" customWidth="1"/>
    <col min="4" max="4" width="11.85546875" style="34" customWidth="1"/>
    <col min="5" max="5" width="12" style="34" customWidth="1"/>
    <col min="6" max="6" width="2.85546875" style="34" customWidth="1"/>
    <col min="7" max="8" width="10.85546875" style="34" customWidth="1"/>
    <col min="9" max="9" width="2.85546875" style="34" customWidth="1"/>
    <col min="10" max="11" width="10.85546875" style="161" customWidth="1"/>
    <col min="12" max="12" width="2.85546875" style="34" customWidth="1"/>
    <col min="13" max="14" width="10.85546875" style="34" customWidth="1"/>
    <col min="15" max="15" width="2.85546875" style="34" customWidth="1"/>
    <col min="16" max="17" width="10.85546875" style="34" customWidth="1"/>
    <col min="18" max="18" width="2.85546875" style="34" customWidth="1"/>
    <col min="19" max="20" width="10.85546875" style="34" customWidth="1"/>
    <col min="21" max="21" width="2.85546875" style="34" customWidth="1"/>
    <col min="22" max="23" width="10.85546875" style="34" customWidth="1"/>
    <col min="24" max="24" width="2.85546875" style="34" customWidth="1"/>
    <col min="25" max="25" width="12.140625" style="34" customWidth="1"/>
    <col min="26" max="26" width="10.85546875" style="34" customWidth="1"/>
    <col min="27" max="27" width="3.42578125" style="34" customWidth="1"/>
    <col min="28" max="28" width="9.28515625" style="34" bestFit="1" customWidth="1"/>
    <col min="29" max="29" width="9.140625" style="34"/>
    <col min="30" max="30" width="3.42578125" style="34" customWidth="1"/>
    <col min="31" max="32" width="9.140625" style="34"/>
    <col min="33" max="33" width="3.42578125" style="34" customWidth="1"/>
    <col min="34" max="34" width="9.28515625" style="34" bestFit="1" customWidth="1"/>
    <col min="35" max="35" width="9.140625" style="34"/>
    <col min="36" max="36" width="3.42578125" style="34" customWidth="1"/>
    <col min="37" max="38" width="9.140625" style="34"/>
    <col min="39" max="39" width="10.28515625" style="34" customWidth="1"/>
    <col min="40" max="40" width="9.140625" style="34"/>
    <col min="41" max="41" width="11" style="34" customWidth="1"/>
    <col min="42" max="42" width="9.140625" style="34"/>
    <col min="43" max="43" width="11.5703125" style="34" customWidth="1"/>
    <col min="44" max="44" width="11.140625" style="34" customWidth="1"/>
    <col min="45" max="16384" width="9.140625" style="34"/>
  </cols>
  <sheetData>
    <row r="1" spans="1:44" ht="13.5" thickBot="1" x14ac:dyDescent="0.25">
      <c r="A1" s="246">
        <v>37028</v>
      </c>
      <c r="B1" s="34">
        <v>4.22</v>
      </c>
      <c r="D1" s="371" t="s">
        <v>585</v>
      </c>
      <c r="J1" s="391"/>
      <c r="K1" s="391"/>
    </row>
    <row r="2" spans="1:44" ht="13.5" thickTop="1" x14ac:dyDescent="0.2">
      <c r="A2" s="82" t="s">
        <v>86</v>
      </c>
      <c r="B2" s="243" t="s">
        <v>776</v>
      </c>
      <c r="C2" s="82"/>
      <c r="D2" s="372">
        <v>4.165</v>
      </c>
      <c r="E2" s="422" t="s">
        <v>87</v>
      </c>
      <c r="F2" s="82"/>
      <c r="G2" s="82" t="s">
        <v>45</v>
      </c>
      <c r="H2" s="411"/>
      <c r="I2" s="82"/>
      <c r="J2" s="392" t="s">
        <v>45</v>
      </c>
      <c r="K2" s="395"/>
      <c r="L2" s="82"/>
      <c r="M2" s="82"/>
      <c r="N2" s="422" t="s">
        <v>87</v>
      </c>
      <c r="O2" s="82"/>
      <c r="P2" s="82"/>
      <c r="Q2" s="126"/>
      <c r="R2" s="82"/>
      <c r="S2" s="82"/>
      <c r="T2" s="126"/>
      <c r="U2" s="82"/>
      <c r="V2" s="82"/>
      <c r="W2" s="126"/>
      <c r="X2" s="82" t="s">
        <v>45</v>
      </c>
      <c r="Y2" s="82" t="s">
        <v>45</v>
      </c>
      <c r="Z2" s="82" t="s">
        <v>45</v>
      </c>
      <c r="AC2" s="34" t="s">
        <v>314</v>
      </c>
      <c r="AF2" s="34">
        <v>4.4775</v>
      </c>
      <c r="AH2" s="362" t="s">
        <v>111</v>
      </c>
    </row>
    <row r="3" spans="1:44" x14ac:dyDescent="0.2">
      <c r="A3" s="83" t="s">
        <v>88</v>
      </c>
      <c r="B3" s="155">
        <v>4.16</v>
      </c>
      <c r="C3" s="82"/>
      <c r="D3" s="83" t="s">
        <v>88</v>
      </c>
      <c r="E3" s="423">
        <f>+B3</f>
        <v>4.16</v>
      </c>
      <c r="F3" s="82"/>
      <c r="G3" s="101" t="s">
        <v>89</v>
      </c>
      <c r="H3" s="412">
        <v>4.0149999999999997</v>
      </c>
      <c r="I3" s="82"/>
      <c r="J3" s="396" t="s">
        <v>75</v>
      </c>
      <c r="K3" s="397">
        <v>4.12</v>
      </c>
      <c r="L3" s="82"/>
      <c r="M3" s="83" t="s">
        <v>75</v>
      </c>
      <c r="N3" s="423">
        <f>+K3</f>
        <v>4.12</v>
      </c>
      <c r="O3" s="82"/>
      <c r="P3" s="83" t="s">
        <v>425</v>
      </c>
      <c r="Q3" s="127">
        <v>4.12</v>
      </c>
      <c r="R3" s="82" t="s">
        <v>45</v>
      </c>
      <c r="S3" s="83" t="s">
        <v>90</v>
      </c>
      <c r="T3" s="127">
        <v>4.1449999999999996</v>
      </c>
      <c r="U3" s="82" t="s">
        <v>45</v>
      </c>
      <c r="V3" s="83" t="s">
        <v>287</v>
      </c>
      <c r="W3" s="127">
        <v>4.3899999999999997</v>
      </c>
      <c r="X3" s="82"/>
      <c r="Y3" s="407" t="s">
        <v>632</v>
      </c>
      <c r="Z3" s="128">
        <v>4.4000000000000004</v>
      </c>
      <c r="AB3" s="83" t="s">
        <v>91</v>
      </c>
      <c r="AC3" s="435">
        <v>6.5</v>
      </c>
      <c r="AE3" s="65" t="s">
        <v>726</v>
      </c>
      <c r="AF3" s="128">
        <v>4.1449999999999996</v>
      </c>
      <c r="AH3" s="83" t="s">
        <v>253</v>
      </c>
      <c r="AI3" s="127">
        <v>4.3</v>
      </c>
      <c r="AK3" s="83" t="s">
        <v>548</v>
      </c>
      <c r="AL3" s="127">
        <f>4.32+0.2</f>
        <v>4.5200000000000005</v>
      </c>
      <c r="AM3" s="65" t="s">
        <v>753</v>
      </c>
      <c r="AN3" s="521">
        <v>4.3449999999999998</v>
      </c>
      <c r="AO3" s="65" t="s">
        <v>754</v>
      </c>
      <c r="AP3" s="521">
        <v>4.1349999999999998</v>
      </c>
    </row>
    <row r="4" spans="1:44" x14ac:dyDescent="0.2">
      <c r="A4" s="83" t="s">
        <v>92</v>
      </c>
      <c r="B4" s="156">
        <f>+B1+0.035</f>
        <v>4.2549999999999999</v>
      </c>
      <c r="C4" s="66"/>
      <c r="D4" s="83" t="s">
        <v>92</v>
      </c>
      <c r="E4" s="423">
        <f>+B4</f>
        <v>4.2549999999999999</v>
      </c>
      <c r="F4" s="66"/>
      <c r="G4" s="101" t="s">
        <v>93</v>
      </c>
      <c r="H4" s="156">
        <v>4.07</v>
      </c>
      <c r="I4" s="82"/>
      <c r="J4" s="396" t="s">
        <v>76</v>
      </c>
      <c r="K4" s="397">
        <v>4.0999999999999996</v>
      </c>
      <c r="L4" s="82"/>
      <c r="M4" s="83" t="s">
        <v>76</v>
      </c>
      <c r="N4" s="423">
        <f>+K4</f>
        <v>4.0999999999999996</v>
      </c>
      <c r="O4" s="82"/>
      <c r="P4" s="83"/>
      <c r="Q4" s="127"/>
      <c r="R4" s="82"/>
      <c r="S4" s="83" t="s">
        <v>636</v>
      </c>
      <c r="T4" s="127">
        <f>+T3+T37</f>
        <v>4.2128934312155728</v>
      </c>
      <c r="U4" s="82"/>
      <c r="V4" s="83"/>
      <c r="W4" s="127">
        <f>+W17+W3</f>
        <v>4.5379460051016203</v>
      </c>
      <c r="X4" s="82"/>
      <c r="Y4" s="82"/>
      <c r="Z4" s="82"/>
      <c r="AB4" s="65" t="s">
        <v>257</v>
      </c>
      <c r="AE4" s="65" t="s">
        <v>256</v>
      </c>
      <c r="AL4" s="120"/>
    </row>
    <row r="5" spans="1:44" x14ac:dyDescent="0.2">
      <c r="A5" s="83" t="s">
        <v>94</v>
      </c>
      <c r="B5" s="157">
        <f>+B1-0.01</f>
        <v>4.21</v>
      </c>
      <c r="C5" s="67"/>
      <c r="D5" s="83" t="s">
        <v>94</v>
      </c>
      <c r="E5" s="423">
        <f>+B5</f>
        <v>4.21</v>
      </c>
      <c r="F5" s="67"/>
      <c r="G5" s="101" t="s">
        <v>74</v>
      </c>
      <c r="H5" s="157">
        <v>4.41</v>
      </c>
      <c r="I5" s="82"/>
      <c r="J5" s="396" t="s">
        <v>95</v>
      </c>
      <c r="K5" s="397">
        <v>4.0199999999999996</v>
      </c>
      <c r="L5" s="82"/>
      <c r="M5" s="83" t="s">
        <v>95</v>
      </c>
      <c r="N5" s="423">
        <f>+K5</f>
        <v>4.0199999999999996</v>
      </c>
      <c r="O5" s="82"/>
      <c r="P5" s="83"/>
      <c r="Q5" s="126"/>
      <c r="R5" s="82"/>
      <c r="S5" s="83" t="s">
        <v>637</v>
      </c>
      <c r="T5" s="126">
        <f>+T4+T27</f>
        <v>4.3580055688228105</v>
      </c>
      <c r="U5" s="82"/>
      <c r="V5" s="83"/>
      <c r="W5" s="126"/>
      <c r="X5" s="82"/>
      <c r="Y5" s="82"/>
      <c r="Z5" s="129"/>
      <c r="AF5" s="120">
        <f>+AF2-AF3-AF23</f>
        <v>0.17486553998351273</v>
      </c>
      <c r="AL5" s="120"/>
    </row>
    <row r="6" spans="1:44" s="75" customFormat="1" x14ac:dyDescent="0.2">
      <c r="A6" s="101" t="s">
        <v>96</v>
      </c>
      <c r="B6" s="476">
        <f>+B1-0.04</f>
        <v>4.18</v>
      </c>
      <c r="C6" s="67"/>
      <c r="D6" s="101" t="s">
        <v>96</v>
      </c>
      <c r="E6" s="423">
        <f>+B6</f>
        <v>4.18</v>
      </c>
      <c r="F6" s="67"/>
      <c r="I6" s="114"/>
      <c r="J6" s="393" t="s">
        <v>97</v>
      </c>
      <c r="K6" s="398">
        <v>4.2450000000000001</v>
      </c>
      <c r="L6" s="114"/>
      <c r="M6" s="101" t="s">
        <v>97</v>
      </c>
      <c r="N6" s="423">
        <f>+K6</f>
        <v>4.2450000000000001</v>
      </c>
      <c r="O6" s="114"/>
      <c r="P6" s="101"/>
      <c r="Q6" s="130"/>
      <c r="R6" s="114"/>
      <c r="S6" s="101" t="s">
        <v>662</v>
      </c>
      <c r="T6" s="130">
        <f>+T5-T3</f>
        <v>0.21300556882281096</v>
      </c>
      <c r="U6" s="114"/>
      <c r="V6" s="101"/>
      <c r="W6" s="130"/>
      <c r="X6" s="114"/>
      <c r="Y6" s="114"/>
      <c r="Z6" s="131"/>
    </row>
    <row r="7" spans="1:44" s="134" customFormat="1" x14ac:dyDescent="0.2">
      <c r="A7" s="115" t="s">
        <v>348</v>
      </c>
      <c r="B7" s="157">
        <f>+AL3+AL17</f>
        <v>4.6157448979591837</v>
      </c>
      <c r="C7" s="67"/>
      <c r="D7" s="115" t="s">
        <v>348</v>
      </c>
      <c r="E7" s="423">
        <f>+B7</f>
        <v>4.6157448979591837</v>
      </c>
      <c r="F7" s="67"/>
      <c r="G7" s="67"/>
      <c r="H7" s="67"/>
      <c r="I7" s="116"/>
      <c r="J7" s="399" t="s">
        <v>91</v>
      </c>
      <c r="K7" s="400">
        <v>4.53</v>
      </c>
      <c r="L7" s="116"/>
      <c r="M7" s="115" t="s">
        <v>91</v>
      </c>
      <c r="N7" s="423">
        <f>+K7</f>
        <v>4.53</v>
      </c>
      <c r="O7" s="116"/>
      <c r="P7" s="115"/>
      <c r="Q7" s="132"/>
      <c r="R7" s="116"/>
      <c r="S7" s="115"/>
      <c r="T7" s="132"/>
      <c r="U7" s="116"/>
      <c r="V7" s="115"/>
      <c r="W7" s="132"/>
      <c r="X7" s="116"/>
      <c r="Y7" s="116"/>
      <c r="Z7" s="133"/>
    </row>
    <row r="8" spans="1:44" x14ac:dyDescent="0.2">
      <c r="A8" s="135" t="s">
        <v>98</v>
      </c>
      <c r="B8" s="81"/>
      <c r="C8" s="67"/>
      <c r="D8" s="67" t="s">
        <v>705</v>
      </c>
      <c r="E8" s="67"/>
      <c r="F8" s="67"/>
      <c r="G8" s="415" t="s">
        <v>714</v>
      </c>
      <c r="H8" s="67"/>
      <c r="I8" s="135"/>
      <c r="J8" s="172" t="s">
        <v>695</v>
      </c>
      <c r="K8" s="173"/>
      <c r="L8" s="82"/>
      <c r="M8" s="172" t="s">
        <v>695</v>
      </c>
      <c r="N8" s="405"/>
      <c r="O8" s="82"/>
      <c r="P8" s="83"/>
      <c r="Q8" s="126"/>
      <c r="R8" s="82"/>
      <c r="S8" s="135" t="s">
        <v>545</v>
      </c>
      <c r="T8" s="126"/>
      <c r="U8" s="82"/>
      <c r="V8" s="83" t="s">
        <v>242</v>
      </c>
      <c r="W8" s="126"/>
      <c r="X8" s="82"/>
      <c r="Y8" s="83" t="s">
        <v>246</v>
      </c>
      <c r="Z8" s="82"/>
      <c r="AB8" s="34" t="s">
        <v>254</v>
      </c>
      <c r="AE8" s="34" t="s">
        <v>254</v>
      </c>
      <c r="AH8" s="34" t="s">
        <v>99</v>
      </c>
      <c r="AK8" s="34" t="s">
        <v>549</v>
      </c>
    </row>
    <row r="9" spans="1:44" x14ac:dyDescent="0.2">
      <c r="A9" s="135" t="s">
        <v>100</v>
      </c>
      <c r="B9" s="67"/>
      <c r="C9" s="67"/>
      <c r="D9" s="67"/>
      <c r="E9" s="67"/>
      <c r="F9" s="67"/>
      <c r="G9" s="67" t="s">
        <v>663</v>
      </c>
      <c r="H9" s="67"/>
      <c r="I9" s="136"/>
      <c r="J9" s="174" t="s">
        <v>238</v>
      </c>
      <c r="K9" s="173"/>
      <c r="L9" s="82"/>
      <c r="M9" s="47" t="s">
        <v>417</v>
      </c>
      <c r="N9" s="405"/>
      <c r="O9" s="82"/>
      <c r="P9" s="135" t="s">
        <v>541</v>
      </c>
      <c r="Q9" s="130"/>
      <c r="R9" s="114"/>
      <c r="S9" s="101" t="s">
        <v>266</v>
      </c>
      <c r="T9" s="130"/>
      <c r="U9" s="114"/>
      <c r="V9" s="101" t="s">
        <v>611</v>
      </c>
      <c r="W9" s="130"/>
      <c r="X9" s="82"/>
      <c r="Y9" s="83" t="s">
        <v>192</v>
      </c>
      <c r="Z9" s="82"/>
      <c r="AE9" s="34" t="s">
        <v>258</v>
      </c>
      <c r="AH9" s="34" t="s">
        <v>101</v>
      </c>
      <c r="AK9" s="34" t="s">
        <v>556</v>
      </c>
    </row>
    <row r="10" spans="1:44" x14ac:dyDescent="0.2">
      <c r="A10" s="135" t="s">
        <v>704</v>
      </c>
      <c r="B10" s="67"/>
      <c r="C10" s="67"/>
      <c r="D10" s="67" t="s">
        <v>704</v>
      </c>
      <c r="E10" s="67"/>
      <c r="F10" s="67"/>
      <c r="G10" s="67" t="s">
        <v>260</v>
      </c>
      <c r="H10" s="67"/>
      <c r="I10" s="136"/>
      <c r="J10" s="175" t="s">
        <v>259</v>
      </c>
      <c r="K10" s="173"/>
      <c r="L10" s="82"/>
      <c r="M10" s="135" t="s">
        <v>259</v>
      </c>
      <c r="N10" s="405"/>
      <c r="O10" s="82"/>
      <c r="P10" s="135" t="s">
        <v>543</v>
      </c>
      <c r="Q10" s="130"/>
      <c r="R10" s="114"/>
      <c r="S10" s="101" t="s">
        <v>715</v>
      </c>
      <c r="T10" s="130"/>
      <c r="U10" s="114"/>
      <c r="V10" s="101" t="s">
        <v>267</v>
      </c>
      <c r="W10" s="130"/>
      <c r="X10" s="82"/>
      <c r="Y10" s="83" t="s">
        <v>706</v>
      </c>
      <c r="Z10" s="83"/>
      <c r="AB10" s="34" t="s">
        <v>405</v>
      </c>
      <c r="AE10" s="34" t="s">
        <v>251</v>
      </c>
      <c r="AH10" s="34" t="s">
        <v>517</v>
      </c>
      <c r="AK10" s="34" t="s">
        <v>550</v>
      </c>
    </row>
    <row r="11" spans="1:44" x14ac:dyDescent="0.2">
      <c r="A11" s="101"/>
      <c r="B11" s="47"/>
      <c r="C11" s="47"/>
      <c r="D11" s="47"/>
      <c r="E11" s="47"/>
      <c r="F11" s="47"/>
      <c r="G11" s="47" t="s">
        <v>613</v>
      </c>
      <c r="H11" s="67"/>
      <c r="I11" s="136"/>
      <c r="J11" s="135" t="s">
        <v>685</v>
      </c>
      <c r="K11" s="173"/>
      <c r="L11" s="82"/>
      <c r="M11" s="135" t="s">
        <v>685</v>
      </c>
      <c r="N11" s="405"/>
      <c r="O11" s="82"/>
      <c r="P11" s="135" t="s">
        <v>542</v>
      </c>
      <c r="Q11" s="130"/>
      <c r="R11" s="114"/>
      <c r="S11" s="479" t="s">
        <v>716</v>
      </c>
      <c r="T11" s="480"/>
      <c r="U11" s="114"/>
      <c r="V11" s="101" t="s">
        <v>720</v>
      </c>
      <c r="W11" s="130"/>
      <c r="X11" s="82"/>
      <c r="Y11" s="83"/>
      <c r="Z11" s="83"/>
      <c r="AB11" s="34" t="s">
        <v>404</v>
      </c>
      <c r="AE11" s="34" t="s">
        <v>252</v>
      </c>
      <c r="AK11" s="34" t="s">
        <v>557</v>
      </c>
    </row>
    <row r="12" spans="1:44" x14ac:dyDescent="0.2">
      <c r="A12" s="172"/>
      <c r="B12" s="245"/>
      <c r="C12" s="82"/>
      <c r="D12" s="83"/>
      <c r="E12" s="419"/>
      <c r="F12" s="99"/>
      <c r="G12" s="427"/>
      <c r="H12" s="428"/>
      <c r="I12" s="82"/>
      <c r="J12" s="170" t="s">
        <v>418</v>
      </c>
      <c r="K12" s="171"/>
      <c r="L12" s="82"/>
      <c r="M12" s="83" t="s">
        <v>282</v>
      </c>
      <c r="N12" s="127"/>
      <c r="O12" s="82"/>
      <c r="P12" s="101" t="s">
        <v>433</v>
      </c>
      <c r="Q12" s="126"/>
      <c r="R12" s="82"/>
      <c r="S12" s="83"/>
      <c r="T12" s="126"/>
      <c r="U12" s="82"/>
      <c r="V12" s="479" t="s">
        <v>716</v>
      </c>
      <c r="W12" s="480"/>
      <c r="X12" s="82"/>
      <c r="Y12" s="83"/>
      <c r="Z12" s="83"/>
      <c r="AE12" s="34" t="s">
        <v>707</v>
      </c>
      <c r="AK12" s="137">
        <v>36526</v>
      </c>
      <c r="AN12" s="34" t="s">
        <v>188</v>
      </c>
      <c r="AO12" s="138">
        <v>2.0249999999999999</v>
      </c>
    </row>
    <row r="13" spans="1:44" x14ac:dyDescent="0.2">
      <c r="A13" s="192" t="s">
        <v>22</v>
      </c>
      <c r="B13" s="177" t="s">
        <v>102</v>
      </c>
      <c r="C13" s="86"/>
      <c r="D13" s="34" t="s">
        <v>22</v>
      </c>
      <c r="E13" s="34" t="s">
        <v>103</v>
      </c>
      <c r="F13" s="89"/>
      <c r="G13" s="192" t="s">
        <v>36</v>
      </c>
      <c r="H13" s="193" t="s">
        <v>522</v>
      </c>
      <c r="I13" s="99"/>
      <c r="J13" s="176" t="s">
        <v>104</v>
      </c>
      <c r="K13" s="177" t="s">
        <v>105</v>
      </c>
      <c r="L13" s="99"/>
      <c r="M13" s="140" t="s">
        <v>602</v>
      </c>
      <c r="N13" s="85" t="s">
        <v>105</v>
      </c>
      <c r="O13" s="99"/>
      <c r="P13" s="84" t="s">
        <v>424</v>
      </c>
      <c r="Q13" s="139" t="s">
        <v>426</v>
      </c>
      <c r="R13" s="86"/>
      <c r="S13" s="84" t="s">
        <v>106</v>
      </c>
      <c r="T13" s="139" t="s">
        <v>263</v>
      </c>
      <c r="U13" s="86"/>
      <c r="V13" s="84" t="s">
        <v>107</v>
      </c>
      <c r="W13" s="139" t="s">
        <v>108</v>
      </c>
      <c r="X13" s="86"/>
      <c r="Y13" s="84" t="s">
        <v>109</v>
      </c>
      <c r="Z13" s="139" t="s">
        <v>247</v>
      </c>
      <c r="AB13" s="84" t="s">
        <v>113</v>
      </c>
      <c r="AC13" s="139" t="s">
        <v>114</v>
      </c>
      <c r="AE13" s="34" t="s">
        <v>255</v>
      </c>
      <c r="AF13" s="34" t="s">
        <v>708</v>
      </c>
      <c r="AH13" s="84" t="s">
        <v>111</v>
      </c>
      <c r="AI13" s="139" t="s">
        <v>112</v>
      </c>
      <c r="AK13" s="84" t="s">
        <v>551</v>
      </c>
      <c r="AL13" s="139" t="s">
        <v>621</v>
      </c>
      <c r="AN13" s="65" t="s">
        <v>307</v>
      </c>
      <c r="AO13" s="138"/>
      <c r="AQ13" s="34" t="s">
        <v>767</v>
      </c>
    </row>
    <row r="14" spans="1:44" x14ac:dyDescent="0.2">
      <c r="A14" s="194" t="s">
        <v>115</v>
      </c>
      <c r="B14" s="179">
        <v>2.8999999999999998E-3</v>
      </c>
      <c r="C14" s="89"/>
      <c r="D14" s="87" t="s">
        <v>240</v>
      </c>
      <c r="E14" s="98">
        <v>6.4199999999999993E-2</v>
      </c>
      <c r="F14" s="89"/>
      <c r="G14" s="194" t="s">
        <v>115</v>
      </c>
      <c r="H14" s="179">
        <v>4.3900000000000002E-2</v>
      </c>
      <c r="I14" s="89"/>
      <c r="J14" s="178" t="s">
        <v>115</v>
      </c>
      <c r="K14" s="179">
        <v>8.8000000000000005E-3</v>
      </c>
      <c r="L14" s="89"/>
      <c r="M14" s="406" t="s">
        <v>115</v>
      </c>
      <c r="N14" s="88">
        <v>0.1895</v>
      </c>
      <c r="O14" s="89"/>
      <c r="P14" s="87" t="s">
        <v>115</v>
      </c>
      <c r="Q14" s="88">
        <v>6.0000000000000001E-3</v>
      </c>
      <c r="R14" s="89"/>
      <c r="S14" s="87" t="s">
        <v>115</v>
      </c>
      <c r="T14" s="289">
        <v>2.0000000000000001E-4</v>
      </c>
      <c r="U14" s="89"/>
      <c r="V14" s="87" t="s">
        <v>115</v>
      </c>
      <c r="W14" s="289">
        <v>1.34E-2</v>
      </c>
      <c r="X14" s="89"/>
      <c r="Y14" s="87" t="s">
        <v>115</v>
      </c>
      <c r="Z14" s="289">
        <v>9.5100000000000004E-2</v>
      </c>
      <c r="AB14" s="87" t="s">
        <v>115</v>
      </c>
      <c r="AC14" s="88">
        <v>1.12E-2</v>
      </c>
      <c r="AE14" s="87" t="s">
        <v>115</v>
      </c>
      <c r="AF14" s="88">
        <f>0.004</f>
        <v>4.0000000000000001E-3</v>
      </c>
      <c r="AH14" s="87" t="s">
        <v>115</v>
      </c>
      <c r="AI14" s="88">
        <v>3.0000000000000001E-3</v>
      </c>
      <c r="AK14" s="87" t="s">
        <v>115</v>
      </c>
      <c r="AL14" s="88">
        <f>+AL20+AL26+AL32</f>
        <v>1.2999999999999999E-3</v>
      </c>
      <c r="AN14" s="34" t="s">
        <v>240</v>
      </c>
      <c r="AO14" s="138">
        <v>0.01</v>
      </c>
      <c r="AQ14" s="34" t="s">
        <v>756</v>
      </c>
      <c r="AR14" s="34">
        <v>3.1199999999999999E-2</v>
      </c>
    </row>
    <row r="15" spans="1:44" x14ac:dyDescent="0.2">
      <c r="A15" s="194" t="s">
        <v>58</v>
      </c>
      <c r="B15" s="179">
        <f>0.0022+0.007+0.0097</f>
        <v>1.89E-2</v>
      </c>
      <c r="C15" s="89"/>
      <c r="D15" s="87" t="s">
        <v>58</v>
      </c>
      <c r="E15" s="98">
        <f>0.007+0.0022+0.0097</f>
        <v>1.89E-2</v>
      </c>
      <c r="F15" s="91"/>
      <c r="G15" s="194" t="s">
        <v>58</v>
      </c>
      <c r="H15" s="179">
        <f>0.0022+0.007+0.0225</f>
        <v>3.1699999999999999E-2</v>
      </c>
      <c r="I15" s="89"/>
      <c r="J15" s="178" t="s">
        <v>58</v>
      </c>
      <c r="K15" s="179">
        <f>0.0022+0.007</f>
        <v>9.1999999999999998E-3</v>
      </c>
      <c r="L15" s="89"/>
      <c r="M15" s="406" t="s">
        <v>58</v>
      </c>
      <c r="N15" s="88">
        <f>0.0022+0.007</f>
        <v>9.1999999999999998E-3</v>
      </c>
      <c r="O15" s="89"/>
      <c r="P15" s="87" t="s">
        <v>58</v>
      </c>
      <c r="Q15" s="88">
        <f>0.0022+0.007</f>
        <v>9.1999999999999998E-3</v>
      </c>
      <c r="R15" s="89"/>
      <c r="S15" s="87" t="s">
        <v>58</v>
      </c>
      <c r="T15" s="289">
        <v>2.2000000000000001E-3</v>
      </c>
      <c r="U15" s="89"/>
      <c r="V15" s="87" t="s">
        <v>58</v>
      </c>
      <c r="W15" s="289">
        <f>0.0022+0.007</f>
        <v>9.1999999999999998E-3</v>
      </c>
      <c r="X15" s="89"/>
      <c r="Y15" s="87" t="s">
        <v>58</v>
      </c>
      <c r="Z15" s="88">
        <v>2.2000000000000001E-3</v>
      </c>
      <c r="AB15" s="87" t="s">
        <v>58</v>
      </c>
      <c r="AC15" s="88">
        <f>0.0022+0.007</f>
        <v>9.1999999999999998E-3</v>
      </c>
      <c r="AE15" s="87" t="s">
        <v>58</v>
      </c>
      <c r="AF15" s="88">
        <f>0.0022+0.007</f>
        <v>9.1999999999999998E-3</v>
      </c>
      <c r="AH15" s="87" t="s">
        <v>58</v>
      </c>
      <c r="AI15" s="88">
        <f>0.0022+0.0007-0.0002</f>
        <v>2.7000000000000001E-3</v>
      </c>
      <c r="AK15" s="87" t="s">
        <v>58</v>
      </c>
      <c r="AL15" s="88">
        <f>0.0022</f>
        <v>2.2000000000000001E-3</v>
      </c>
      <c r="AN15" s="34" t="s">
        <v>308</v>
      </c>
      <c r="AO15" s="138">
        <v>2.2000000000000001E-3</v>
      </c>
      <c r="AQ15" s="34" t="s">
        <v>58</v>
      </c>
      <c r="AR15" s="34">
        <f>0.0348-0.0312</f>
        <v>3.599999999999999E-3</v>
      </c>
    </row>
    <row r="16" spans="1:44" x14ac:dyDescent="0.2">
      <c r="A16" s="429">
        <v>3.5000000000000001E-3</v>
      </c>
      <c r="B16" s="180">
        <f>B6/(1-A16)-B6</f>
        <v>1.4681384846964463E-2</v>
      </c>
      <c r="C16" s="91"/>
      <c r="D16" s="290">
        <v>3.5000000000000001E-3</v>
      </c>
      <c r="E16" s="90">
        <f>(E6)/(1-D16)-E6</f>
        <v>1.4681384846964463E-2</v>
      </c>
      <c r="F16" s="94"/>
      <c r="G16" s="429">
        <v>8.3999999999999995E-3</v>
      </c>
      <c r="H16" s="403">
        <f>(H$3)/(1-G16)-H$3</f>
        <v>3.4011698265429047E-2</v>
      </c>
      <c r="I16" s="91"/>
      <c r="J16" s="290">
        <v>2.9399999999999999E-2</v>
      </c>
      <c r="K16" s="180">
        <f>(K$5)/(1-J16)-K$5</f>
        <v>0.1217679785699568</v>
      </c>
      <c r="L16" s="91"/>
      <c r="M16" s="290">
        <v>2.9399999999999999E-2</v>
      </c>
      <c r="N16" s="90">
        <f>(N$5)/(1-M16)-N$5</f>
        <v>0.1217679785699568</v>
      </c>
      <c r="O16" s="91"/>
      <c r="P16" s="87" t="s">
        <v>430</v>
      </c>
      <c r="Q16" s="90">
        <f>+Q$3/(1-0.015)-Q$3</f>
        <v>6.2741116751269033E-2</v>
      </c>
      <c r="R16" s="91"/>
      <c r="S16" s="87" t="s">
        <v>717</v>
      </c>
      <c r="T16" s="90">
        <f>(+T3-0.108)/(1-0.00552)-(T3-0.108)</f>
        <v>2.2407931783444468E-2</v>
      </c>
      <c r="U16" s="91"/>
      <c r="V16" s="290">
        <v>2.776E-2</v>
      </c>
      <c r="W16" s="90">
        <f>+W$3/(1-V16)-W$3</f>
        <v>0.12534600510162086</v>
      </c>
      <c r="X16" s="91"/>
      <c r="Y16" s="290">
        <v>2.2800000000000001E-2</v>
      </c>
      <c r="Z16" s="90">
        <f>+Z$3/(1-Y16)-Z$3</f>
        <v>0.10266066311911626</v>
      </c>
      <c r="AB16" s="290">
        <v>3.0000000000000001E-3</v>
      </c>
      <c r="AC16" s="90">
        <f>+AC3/(1-AB16)-AC3</f>
        <v>1.9558676028084143E-2</v>
      </c>
      <c r="AE16" s="290">
        <v>1.9E-3</v>
      </c>
      <c r="AF16" s="90">
        <f>+AF$3/(1-AE16)-AF$3</f>
        <v>7.8904919346758362E-3</v>
      </c>
      <c r="AH16" s="290">
        <v>4.0000000000000001E-3</v>
      </c>
      <c r="AI16" s="90">
        <f>+AI3/(1-AH16)-AI3</f>
        <v>1.7269076305220565E-2</v>
      </c>
      <c r="AK16" s="87" t="s">
        <v>555</v>
      </c>
      <c r="AL16" s="90">
        <f>+AL3/(1-0.02)-AL3</f>
        <v>9.2244897959183447E-2</v>
      </c>
      <c r="AN16" s="34" t="s">
        <v>309</v>
      </c>
      <c r="AO16" s="138">
        <v>0</v>
      </c>
      <c r="AQ16" s="34" t="s">
        <v>755</v>
      </c>
      <c r="AR16" s="90">
        <f>+AN3/(1-0.024)-AN3</f>
        <v>0.10684426229508226</v>
      </c>
    </row>
    <row r="17" spans="1:44" x14ac:dyDescent="0.2">
      <c r="A17" s="195"/>
      <c r="B17" s="181">
        <f>SUM(B14:B16)</f>
        <v>3.6481384846964462E-2</v>
      </c>
      <c r="C17" s="94"/>
      <c r="D17" s="87"/>
      <c r="E17" s="93">
        <f>SUM(E14:E16)</f>
        <v>9.7781384846964456E-2</v>
      </c>
      <c r="F17" s="99"/>
      <c r="G17" s="195"/>
      <c r="H17" s="181">
        <f>SUM(H14:H16)</f>
        <v>0.10961169826542905</v>
      </c>
      <c r="I17" s="94"/>
      <c r="J17" s="178"/>
      <c r="K17" s="181">
        <f>SUM(K14:K16)</f>
        <v>0.13976797856995682</v>
      </c>
      <c r="L17" s="94"/>
      <c r="M17" s="290"/>
      <c r="N17" s="90">
        <f>SUM(N14:N16)</f>
        <v>0.32046797856995679</v>
      </c>
      <c r="O17" s="94"/>
      <c r="P17" s="92"/>
      <c r="Q17" s="93">
        <f>SUM(Q14:Q16)</f>
        <v>7.7941116751269038E-2</v>
      </c>
      <c r="R17" s="94"/>
      <c r="S17" s="92"/>
      <c r="T17" s="93">
        <f>SUM(T14:T16)</f>
        <v>2.4807931783444467E-2</v>
      </c>
      <c r="U17" s="94"/>
      <c r="V17" s="92"/>
      <c r="W17" s="93">
        <f>SUM(W14:W16)</f>
        <v>0.14794600510162087</v>
      </c>
      <c r="X17" s="94">
        <v>0</v>
      </c>
      <c r="Y17" s="92"/>
      <c r="Z17" s="93">
        <f>SUM(Z14:Z16)</f>
        <v>0.19996066311911626</v>
      </c>
      <c r="AB17" s="92"/>
      <c r="AC17" s="93">
        <f>SUM(AC14:AC16)</f>
        <v>3.9958676028084145E-2</v>
      </c>
      <c r="AE17" s="92"/>
      <c r="AF17" s="93">
        <f>SUM(AF14:AF16)</f>
        <v>2.1090491934675836E-2</v>
      </c>
      <c r="AH17" s="92"/>
      <c r="AI17" s="93">
        <f>SUM(AI14:AI16)</f>
        <v>2.2969076305220566E-2</v>
      </c>
      <c r="AK17" s="92"/>
      <c r="AL17" s="93">
        <f>SUM(AL14:AL16)</f>
        <v>9.574489795918345E-2</v>
      </c>
      <c r="AN17" s="34" t="s">
        <v>310</v>
      </c>
      <c r="AO17" s="34">
        <v>1.6E-2</v>
      </c>
      <c r="AR17" s="509">
        <f>SUM(AR14:AR16)</f>
        <v>0.14164426229508226</v>
      </c>
    </row>
    <row r="18" spans="1:44" x14ac:dyDescent="0.2">
      <c r="A18" s="424" t="s">
        <v>22</v>
      </c>
      <c r="B18" s="177" t="s">
        <v>116</v>
      </c>
      <c r="C18" s="86"/>
      <c r="D18" s="34" t="s">
        <v>22</v>
      </c>
      <c r="E18" s="34" t="s">
        <v>117</v>
      </c>
      <c r="F18" s="89"/>
      <c r="G18" s="424" t="s">
        <v>36</v>
      </c>
      <c r="H18" s="430" t="s">
        <v>523</v>
      </c>
      <c r="I18" s="99"/>
      <c r="J18" s="176" t="s">
        <v>104</v>
      </c>
      <c r="K18" s="177" t="s">
        <v>118</v>
      </c>
      <c r="L18" s="99"/>
      <c r="M18" s="140" t="s">
        <v>602</v>
      </c>
      <c r="N18" s="85" t="s">
        <v>118</v>
      </c>
      <c r="O18" s="99"/>
      <c r="P18" s="95" t="s">
        <v>424</v>
      </c>
      <c r="Q18" s="141" t="s">
        <v>427</v>
      </c>
      <c r="R18" s="86"/>
      <c r="S18" s="95" t="s">
        <v>106</v>
      </c>
      <c r="T18" s="141" t="s">
        <v>119</v>
      </c>
      <c r="U18" s="86"/>
      <c r="V18" s="95" t="s">
        <v>107</v>
      </c>
      <c r="W18" s="141" t="s">
        <v>120</v>
      </c>
      <c r="X18" s="86"/>
      <c r="Y18" s="84" t="s">
        <v>109</v>
      </c>
      <c r="Z18" s="139" t="s">
        <v>248</v>
      </c>
      <c r="AN18" s="34" t="s">
        <v>311</v>
      </c>
      <c r="AO18" s="138">
        <f>+AO12/(1-AO17)-AO12</f>
        <v>3.292682926829249E-2</v>
      </c>
    </row>
    <row r="19" spans="1:44" x14ac:dyDescent="0.2">
      <c r="A19" s="194" t="s">
        <v>115</v>
      </c>
      <c r="B19" s="179">
        <v>6.0000000000000001E-3</v>
      </c>
      <c r="C19" s="89"/>
      <c r="D19" s="87" t="s">
        <v>115</v>
      </c>
      <c r="E19" s="98">
        <v>8.8099999999999998E-2</v>
      </c>
      <c r="F19" s="89"/>
      <c r="G19" s="194" t="s">
        <v>115</v>
      </c>
      <c r="H19" s="179">
        <v>6.6900000000000001E-2</v>
      </c>
      <c r="I19" s="89"/>
      <c r="J19" s="178" t="s">
        <v>115</v>
      </c>
      <c r="K19" s="179">
        <v>9.5999999999999992E-3</v>
      </c>
      <c r="L19" s="89"/>
      <c r="M19" s="406" t="s">
        <v>115</v>
      </c>
      <c r="N19" s="88">
        <v>0.1953</v>
      </c>
      <c r="O19" s="89"/>
      <c r="P19" s="87" t="s">
        <v>115</v>
      </c>
      <c r="Q19" s="88">
        <v>8.0000000000000002E-3</v>
      </c>
      <c r="R19" s="89"/>
      <c r="S19" s="87" t="s">
        <v>115</v>
      </c>
      <c r="T19" s="289">
        <v>1.6999999999999999E-3</v>
      </c>
      <c r="U19" s="89"/>
      <c r="V19" s="87" t="s">
        <v>115</v>
      </c>
      <c r="W19" s="289">
        <v>0.14410000000000001</v>
      </c>
      <c r="X19" s="89"/>
      <c r="Y19" s="87" t="s">
        <v>115</v>
      </c>
      <c r="Z19" s="289">
        <v>0.1943</v>
      </c>
      <c r="AB19" s="84" t="s">
        <v>113</v>
      </c>
      <c r="AC19" s="139" t="s">
        <v>122</v>
      </c>
      <c r="AE19" s="34" t="s">
        <v>255</v>
      </c>
      <c r="AF19" s="34" t="s">
        <v>709</v>
      </c>
      <c r="AH19" s="84" t="s">
        <v>111</v>
      </c>
      <c r="AI19" s="139" t="s">
        <v>121</v>
      </c>
      <c r="AK19" s="84" t="s">
        <v>551</v>
      </c>
      <c r="AL19" s="139" t="s">
        <v>552</v>
      </c>
      <c r="AN19" s="34" t="s">
        <v>312</v>
      </c>
      <c r="AO19" s="143">
        <f>+AO18+AO16+AO15+AO14</f>
        <v>4.5126829268292493E-2</v>
      </c>
      <c r="AQ19" s="34" t="s">
        <v>768</v>
      </c>
    </row>
    <row r="20" spans="1:44" ht="13.5" thickBot="1" x14ac:dyDescent="0.25">
      <c r="A20" s="194" t="s">
        <v>58</v>
      </c>
      <c r="B20" s="179">
        <f>0.0022+0.007+0.0097</f>
        <v>1.89E-2</v>
      </c>
      <c r="C20" s="89"/>
      <c r="D20" s="87" t="s">
        <v>58</v>
      </c>
      <c r="E20" s="98">
        <f>0.007+0.0022+0.0097</f>
        <v>1.89E-2</v>
      </c>
      <c r="F20" s="91"/>
      <c r="G20" s="194" t="s">
        <v>58</v>
      </c>
      <c r="H20" s="179">
        <f>0.0022+0.007+0.0225</f>
        <v>3.1699999999999999E-2</v>
      </c>
      <c r="I20" s="89"/>
      <c r="J20" s="178" t="s">
        <v>58</v>
      </c>
      <c r="K20" s="179">
        <f>0.0022</f>
        <v>2.2000000000000001E-3</v>
      </c>
      <c r="L20" s="89"/>
      <c r="M20" s="406" t="s">
        <v>58</v>
      </c>
      <c r="N20" s="88">
        <f>0.0022+0.007</f>
        <v>9.1999999999999998E-3</v>
      </c>
      <c r="O20" s="89"/>
      <c r="P20" s="87" t="s">
        <v>58</v>
      </c>
      <c r="Q20" s="88">
        <f>0.0022+0.007</f>
        <v>9.1999999999999998E-3</v>
      </c>
      <c r="R20" s="89"/>
      <c r="S20" s="87" t="s">
        <v>58</v>
      </c>
      <c r="T20" s="289">
        <v>2.2000000000000001E-3</v>
      </c>
      <c r="U20" s="89"/>
      <c r="V20" s="87" t="s">
        <v>58</v>
      </c>
      <c r="W20" s="289">
        <f>0.0022+0.007</f>
        <v>9.1999999999999998E-3</v>
      </c>
      <c r="X20" s="89"/>
      <c r="Y20" s="87" t="s">
        <v>58</v>
      </c>
      <c r="Z20" s="88">
        <v>2.2000000000000001E-3</v>
      </c>
      <c r="AB20" s="87" t="s">
        <v>115</v>
      </c>
      <c r="AC20" s="88">
        <v>0</v>
      </c>
      <c r="AE20" s="87" t="s">
        <v>115</v>
      </c>
      <c r="AF20" s="88">
        <f>0.022</f>
        <v>2.1999999999999999E-2</v>
      </c>
      <c r="AH20" s="87" t="s">
        <v>115</v>
      </c>
      <c r="AI20" s="88">
        <v>5.4000000000000003E-3</v>
      </c>
      <c r="AK20" s="87" t="s">
        <v>115</v>
      </c>
      <c r="AL20" s="88">
        <f>0.0001</f>
        <v>1E-4</v>
      </c>
      <c r="AN20" s="34" t="s">
        <v>313</v>
      </c>
      <c r="AO20" s="145"/>
      <c r="AQ20" s="34" t="s">
        <v>757</v>
      </c>
      <c r="AR20" s="34">
        <v>3.1199999999999999E-2</v>
      </c>
    </row>
    <row r="21" spans="1:44" ht="13.5" thickTop="1" x14ac:dyDescent="0.2">
      <c r="A21" s="429">
        <v>7.7000000000000002E-3</v>
      </c>
      <c r="B21" s="180">
        <f>B6/(1-A21)-B6</f>
        <v>3.2435755315932902E-2</v>
      </c>
      <c r="C21" s="91"/>
      <c r="D21" s="290">
        <v>7.7000000000000002E-3</v>
      </c>
      <c r="E21" s="90">
        <f>(E$6)/(1-D21)-E$6</f>
        <v>3.2435755315932902E-2</v>
      </c>
      <c r="F21" s="94"/>
      <c r="G21" s="429">
        <v>2.4400000000000002E-2</v>
      </c>
      <c r="H21" s="403">
        <f>(H$3)/(1-G21)-H$3</f>
        <v>0.10041615416154137</v>
      </c>
      <c r="I21" s="91"/>
      <c r="J21" s="290">
        <v>3.0700000000000002E-2</v>
      </c>
      <c r="K21" s="180">
        <f>(K$5)/(1-J21)-K$5</f>
        <v>0.127322810275456</v>
      </c>
      <c r="L21" s="91"/>
      <c r="M21" s="290">
        <v>3.0700000000000002E-2</v>
      </c>
      <c r="N21" s="90">
        <f>(N$5)/(1-M21)-N$5</f>
        <v>0.127322810275456</v>
      </c>
      <c r="O21" s="91"/>
      <c r="P21" s="87" t="s">
        <v>430</v>
      </c>
      <c r="Q21" s="90">
        <f>+Q$3/(1-0.015)-Q$3</f>
        <v>6.2741116751269033E-2</v>
      </c>
      <c r="R21" s="91"/>
      <c r="S21" s="87" t="s">
        <v>718</v>
      </c>
      <c r="T21" s="90">
        <f>+T3/(1-0.00697)-T3</f>
        <v>2.9093431215573062E-2</v>
      </c>
      <c r="U21" s="91"/>
      <c r="V21" s="290">
        <v>2.776E-2</v>
      </c>
      <c r="W21" s="90">
        <f>+W$3/(1-V21)-W$3</f>
        <v>0.12534600510162086</v>
      </c>
      <c r="X21" s="91"/>
      <c r="Y21" s="290">
        <v>2.2800000000000001E-2</v>
      </c>
      <c r="Z21" s="90">
        <f>+Z$3/(1-Y21)-Z$3</f>
        <v>0.10266066311911626</v>
      </c>
      <c r="AB21" s="87" t="s">
        <v>58</v>
      </c>
      <c r="AC21" s="88">
        <f>0.0022+0.007</f>
        <v>9.1999999999999998E-3</v>
      </c>
      <c r="AE21" s="87" t="s">
        <v>58</v>
      </c>
      <c r="AF21" s="88">
        <f>0.007+0.0022</f>
        <v>9.1999999999999998E-3</v>
      </c>
      <c r="AH21" s="87" t="s">
        <v>58</v>
      </c>
      <c r="AI21" s="88">
        <f>0.0022+0.007+0.0012-0.0004</f>
        <v>0.01</v>
      </c>
      <c r="AK21" s="87" t="s">
        <v>58</v>
      </c>
      <c r="AL21" s="88">
        <f>0.007+0.0022</f>
        <v>9.1999999999999998E-3</v>
      </c>
      <c r="AQ21" s="34" t="s">
        <v>58</v>
      </c>
      <c r="AR21" s="34">
        <f>0.0348-0.0312</f>
        <v>3.599999999999999E-3</v>
      </c>
    </row>
    <row r="22" spans="1:44" x14ac:dyDescent="0.2">
      <c r="A22" s="195" t="s">
        <v>45</v>
      </c>
      <c r="B22" s="181">
        <f>SUM(B19:B21)</f>
        <v>5.73357553159329E-2</v>
      </c>
      <c r="C22" s="94"/>
      <c r="D22" s="87"/>
      <c r="E22" s="93">
        <f>SUM(E19:E21)</f>
        <v>0.13943575531593289</v>
      </c>
      <c r="F22" s="94"/>
      <c r="G22" s="195"/>
      <c r="H22" s="181">
        <f>SUM(H19:H21)</f>
        <v>0.19901615416154136</v>
      </c>
      <c r="I22" s="94"/>
      <c r="J22" s="178"/>
      <c r="K22" s="181">
        <f>SUM(K19:K21)</f>
        <v>0.139122810275456</v>
      </c>
      <c r="L22" s="94"/>
      <c r="M22" s="406"/>
      <c r="N22" s="93">
        <f>SUM(N19:N21)</f>
        <v>0.33182281027545601</v>
      </c>
      <c r="O22" s="94"/>
      <c r="P22" s="92"/>
      <c r="Q22" s="93">
        <f>SUM(Q19:Q21)</f>
        <v>7.9941116751269026E-2</v>
      </c>
      <c r="R22" s="94"/>
      <c r="S22" s="92"/>
      <c r="T22" s="93">
        <f>SUM(T19:T21)</f>
        <v>3.2993431215573063E-2</v>
      </c>
      <c r="U22" s="94"/>
      <c r="V22" s="92"/>
      <c r="W22" s="93">
        <f>SUM(W19:W21)</f>
        <v>0.27864600510162085</v>
      </c>
      <c r="X22" s="94"/>
      <c r="Y22" s="92"/>
      <c r="Z22" s="93">
        <f>SUM(Z19:Z21)</f>
        <v>0.29916066311911627</v>
      </c>
      <c r="AB22" s="290">
        <v>3.0000000000000001E-3</v>
      </c>
      <c r="AC22" s="90">
        <f>+AC$3/(1-AB22)-AC3</f>
        <v>1.9558676028084143E-2</v>
      </c>
      <c r="AE22" s="290">
        <v>2.9600000000000001E-2</v>
      </c>
      <c r="AF22" s="90">
        <f>+AF$3/(1-AE22)-AF$3</f>
        <v>0.12643446001648773</v>
      </c>
      <c r="AH22" s="290">
        <v>8.0000000000000002E-3</v>
      </c>
      <c r="AI22" s="90">
        <f>+AI3/(1-AH22)-AI3</f>
        <v>3.4677419354839145E-2</v>
      </c>
      <c r="AK22" s="87" t="s">
        <v>555</v>
      </c>
      <c r="AL22" s="90">
        <f>+AL3/(1-0.02)-AL3</f>
        <v>9.2244897959183447E-2</v>
      </c>
      <c r="AQ22" s="34" t="s">
        <v>755</v>
      </c>
      <c r="AR22" s="90">
        <f>+AP3/(1-0.024)-AP3</f>
        <v>0.10168032786885295</v>
      </c>
    </row>
    <row r="23" spans="1:44" x14ac:dyDescent="0.2">
      <c r="A23" s="424" t="s">
        <v>22</v>
      </c>
      <c r="B23" s="177" t="s">
        <v>124</v>
      </c>
      <c r="C23" s="86"/>
      <c r="D23" s="140" t="s">
        <v>22</v>
      </c>
      <c r="E23" s="93" t="s">
        <v>125</v>
      </c>
      <c r="F23" s="96"/>
      <c r="G23" s="424" t="s">
        <v>36</v>
      </c>
      <c r="H23" s="430" t="s">
        <v>524</v>
      </c>
      <c r="I23" s="94"/>
      <c r="J23" s="182" t="s">
        <v>104</v>
      </c>
      <c r="K23" s="183" t="s">
        <v>126</v>
      </c>
      <c r="L23" s="94"/>
      <c r="M23" s="140" t="s">
        <v>602</v>
      </c>
      <c r="N23" s="85" t="s">
        <v>126</v>
      </c>
      <c r="O23" s="94"/>
      <c r="P23" s="95" t="s">
        <v>424</v>
      </c>
      <c r="Q23" s="141" t="s">
        <v>428</v>
      </c>
      <c r="R23" s="86"/>
      <c r="S23" s="95" t="s">
        <v>106</v>
      </c>
      <c r="T23" s="141" t="s">
        <v>264</v>
      </c>
      <c r="U23" s="86"/>
      <c r="V23" s="95" t="s">
        <v>107</v>
      </c>
      <c r="W23" s="141" t="s">
        <v>127</v>
      </c>
      <c r="X23" s="86"/>
      <c r="Y23" s="86"/>
      <c r="Z23" s="86"/>
      <c r="AB23" s="92"/>
      <c r="AC23" s="93">
        <f>SUM(AC20:AC22)</f>
        <v>2.8758676028084143E-2</v>
      </c>
      <c r="AE23" s="92"/>
      <c r="AF23" s="93">
        <f>SUM(AF20:AF22)</f>
        <v>0.15763446001648773</v>
      </c>
      <c r="AH23" s="92"/>
      <c r="AI23" s="93">
        <f>SUM(AI20:AI22)</f>
        <v>5.0077419354839142E-2</v>
      </c>
      <c r="AK23" s="92"/>
      <c r="AL23" s="93">
        <f>SUM(AL20:AL22)</f>
        <v>0.10154489795918345</v>
      </c>
      <c r="AR23" s="509">
        <f>SUM(AR20:AR22)</f>
        <v>0.13648032786885295</v>
      </c>
    </row>
    <row r="24" spans="1:44" x14ac:dyDescent="0.2">
      <c r="A24" s="194" t="s">
        <v>115</v>
      </c>
      <c r="B24" s="179">
        <v>9.1000000000000004E-3</v>
      </c>
      <c r="C24" s="89"/>
      <c r="D24" s="87" t="s">
        <v>115</v>
      </c>
      <c r="E24" s="98">
        <v>0.12139999999999999</v>
      </c>
      <c r="F24" s="96"/>
      <c r="G24" s="194" t="s">
        <v>115</v>
      </c>
      <c r="H24" s="179">
        <v>8.7999999999999995E-2</v>
      </c>
      <c r="I24" s="96"/>
      <c r="J24" s="178" t="s">
        <v>115</v>
      </c>
      <c r="K24" s="179">
        <v>1.4E-2</v>
      </c>
      <c r="L24" s="96"/>
      <c r="M24" s="406" t="s">
        <v>115</v>
      </c>
      <c r="N24" s="88">
        <v>0.22969999999999999</v>
      </c>
      <c r="O24" s="96"/>
      <c r="P24" s="87" t="s">
        <v>115</v>
      </c>
      <c r="Q24" s="88">
        <v>1.2999999999999999E-2</v>
      </c>
      <c r="R24" s="89"/>
      <c r="S24" s="87" t="s">
        <v>115</v>
      </c>
      <c r="T24" s="289">
        <v>1.7000000000000001E-2</v>
      </c>
      <c r="U24" s="89"/>
      <c r="V24" s="87" t="s">
        <v>115</v>
      </c>
      <c r="W24" s="289">
        <v>0.2099</v>
      </c>
      <c r="X24" s="89"/>
      <c r="Y24" s="84" t="s">
        <v>109</v>
      </c>
      <c r="Z24" s="139" t="s">
        <v>409</v>
      </c>
    </row>
    <row r="25" spans="1:44" x14ac:dyDescent="0.2">
      <c r="A25" s="194" t="s">
        <v>58</v>
      </c>
      <c r="B25" s="179">
        <f>0.0022+0.007+0.0097</f>
        <v>1.89E-2</v>
      </c>
      <c r="C25" s="89"/>
      <c r="D25" s="87" t="s">
        <v>58</v>
      </c>
      <c r="E25" s="98">
        <f>0.007+0.0022+0.0097</f>
        <v>1.89E-2</v>
      </c>
      <c r="F25" s="91"/>
      <c r="G25" s="194" t="s">
        <v>58</v>
      </c>
      <c r="H25" s="179">
        <f>0.0022+0.007</f>
        <v>9.1999999999999998E-3</v>
      </c>
      <c r="I25" s="96"/>
      <c r="J25" s="178" t="s">
        <v>58</v>
      </c>
      <c r="K25" s="179">
        <f>0.0022+0.007</f>
        <v>9.1999999999999998E-3</v>
      </c>
      <c r="L25" s="96"/>
      <c r="M25" s="406" t="s">
        <v>58</v>
      </c>
      <c r="N25" s="88">
        <f>0.0022+0.007</f>
        <v>9.1999999999999998E-3</v>
      </c>
      <c r="O25" s="96"/>
      <c r="P25" s="87" t="s">
        <v>58</v>
      </c>
      <c r="Q25" s="88">
        <f>0.0022+0.007</f>
        <v>9.1999999999999998E-3</v>
      </c>
      <c r="R25" s="89"/>
      <c r="S25" s="87" t="s">
        <v>58</v>
      </c>
      <c r="T25" s="289">
        <v>2.2000000000000001E-3</v>
      </c>
      <c r="U25" s="89"/>
      <c r="V25" s="87" t="s">
        <v>58</v>
      </c>
      <c r="W25" s="289">
        <f>0.0022+0.007</f>
        <v>9.1999999999999998E-3</v>
      </c>
      <c r="X25" s="89"/>
      <c r="Y25" s="87" t="s">
        <v>115</v>
      </c>
      <c r="Z25" s="88">
        <f>0.2644-0.0022</f>
        <v>0.26220000000000004</v>
      </c>
      <c r="AB25" s="34" t="s">
        <v>618</v>
      </c>
      <c r="AE25" s="34" t="s">
        <v>255</v>
      </c>
      <c r="AF25" s="34" t="s">
        <v>710</v>
      </c>
      <c r="AH25" s="84" t="s">
        <v>111</v>
      </c>
      <c r="AI25" s="139" t="s">
        <v>241</v>
      </c>
      <c r="AK25" s="84" t="s">
        <v>551</v>
      </c>
      <c r="AL25" s="139" t="s">
        <v>553</v>
      </c>
      <c r="AQ25" s="34" t="s">
        <v>758</v>
      </c>
    </row>
    <row r="26" spans="1:44" x14ac:dyDescent="0.2">
      <c r="A26" s="429">
        <v>1.21E-2</v>
      </c>
      <c r="B26" s="180">
        <f>B6/(1-A26)-B6</f>
        <v>5.1197489624455805E-2</v>
      </c>
      <c r="C26" s="91"/>
      <c r="D26" s="290">
        <v>1.21E-2</v>
      </c>
      <c r="E26" s="90">
        <f>(E$6)/(1-D26)-E$6</f>
        <v>5.1197489624455805E-2</v>
      </c>
      <c r="F26" s="94"/>
      <c r="G26" s="429">
        <v>4.4299999999999999E-2</v>
      </c>
      <c r="H26" s="403">
        <f>(H$3)/(1-G26)-H$3</f>
        <v>0.18610913466569023</v>
      </c>
      <c r="I26" s="91"/>
      <c r="J26" s="290">
        <v>3.7900000000000003E-2</v>
      </c>
      <c r="K26" s="180">
        <f>(K$5)/(1-J26)-K$5</f>
        <v>0.1583598378546931</v>
      </c>
      <c r="L26" s="91"/>
      <c r="M26" s="290">
        <v>4.5999999999999999E-2</v>
      </c>
      <c r="N26" s="90">
        <f>(N$5)/(1-M26)-N$5</f>
        <v>0.19383647798742132</v>
      </c>
      <c r="O26" s="91"/>
      <c r="P26" s="87" t="s">
        <v>431</v>
      </c>
      <c r="Q26" s="90">
        <f>+Q$3/(1-0.023)-Q$3</f>
        <v>9.6990788126919192E-2</v>
      </c>
      <c r="R26" s="91"/>
      <c r="S26" s="87" t="s">
        <v>719</v>
      </c>
      <c r="T26" s="90">
        <f>+T4/(1-0.02902)-T4</f>
        <v>0.12591213760723807</v>
      </c>
      <c r="U26" s="91"/>
      <c r="V26" s="290">
        <v>2.776E-2</v>
      </c>
      <c r="W26" s="90">
        <f>+W$3/(1-V26)-W$3</f>
        <v>0.12534600510162086</v>
      </c>
      <c r="X26" s="91"/>
      <c r="Y26" s="87" t="s">
        <v>58</v>
      </c>
      <c r="Z26" s="88">
        <v>2.2000000000000001E-3</v>
      </c>
      <c r="AB26" s="34" t="s">
        <v>748</v>
      </c>
      <c r="AE26" s="87" t="s">
        <v>115</v>
      </c>
      <c r="AF26" s="88">
        <v>2.0199999999999999E-2</v>
      </c>
      <c r="AH26" s="87" t="s">
        <v>115</v>
      </c>
      <c r="AI26" s="88">
        <v>0.46929999999999999</v>
      </c>
      <c r="AK26" s="87" t="s">
        <v>115</v>
      </c>
      <c r="AL26" s="88">
        <v>8.9999999999999998E-4</v>
      </c>
    </row>
    <row r="27" spans="1:44" x14ac:dyDescent="0.2">
      <c r="A27" s="195"/>
      <c r="B27" s="181">
        <f>SUM(B24:B26)</f>
        <v>7.9197489624455802E-2</v>
      </c>
      <c r="C27" s="94"/>
      <c r="D27" s="87"/>
      <c r="E27" s="93">
        <f>SUM(E24:E26)</f>
        <v>0.19149748962445579</v>
      </c>
      <c r="F27" s="86"/>
      <c r="G27" s="195"/>
      <c r="H27" s="181">
        <f>SUM(H24:H26)</f>
        <v>0.28330913466569024</v>
      </c>
      <c r="I27" s="94"/>
      <c r="J27" s="178"/>
      <c r="K27" s="181">
        <f>SUM(K24:K26)</f>
        <v>0.1815598378546931</v>
      </c>
      <c r="L27" s="94"/>
      <c r="M27" s="406"/>
      <c r="N27" s="93">
        <f>SUM(N24:N26)</f>
        <v>0.43273647798742132</v>
      </c>
      <c r="O27" s="94"/>
      <c r="P27" s="92"/>
      <c r="Q27" s="93">
        <f>SUM(Q24:Q26)</f>
        <v>0.11919078812691919</v>
      </c>
      <c r="R27" s="94"/>
      <c r="S27" s="92"/>
      <c r="T27" s="93">
        <f>SUM(T24:T26)</f>
        <v>0.14511213760723807</v>
      </c>
      <c r="U27" s="94"/>
      <c r="V27" s="92"/>
      <c r="W27" s="93">
        <f>SUM(W24:W26)</f>
        <v>0.34444600510162088</v>
      </c>
      <c r="X27" s="94"/>
      <c r="Y27" s="290">
        <v>2.2800000000000001E-2</v>
      </c>
      <c r="Z27" s="90">
        <f>+Z$3/(1-Y27)-Z$3</f>
        <v>0.10266066311911626</v>
      </c>
      <c r="AB27" s="34" t="s">
        <v>405</v>
      </c>
      <c r="AE27" s="87" t="s">
        <v>58</v>
      </c>
      <c r="AF27" s="88">
        <f>0.007+0.0022</f>
        <v>9.1999999999999998E-3</v>
      </c>
      <c r="AH27" s="87" t="s">
        <v>58</v>
      </c>
      <c r="AI27" s="88">
        <f>0.0022+0.007+0.0012-0.0004</f>
        <v>0.01</v>
      </c>
      <c r="AK27" s="87" t="s">
        <v>58</v>
      </c>
      <c r="AL27" s="88">
        <f>0.007+0.0022</f>
        <v>9.1999999999999998E-3</v>
      </c>
      <c r="AQ27" s="34" t="s">
        <v>759</v>
      </c>
      <c r="AR27" s="34">
        <v>0.32979999999999998</v>
      </c>
    </row>
    <row r="28" spans="1:44" x14ac:dyDescent="0.2">
      <c r="A28" s="192" t="s">
        <v>22</v>
      </c>
      <c r="B28" s="177" t="s">
        <v>160</v>
      </c>
      <c r="D28" s="34" t="s">
        <v>22</v>
      </c>
      <c r="E28" s="34" t="s">
        <v>315</v>
      </c>
      <c r="F28" s="89"/>
      <c r="G28" s="424" t="s">
        <v>36</v>
      </c>
      <c r="H28" s="431" t="s">
        <v>525</v>
      </c>
      <c r="I28" s="86"/>
      <c r="J28" s="176" t="s">
        <v>104</v>
      </c>
      <c r="K28" s="177" t="s">
        <v>130</v>
      </c>
      <c r="L28" s="86"/>
      <c r="M28" s="140" t="s">
        <v>602</v>
      </c>
      <c r="N28" s="85" t="s">
        <v>136</v>
      </c>
      <c r="O28" s="86"/>
      <c r="P28" s="95" t="s">
        <v>424</v>
      </c>
      <c r="Q28" s="141" t="s">
        <v>429</v>
      </c>
      <c r="S28" s="84" t="s">
        <v>106</v>
      </c>
      <c r="T28" s="139" t="s">
        <v>131</v>
      </c>
      <c r="V28" s="84" t="s">
        <v>107</v>
      </c>
      <c r="W28" s="139" t="s">
        <v>132</v>
      </c>
      <c r="Y28" s="92"/>
      <c r="Z28" s="93">
        <f>SUM(Z25:Z27)</f>
        <v>0.36706066311911628</v>
      </c>
      <c r="AB28" s="34" t="s">
        <v>404</v>
      </c>
      <c r="AE28" s="290">
        <v>2.9600000000000001E-2</v>
      </c>
      <c r="AF28" s="90">
        <f>+AF$3/(1-AE28)-AF$3</f>
        <v>0.12643446001648773</v>
      </c>
      <c r="AH28" s="290">
        <v>8.0000000000000002E-3</v>
      </c>
      <c r="AI28" s="90">
        <f>+AI3/(1-AH28)-AI3</f>
        <v>3.4677419354839145E-2</v>
      </c>
      <c r="AK28" s="87" t="s">
        <v>555</v>
      </c>
      <c r="AL28" s="90">
        <f>+AL3/(1-0.02)-AL3</f>
        <v>9.2244897959183447E-2</v>
      </c>
      <c r="AQ28" s="34" t="s">
        <v>755</v>
      </c>
      <c r="AR28" s="90">
        <f>+AN3/(1-0.024)-AN3</f>
        <v>0.10684426229508226</v>
      </c>
    </row>
    <row r="29" spans="1:44" x14ac:dyDescent="0.2">
      <c r="A29" s="194" t="s">
        <v>115</v>
      </c>
      <c r="B29" s="179">
        <v>2.2599999999999999E-2</v>
      </c>
      <c r="D29" s="87" t="s">
        <v>115</v>
      </c>
      <c r="E29" s="98">
        <v>0.2445</v>
      </c>
      <c r="F29" s="89"/>
      <c r="G29" s="195" t="s">
        <v>115</v>
      </c>
      <c r="H29" s="179">
        <v>9.7799999999999998E-2</v>
      </c>
      <c r="I29" s="89"/>
      <c r="J29" s="178" t="s">
        <v>115</v>
      </c>
      <c r="K29" s="179">
        <v>2.81E-2</v>
      </c>
      <c r="L29" s="89"/>
      <c r="M29" s="406" t="s">
        <v>115</v>
      </c>
      <c r="N29" s="88">
        <v>0.5242</v>
      </c>
      <c r="O29" s="89"/>
      <c r="P29" s="87" t="s">
        <v>115</v>
      </c>
      <c r="Q29" s="88">
        <v>2.1000000000000001E-2</v>
      </c>
      <c r="S29" s="87" t="s">
        <v>115</v>
      </c>
      <c r="T29" s="289">
        <v>8.7999999999999995E-2</v>
      </c>
      <c r="V29" s="87" t="s">
        <v>115</v>
      </c>
      <c r="W29" s="289">
        <v>6.0000000000000001E-3</v>
      </c>
      <c r="Y29" s="89" t="s">
        <v>45</v>
      </c>
      <c r="Z29" s="89" t="s">
        <v>45</v>
      </c>
      <c r="AE29" s="92"/>
      <c r="AF29" s="93">
        <f>SUM(AF26:AF28)</f>
        <v>0.15583446001648774</v>
      </c>
      <c r="AH29" s="92"/>
      <c r="AI29" s="93">
        <f>SUM(AI26:AI28)</f>
        <v>0.5139774193548392</v>
      </c>
      <c r="AK29" s="92"/>
      <c r="AL29" s="93">
        <f>SUM(AL26:AL28)</f>
        <v>0.10234489795918345</v>
      </c>
      <c r="AR29" s="509">
        <f>SUM(AR27:AR28)</f>
        <v>0.43664426229508224</v>
      </c>
    </row>
    <row r="30" spans="1:44" x14ac:dyDescent="0.2">
      <c r="A30" s="194" t="s">
        <v>58</v>
      </c>
      <c r="B30" s="179">
        <f>0.0022+0.007+0.0097</f>
        <v>1.89E-2</v>
      </c>
      <c r="C30" s="96"/>
      <c r="D30" s="87" t="s">
        <v>58</v>
      </c>
      <c r="E30" s="98">
        <f>0.007+0.0097+0.0022</f>
        <v>1.89E-2</v>
      </c>
      <c r="F30" s="91"/>
      <c r="G30" s="195" t="s">
        <v>58</v>
      </c>
      <c r="H30" s="179">
        <f>0.0022</f>
        <v>2.2000000000000001E-3</v>
      </c>
      <c r="I30" s="89"/>
      <c r="J30" s="178" t="s">
        <v>58</v>
      </c>
      <c r="K30" s="179">
        <f>0.0022+0.007</f>
        <v>9.1999999999999998E-3</v>
      </c>
      <c r="L30" s="89"/>
      <c r="M30" s="406" t="s">
        <v>58</v>
      </c>
      <c r="N30" s="88">
        <f>0.0022+0.007</f>
        <v>9.1999999999999998E-3</v>
      </c>
      <c r="O30" s="89"/>
      <c r="P30" s="87" t="s">
        <v>58</v>
      </c>
      <c r="Q30" s="88">
        <f>0.0022+0.007</f>
        <v>9.1999999999999998E-3</v>
      </c>
      <c r="R30" s="96"/>
      <c r="S30" s="87" t="s">
        <v>58</v>
      </c>
      <c r="T30" s="289">
        <v>2.2000000000000001E-3</v>
      </c>
      <c r="U30" s="96"/>
      <c r="V30" s="87" t="s">
        <v>58</v>
      </c>
      <c r="W30" s="88">
        <v>0</v>
      </c>
      <c r="X30" s="96"/>
      <c r="Y30" s="89" t="s">
        <v>45</v>
      </c>
      <c r="Z30" s="89" t="s">
        <v>45</v>
      </c>
      <c r="AB30" s="84" t="s">
        <v>113</v>
      </c>
      <c r="AC30" s="139" t="s">
        <v>114</v>
      </c>
    </row>
    <row r="31" spans="1:44" x14ac:dyDescent="0.2">
      <c r="A31" s="429">
        <v>3.1E-2</v>
      </c>
      <c r="B31" s="180">
        <f>B6/(1-A31)-B6</f>
        <v>0.13372549019607849</v>
      </c>
      <c r="C31" s="91"/>
      <c r="D31" s="290">
        <v>3.1E-2</v>
      </c>
      <c r="E31" s="90">
        <f>(E$6)/(1-D31)-E$6</f>
        <v>0.13372549019607849</v>
      </c>
      <c r="F31" s="94"/>
      <c r="G31" s="429">
        <v>5.04E-2</v>
      </c>
      <c r="H31" s="403">
        <f>(H$3)/(1-G31)-H$3</f>
        <v>0.21309604043807884</v>
      </c>
      <c r="I31" s="91"/>
      <c r="J31" s="290">
        <v>6.6299999999999998E-2</v>
      </c>
      <c r="K31" s="180">
        <f>(K$5)/(1-J31)-K$5</f>
        <v>0.28545142979543758</v>
      </c>
      <c r="L31" s="91"/>
      <c r="M31" s="290">
        <v>7.9500000000000001E-2</v>
      </c>
      <c r="N31" s="90">
        <f>(N$5)/(1-M31)-N$5</f>
        <v>0.34719174361759908</v>
      </c>
      <c r="O31" s="91"/>
      <c r="P31" s="87" t="s">
        <v>432</v>
      </c>
      <c r="Q31" s="90">
        <f>+Q$3/(1-0.026)-Q$3</f>
        <v>0.10997946611909626</v>
      </c>
      <c r="R31" s="91"/>
      <c r="S31" s="87" t="s">
        <v>717</v>
      </c>
      <c r="T31" s="90">
        <f>(+T3-0.108)/(1-0.00552)-(T3-0.108)</f>
        <v>2.2407931783444468E-2</v>
      </c>
      <c r="U31" s="91"/>
      <c r="V31" s="290">
        <v>9.0200000000000002E-3</v>
      </c>
      <c r="W31" s="90">
        <f>+W$3/(1-V31)-W$3</f>
        <v>3.995822317302089E-2</v>
      </c>
      <c r="X31" s="91"/>
      <c r="Y31" s="91"/>
      <c r="Z31" s="91"/>
      <c r="AB31" s="87" t="s">
        <v>115</v>
      </c>
      <c r="AC31" s="88">
        <v>1.12E-2</v>
      </c>
      <c r="AE31" s="34" t="s">
        <v>255</v>
      </c>
      <c r="AF31" s="34" t="s">
        <v>711</v>
      </c>
      <c r="AH31" s="84" t="s">
        <v>111</v>
      </c>
      <c r="AI31" s="139" t="s">
        <v>249</v>
      </c>
      <c r="AK31" s="84" t="s">
        <v>551</v>
      </c>
      <c r="AL31" s="139" t="s">
        <v>554</v>
      </c>
      <c r="AQ31" s="34" t="s">
        <v>760</v>
      </c>
    </row>
    <row r="32" spans="1:44" x14ac:dyDescent="0.2">
      <c r="A32" s="195"/>
      <c r="B32" s="181">
        <f>SUM(B29:B31)</f>
        <v>0.17522549019607847</v>
      </c>
      <c r="C32" s="94"/>
      <c r="D32" s="87"/>
      <c r="E32" s="93">
        <f>SUM(E29:E31)</f>
        <v>0.39712549019607846</v>
      </c>
      <c r="F32" s="86"/>
      <c r="G32" s="195"/>
      <c r="H32" s="181">
        <f>SUM(H29:H31)</f>
        <v>0.31309604043807882</v>
      </c>
      <c r="I32" s="94"/>
      <c r="J32" s="178"/>
      <c r="K32" s="181">
        <f>SUM(K29:K31)</f>
        <v>0.32275142979543758</v>
      </c>
      <c r="L32" s="94"/>
      <c r="M32" s="406"/>
      <c r="N32" s="93">
        <f>SUM(N29:N31)</f>
        <v>0.88059174361759907</v>
      </c>
      <c r="O32" s="94"/>
      <c r="P32" s="92"/>
      <c r="Q32" s="93">
        <f>SUM(Q29:Q31)</f>
        <v>0.14017946611909626</v>
      </c>
      <c r="R32" s="94"/>
      <c r="S32" s="92"/>
      <c r="T32" s="93">
        <f>SUM(T29:T31)</f>
        <v>0.11260793178344446</v>
      </c>
      <c r="U32" s="94"/>
      <c r="V32" s="92"/>
      <c r="W32" s="93">
        <f>SUM(W29:W31)</f>
        <v>4.5958223173020889E-2</v>
      </c>
      <c r="X32" s="94"/>
      <c r="Y32" s="94"/>
      <c r="Z32" s="94"/>
      <c r="AB32" s="87" t="s">
        <v>58</v>
      </c>
      <c r="AC32" s="88">
        <f>0.0022+0.007</f>
        <v>9.1999999999999998E-3</v>
      </c>
      <c r="AE32" s="87" t="s">
        <v>115</v>
      </c>
      <c r="AF32" s="88">
        <v>1.17E-2</v>
      </c>
      <c r="AH32" s="87" t="s">
        <v>115</v>
      </c>
      <c r="AI32" s="88">
        <v>4.4999999999999998E-2</v>
      </c>
      <c r="AK32" s="87" t="s">
        <v>115</v>
      </c>
      <c r="AL32" s="88">
        <v>2.9999999999999997E-4</v>
      </c>
    </row>
    <row r="33" spans="1:44" x14ac:dyDescent="0.2">
      <c r="A33" s="192" t="s">
        <v>22</v>
      </c>
      <c r="B33" s="177" t="s">
        <v>128</v>
      </c>
      <c r="C33" s="86"/>
      <c r="D33" s="34" t="s">
        <v>22</v>
      </c>
      <c r="E33" s="34" t="s">
        <v>129</v>
      </c>
      <c r="F33" s="89"/>
      <c r="G33" s="424" t="s">
        <v>36</v>
      </c>
      <c r="H33" s="431" t="s">
        <v>526</v>
      </c>
      <c r="I33" s="86"/>
      <c r="J33" s="176" t="s">
        <v>104</v>
      </c>
      <c r="K33" s="177" t="s">
        <v>136</v>
      </c>
      <c r="L33" s="86"/>
      <c r="M33" s="140" t="s">
        <v>602</v>
      </c>
      <c r="N33" s="85" t="s">
        <v>141</v>
      </c>
      <c r="O33" s="86"/>
      <c r="P33" s="142"/>
      <c r="Q33" s="86"/>
      <c r="R33" s="86"/>
      <c r="S33" s="95" t="s">
        <v>106</v>
      </c>
      <c r="T33" s="141" t="s">
        <v>137</v>
      </c>
      <c r="U33" s="86"/>
      <c r="V33" s="95" t="s">
        <v>107</v>
      </c>
      <c r="W33" s="141" t="s">
        <v>544</v>
      </c>
      <c r="X33" s="86"/>
      <c r="Y33" s="86"/>
      <c r="Z33" s="86"/>
      <c r="AB33" s="290">
        <v>1.0500000000000001E-2</v>
      </c>
      <c r="AC33" s="90">
        <f>+AC3/(1-0.0058)-AC3</f>
        <v>3.7919935626634427E-2</v>
      </c>
      <c r="AE33" s="87" t="s">
        <v>58</v>
      </c>
      <c r="AF33" s="88">
        <f>0.007+0.0022</f>
        <v>9.1999999999999998E-3</v>
      </c>
      <c r="AH33" s="87" t="s">
        <v>58</v>
      </c>
      <c r="AI33" s="88">
        <f>0.0022+0.0012</f>
        <v>3.4000000000000002E-3</v>
      </c>
      <c r="AK33" s="87" t="s">
        <v>58</v>
      </c>
      <c r="AL33" s="88">
        <f>0.0022</f>
        <v>2.2000000000000001E-3</v>
      </c>
      <c r="AQ33" s="34" t="s">
        <v>759</v>
      </c>
      <c r="AR33" s="34">
        <v>0.32979999999999998</v>
      </c>
    </row>
    <row r="34" spans="1:44" x14ac:dyDescent="0.2">
      <c r="A34" s="194" t="s">
        <v>115</v>
      </c>
      <c r="B34" s="179">
        <v>3.3399999999999999E-2</v>
      </c>
      <c r="C34" s="89"/>
      <c r="D34" s="87" t="s">
        <v>115</v>
      </c>
      <c r="E34" s="98">
        <v>6.8000000000000005E-2</v>
      </c>
      <c r="F34" s="89"/>
      <c r="G34" s="195" t="s">
        <v>115</v>
      </c>
      <c r="H34" s="179">
        <v>0.1118</v>
      </c>
      <c r="I34" s="89"/>
      <c r="J34" s="178" t="s">
        <v>115</v>
      </c>
      <c r="K34" s="179">
        <v>4.8399999999999999E-2</v>
      </c>
      <c r="L34" s="89"/>
      <c r="M34" s="406" t="s">
        <v>115</v>
      </c>
      <c r="N34" s="88">
        <v>0.62129999999999996</v>
      </c>
      <c r="O34" s="89"/>
      <c r="P34" s="144"/>
      <c r="Q34" s="89"/>
      <c r="R34" s="89"/>
      <c r="S34" s="87" t="s">
        <v>115</v>
      </c>
      <c r="T34" s="289">
        <v>3.6600000000000001E-2</v>
      </c>
      <c r="U34" s="89"/>
      <c r="V34" s="87" t="s">
        <v>115</v>
      </c>
      <c r="W34" s="88">
        <v>0.05</v>
      </c>
      <c r="X34" s="89"/>
      <c r="Y34" s="89"/>
      <c r="Z34" s="89"/>
      <c r="AB34" s="92"/>
      <c r="AC34" s="93">
        <f>SUM(AC31:AC33)</f>
        <v>5.8319935626634428E-2</v>
      </c>
      <c r="AE34" s="290">
        <v>1.9800000000000002E-2</v>
      </c>
      <c r="AF34" s="90">
        <f>+AF$3/(1-AE34)-AF$3</f>
        <v>8.3728830850846592E-2</v>
      </c>
      <c r="AH34" s="290">
        <v>8.0000000000000002E-3</v>
      </c>
      <c r="AI34" s="90">
        <f>+AI3/(1-AH34)-AI3</f>
        <v>3.4677419354839145E-2</v>
      </c>
      <c r="AK34" s="87" t="s">
        <v>555</v>
      </c>
      <c r="AL34" s="90">
        <f>+AL3/(1-0.02)-AL3</f>
        <v>9.2244897959183447E-2</v>
      </c>
      <c r="AQ34" s="34" t="s">
        <v>755</v>
      </c>
      <c r="AR34" s="90">
        <f>+AP3/(1-0.024)-AP3</f>
        <v>0.10168032786885295</v>
      </c>
    </row>
    <row r="35" spans="1:44" x14ac:dyDescent="0.2">
      <c r="A35" s="194" t="s">
        <v>58</v>
      </c>
      <c r="B35" s="179">
        <f>0.0022+0.007+0.0097</f>
        <v>1.89E-2</v>
      </c>
      <c r="C35" s="89"/>
      <c r="D35" s="87" t="s">
        <v>58</v>
      </c>
      <c r="E35" s="98">
        <f>0.007+0.0022+0.0097</f>
        <v>1.89E-2</v>
      </c>
      <c r="F35" s="91"/>
      <c r="G35" s="195" t="s">
        <v>58</v>
      </c>
      <c r="H35" s="179">
        <f>0.0022+0.007</f>
        <v>9.1999999999999998E-3</v>
      </c>
      <c r="I35" s="89"/>
      <c r="J35" s="178" t="s">
        <v>58</v>
      </c>
      <c r="K35" s="179">
        <f>0.0022+0.007</f>
        <v>9.1999999999999998E-3</v>
      </c>
      <c r="L35" s="89"/>
      <c r="M35" s="406" t="s">
        <v>58</v>
      </c>
      <c r="N35" s="88">
        <f>0.0022+0.007</f>
        <v>9.1999999999999998E-3</v>
      </c>
      <c r="O35" s="89"/>
      <c r="P35" s="144"/>
      <c r="Q35" s="89"/>
      <c r="R35" s="89"/>
      <c r="S35" s="87" t="s">
        <v>58</v>
      </c>
      <c r="T35" s="289">
        <v>2.2000000000000001E-3</v>
      </c>
      <c r="U35" s="89"/>
      <c r="V35" s="87" t="s">
        <v>58</v>
      </c>
      <c r="W35" s="88">
        <f>0.0022</f>
        <v>2.2000000000000001E-3</v>
      </c>
      <c r="X35" s="89"/>
      <c r="Y35" s="89"/>
      <c r="Z35" s="89"/>
      <c r="AE35" s="92"/>
      <c r="AF35" s="93">
        <f>SUM(AF32:AF34)</f>
        <v>0.10462883085084659</v>
      </c>
      <c r="AH35" s="92"/>
      <c r="AI35" s="93">
        <f>SUM(AI32:AI34)</f>
        <v>8.3077419354839144E-2</v>
      </c>
      <c r="AK35" s="92"/>
      <c r="AL35" s="93">
        <f>SUM(AL32:AL34)</f>
        <v>9.4744897959183449E-2</v>
      </c>
      <c r="AR35" s="509">
        <f>SUM(AR33:AR34)</f>
        <v>0.43148032786885293</v>
      </c>
    </row>
    <row r="36" spans="1:44" x14ac:dyDescent="0.2">
      <c r="A36" s="429">
        <v>4.58E-2</v>
      </c>
      <c r="B36" s="180">
        <f>B6/(1-A36)-B6</f>
        <v>0.20063299098721377</v>
      </c>
      <c r="C36" s="91"/>
      <c r="D36" s="290">
        <v>4.1999999999999997E-3</v>
      </c>
      <c r="E36" s="90">
        <f>+E$5/(1-D36)-E$5</f>
        <v>1.7756577626029113E-2</v>
      </c>
      <c r="F36" s="94"/>
      <c r="G36" s="429">
        <v>5.8000000000000003E-2</v>
      </c>
      <c r="H36" s="403">
        <f>(H$3)/(1-G36)-H$3</f>
        <v>0.24720806794055239</v>
      </c>
      <c r="I36" s="91"/>
      <c r="J36" s="290">
        <v>7.9500000000000001E-2</v>
      </c>
      <c r="K36" s="180">
        <f>(K$5)/(1-J36)-K$5</f>
        <v>0.34719174361759908</v>
      </c>
      <c r="L36" s="91"/>
      <c r="M36" s="290">
        <v>8.8400000000000006E-2</v>
      </c>
      <c r="N36" s="90">
        <f>(N$5)/(1-M36)-N$5</f>
        <v>0.38982887231241747</v>
      </c>
      <c r="O36" s="91"/>
      <c r="P36" s="144"/>
      <c r="Q36" s="91"/>
      <c r="R36" s="91"/>
      <c r="S36" s="87" t="s">
        <v>718</v>
      </c>
      <c r="T36" s="90">
        <f>T3/(1-0.00697)-T3</f>
        <v>2.9093431215573062E-2</v>
      </c>
      <c r="U36" s="91"/>
      <c r="V36" s="290">
        <v>2.776E-2</v>
      </c>
      <c r="W36" s="90">
        <f>+W$3/(1-V36)-W$3</f>
        <v>0.12534600510162086</v>
      </c>
      <c r="X36" s="91"/>
      <c r="Y36" s="91"/>
      <c r="Z36" s="91"/>
      <c r="AB36" s="84" t="s">
        <v>113</v>
      </c>
      <c r="AC36" s="139" t="s">
        <v>122</v>
      </c>
      <c r="AI36" s="154">
        <f>SUM(AI35,AI3)</f>
        <v>4.383077419354839</v>
      </c>
      <c r="AL36" s="154"/>
    </row>
    <row r="37" spans="1:44" x14ac:dyDescent="0.2">
      <c r="A37" s="195"/>
      <c r="B37" s="181">
        <f>SUM(B34:B36)</f>
        <v>0.25293299098721378</v>
      </c>
      <c r="C37" s="94"/>
      <c r="D37" s="87"/>
      <c r="E37" s="93">
        <f>SUM(E34:E36)</f>
        <v>0.10465657762602912</v>
      </c>
      <c r="F37" s="86"/>
      <c r="G37" s="195"/>
      <c r="H37" s="181">
        <f>SUM(H34:H36)</f>
        <v>0.36820806794055239</v>
      </c>
      <c r="I37" s="94"/>
      <c r="J37" s="178"/>
      <c r="K37" s="181">
        <f>SUM(K34:K36)</f>
        <v>0.40479174361759906</v>
      </c>
      <c r="L37" s="94"/>
      <c r="M37" s="406"/>
      <c r="N37" s="93">
        <f>SUM(N34:N36)</f>
        <v>1.0203288723124175</v>
      </c>
      <c r="O37" s="94"/>
      <c r="P37" s="46"/>
      <c r="Q37" s="420"/>
      <c r="R37" s="94"/>
      <c r="S37" s="92"/>
      <c r="T37" s="149">
        <f>SUM(T34:T36)</f>
        <v>6.7893431215573063E-2</v>
      </c>
      <c r="U37" s="94"/>
      <c r="V37" s="92"/>
      <c r="W37" s="93">
        <f>SUM(W34:W36)</f>
        <v>0.17754600510162086</v>
      </c>
      <c r="X37" s="94"/>
      <c r="Y37" s="94"/>
      <c r="Z37" s="94"/>
      <c r="AB37" s="87" t="s">
        <v>115</v>
      </c>
      <c r="AC37" s="88">
        <v>0</v>
      </c>
      <c r="AE37" s="34" t="s">
        <v>255</v>
      </c>
      <c r="AF37" s="34" t="s">
        <v>712</v>
      </c>
      <c r="AH37" s="84" t="s">
        <v>111</v>
      </c>
      <c r="AI37" s="139" t="s">
        <v>269</v>
      </c>
      <c r="AK37" s="142"/>
      <c r="AL37" s="86"/>
      <c r="AQ37" s="34" t="s">
        <v>770</v>
      </c>
    </row>
    <row r="38" spans="1:44" x14ac:dyDescent="0.2">
      <c r="A38" s="424" t="s">
        <v>22</v>
      </c>
      <c r="B38" s="177" t="s">
        <v>134</v>
      </c>
      <c r="C38" s="86"/>
      <c r="D38" s="140" t="s">
        <v>22</v>
      </c>
      <c r="E38" s="93" t="s">
        <v>135</v>
      </c>
      <c r="F38" s="89"/>
      <c r="G38" s="424" t="s">
        <v>36</v>
      </c>
      <c r="H38" s="431" t="s">
        <v>527</v>
      </c>
      <c r="I38" s="86"/>
      <c r="J38" s="176" t="s">
        <v>104</v>
      </c>
      <c r="K38" s="177" t="s">
        <v>141</v>
      </c>
      <c r="L38" s="86"/>
      <c r="M38" s="140" t="s">
        <v>602</v>
      </c>
      <c r="N38" s="85" t="s">
        <v>144</v>
      </c>
      <c r="O38" s="86"/>
      <c r="P38" s="142"/>
      <c r="Q38" s="86"/>
      <c r="R38" s="86"/>
      <c r="S38" s="95" t="s">
        <v>106</v>
      </c>
      <c r="T38" s="141" t="s">
        <v>265</v>
      </c>
      <c r="U38" s="86"/>
      <c r="V38" s="95"/>
      <c r="W38" s="141"/>
      <c r="X38" s="86"/>
      <c r="Y38" s="86"/>
      <c r="Z38" s="86"/>
      <c r="AB38" s="87" t="s">
        <v>58</v>
      </c>
      <c r="AC38" s="88">
        <f>0.0022+0.007</f>
        <v>9.1999999999999998E-3</v>
      </c>
      <c r="AE38" s="87" t="s">
        <v>115</v>
      </c>
      <c r="AF38" s="88">
        <v>1.17E-2</v>
      </c>
      <c r="AH38" s="87" t="s">
        <v>115</v>
      </c>
      <c r="AI38" s="88">
        <f>0.04+0.004+0.0022+0.0005</f>
        <v>4.6699999999999998E-2</v>
      </c>
      <c r="AK38" s="144"/>
      <c r="AL38" s="89"/>
      <c r="AQ38" s="34" t="s">
        <v>757</v>
      </c>
      <c r="AR38" s="34">
        <v>1.4200000000000001E-2</v>
      </c>
    </row>
    <row r="39" spans="1:44" x14ac:dyDescent="0.2">
      <c r="A39" s="194" t="s">
        <v>115</v>
      </c>
      <c r="B39" s="179">
        <v>3.9199999999999999E-2</v>
      </c>
      <c r="C39" s="89"/>
      <c r="D39" s="87" t="s">
        <v>115</v>
      </c>
      <c r="E39" s="98">
        <v>0.1013</v>
      </c>
      <c r="F39" s="89"/>
      <c r="G39" s="195" t="s">
        <v>115</v>
      </c>
      <c r="H39" s="179">
        <v>0.1231</v>
      </c>
      <c r="I39" s="89"/>
      <c r="J39" s="178" t="s">
        <v>115</v>
      </c>
      <c r="K39" s="179">
        <v>6.2300000000000001E-2</v>
      </c>
      <c r="L39" s="89"/>
      <c r="M39" s="406" t="s">
        <v>115</v>
      </c>
      <c r="N39" s="88">
        <v>6.5799999999999997E-2</v>
      </c>
      <c r="O39" s="89"/>
      <c r="P39" s="144"/>
      <c r="Q39" s="89"/>
      <c r="R39" s="89"/>
      <c r="S39" s="87" t="s">
        <v>115</v>
      </c>
      <c r="T39" s="289">
        <v>0.12039999999999999</v>
      </c>
      <c r="U39" s="89"/>
      <c r="V39" s="87"/>
      <c r="W39" s="88"/>
      <c r="X39" s="89"/>
      <c r="Y39" s="89"/>
      <c r="Z39" s="89"/>
      <c r="AB39" s="290">
        <v>1.0500000000000001E-2</v>
      </c>
      <c r="AC39" s="90">
        <f>+AC3/(1-0.0058)-AC3</f>
        <v>3.7919935626634427E-2</v>
      </c>
      <c r="AE39" s="87" t="s">
        <v>58</v>
      </c>
      <c r="AF39" s="88">
        <f>0.007+0.0022</f>
        <v>9.1999999999999998E-3</v>
      </c>
      <c r="AH39" s="87" t="s">
        <v>58</v>
      </c>
      <c r="AI39" s="88">
        <v>0</v>
      </c>
      <c r="AK39" s="144"/>
      <c r="AL39" s="89"/>
      <c r="AQ39" s="34" t="s">
        <v>58</v>
      </c>
      <c r="AR39" s="34">
        <f>0.0348-0.0312</f>
        <v>3.599999999999999E-3</v>
      </c>
    </row>
    <row r="40" spans="1:44" x14ac:dyDescent="0.2">
      <c r="A40" s="194" t="s">
        <v>58</v>
      </c>
      <c r="B40" s="179">
        <f>0.0022+0.007+0.0097</f>
        <v>1.89E-2</v>
      </c>
      <c r="C40" s="89"/>
      <c r="D40" s="87" t="s">
        <v>58</v>
      </c>
      <c r="E40" s="98">
        <f>0.007+0.0022+0.0097</f>
        <v>1.89E-2</v>
      </c>
      <c r="F40" s="91"/>
      <c r="G40" s="195" t="s">
        <v>58</v>
      </c>
      <c r="H40" s="179">
        <f>0.0022+0.007</f>
        <v>9.1999999999999998E-3</v>
      </c>
      <c r="I40" s="89"/>
      <c r="J40" s="178" t="s">
        <v>58</v>
      </c>
      <c r="K40" s="179">
        <f>0.0022+0.007</f>
        <v>9.1999999999999998E-3</v>
      </c>
      <c r="L40" s="89"/>
      <c r="M40" s="406" t="s">
        <v>58</v>
      </c>
      <c r="N40" s="88">
        <f>0.0022</f>
        <v>2.2000000000000001E-3</v>
      </c>
      <c r="O40" s="89"/>
      <c r="P40" s="144"/>
      <c r="Q40" s="89"/>
      <c r="R40" s="89"/>
      <c r="S40" s="87" t="s">
        <v>58</v>
      </c>
      <c r="T40" s="289">
        <v>2.2000000000000001E-3</v>
      </c>
      <c r="U40" s="89"/>
      <c r="V40" s="87"/>
      <c r="W40" s="88"/>
      <c r="X40" s="89"/>
      <c r="Y40" s="89"/>
      <c r="Z40" s="89"/>
      <c r="AB40" s="92"/>
      <c r="AC40" s="93">
        <f>SUM(AC37:AC39)</f>
        <v>4.7119935626634427E-2</v>
      </c>
      <c r="AE40" s="290">
        <v>5.7999999999999996E-3</v>
      </c>
      <c r="AF40" s="90">
        <f>+AF$3/(1-AE40)-AF$3</f>
        <v>2.4181251257292757E-2</v>
      </c>
      <c r="AH40" s="290">
        <v>4.0000000000000001E-3</v>
      </c>
      <c r="AI40" s="90">
        <f>+AI3/(1-AH40)-AI3</f>
        <v>1.7269076305220565E-2</v>
      </c>
      <c r="AK40" s="144"/>
      <c r="AL40" s="91"/>
      <c r="AQ40" s="34" t="s">
        <v>755</v>
      </c>
      <c r="AR40" s="90">
        <f>+AN3/(1-0.024)-AN3</f>
        <v>0.10684426229508226</v>
      </c>
    </row>
    <row r="41" spans="1:44" x14ac:dyDescent="0.2">
      <c r="A41" s="429">
        <v>5.3900000000000003E-2</v>
      </c>
      <c r="B41" s="180">
        <f>B6/(1-A41)-B6</f>
        <v>0.23813761758799323</v>
      </c>
      <c r="C41" s="91"/>
      <c r="D41" s="290">
        <v>8.6E-3</v>
      </c>
      <c r="E41" s="90">
        <f>+E$5/(1-D41)-E$5</f>
        <v>3.6520072624571576E-2</v>
      </c>
      <c r="F41" s="94"/>
      <c r="G41" s="429">
        <v>6.7199999999999996E-2</v>
      </c>
      <c r="H41" s="403">
        <f>(H$3)/(1-G41)-H$3</f>
        <v>0.28924528301886809</v>
      </c>
      <c r="I41" s="91"/>
      <c r="J41" s="290">
        <v>8.8400000000000006E-2</v>
      </c>
      <c r="K41" s="180">
        <f>(K$5)/(1-J41)-K$5</f>
        <v>0.38982887231241747</v>
      </c>
      <c r="L41" s="91"/>
      <c r="M41" s="290">
        <v>2.46E-2</v>
      </c>
      <c r="N41" s="90">
        <f>(N$4)/(1-M41)-N$4</f>
        <v>0.10340373180233708</v>
      </c>
      <c r="O41" s="91"/>
      <c r="P41" s="144"/>
      <c r="Q41" s="91"/>
      <c r="R41" s="91"/>
      <c r="S41" s="87" t="s">
        <v>719</v>
      </c>
      <c r="T41" s="90">
        <f>T4/(1-0.02902)-T4</f>
        <v>0.12591213760723807</v>
      </c>
      <c r="U41" s="91"/>
      <c r="V41" s="87"/>
      <c r="W41" s="90"/>
      <c r="X41" s="91"/>
      <c r="Y41" s="91"/>
      <c r="Z41" s="91"/>
      <c r="AE41" s="92"/>
      <c r="AF41" s="93">
        <f>SUM(AF38:AF40)</f>
        <v>4.5081251257292759E-2</v>
      </c>
      <c r="AH41" s="92"/>
      <c r="AI41" s="93">
        <f>SUM(AI38:AI40)</f>
        <v>6.3969076305220557E-2</v>
      </c>
      <c r="AK41" s="46"/>
      <c r="AL41" s="94"/>
      <c r="AR41" s="509">
        <f>SUM(AR38:AR40)</f>
        <v>0.12464426229508226</v>
      </c>
    </row>
    <row r="42" spans="1:44" x14ac:dyDescent="0.2">
      <c r="A42" s="195"/>
      <c r="B42" s="181">
        <f>SUM(B39:B41)</f>
        <v>0.29623761758799322</v>
      </c>
      <c r="C42" s="94"/>
      <c r="D42" s="87"/>
      <c r="E42" s="93">
        <f>SUM(E39:E41)</f>
        <v>0.15672007262457158</v>
      </c>
      <c r="F42" s="86"/>
      <c r="G42" s="195"/>
      <c r="H42" s="181">
        <f>SUM(H39:H41)</f>
        <v>0.42154528301886807</v>
      </c>
      <c r="I42" s="94"/>
      <c r="J42" s="178"/>
      <c r="K42" s="181">
        <f>SUM(K39:K41)</f>
        <v>0.46132887231241748</v>
      </c>
      <c r="L42" s="94"/>
      <c r="M42" s="406"/>
      <c r="N42" s="93">
        <f>SUM(N39:N41)</f>
        <v>0.17140373180233709</v>
      </c>
      <c r="O42" s="94"/>
      <c r="P42" s="46"/>
      <c r="Q42" s="94"/>
      <c r="R42" s="94"/>
      <c r="S42" s="92"/>
      <c r="T42" s="93">
        <f>SUM(T39:T41)</f>
        <v>0.24851213760723806</v>
      </c>
      <c r="U42" s="94"/>
      <c r="V42" s="92"/>
      <c r="W42" s="93"/>
      <c r="X42" s="94"/>
      <c r="Y42" s="94"/>
      <c r="Z42" s="94"/>
      <c r="AI42" s="150">
        <f>+AI41+AI3</f>
        <v>4.3639690763052208</v>
      </c>
      <c r="AK42" s="46"/>
      <c r="AL42" s="291"/>
    </row>
    <row r="43" spans="1:44" x14ac:dyDescent="0.2">
      <c r="A43" s="424" t="s">
        <v>22</v>
      </c>
      <c r="B43" s="177" t="s">
        <v>139</v>
      </c>
      <c r="C43" s="86"/>
      <c r="D43" s="34" t="s">
        <v>22</v>
      </c>
      <c r="E43" s="34" t="s">
        <v>140</v>
      </c>
      <c r="F43" s="89"/>
      <c r="G43" s="424" t="s">
        <v>36</v>
      </c>
      <c r="H43" s="431" t="s">
        <v>528</v>
      </c>
      <c r="I43" s="86"/>
      <c r="J43" s="176" t="s">
        <v>104</v>
      </c>
      <c r="K43" s="177" t="s">
        <v>144</v>
      </c>
      <c r="L43" s="86"/>
      <c r="M43" s="140" t="s">
        <v>602</v>
      </c>
      <c r="N43" s="85" t="s">
        <v>150</v>
      </c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97"/>
      <c r="Z43" s="97"/>
      <c r="AH43" s="34" t="s">
        <v>193</v>
      </c>
    </row>
    <row r="44" spans="1:44" x14ac:dyDescent="0.2">
      <c r="A44" s="194" t="s">
        <v>115</v>
      </c>
      <c r="B44" s="179">
        <v>3.5000000000000001E-3</v>
      </c>
      <c r="C44" s="89"/>
      <c r="D44" s="87" t="s">
        <v>115</v>
      </c>
      <c r="E44" s="98">
        <v>0.22439999999999999</v>
      </c>
      <c r="F44" s="89"/>
      <c r="G44" s="195" t="s">
        <v>115</v>
      </c>
      <c r="H44" s="179">
        <v>0.1608</v>
      </c>
      <c r="I44" s="89"/>
      <c r="J44" s="178" t="s">
        <v>115</v>
      </c>
      <c r="K44" s="179">
        <v>5.8999999999999999E-3</v>
      </c>
      <c r="L44" s="89"/>
      <c r="M44" s="406" t="s">
        <v>115</v>
      </c>
      <c r="N44" s="88">
        <v>0.2477</v>
      </c>
      <c r="O44" s="89"/>
      <c r="P44" s="142"/>
      <c r="Q44" s="86"/>
      <c r="R44" s="89"/>
      <c r="S44" s="95" t="s">
        <v>106</v>
      </c>
      <c r="T44" s="141" t="s">
        <v>148</v>
      </c>
      <c r="U44" s="89"/>
      <c r="V44" s="95"/>
      <c r="W44" s="141"/>
      <c r="X44" s="89"/>
      <c r="Y44" s="89"/>
      <c r="Z44" s="89"/>
      <c r="AQ44" s="34" t="s">
        <v>769</v>
      </c>
    </row>
    <row r="45" spans="1:44" x14ac:dyDescent="0.2">
      <c r="A45" s="194" t="s">
        <v>58</v>
      </c>
      <c r="B45" s="179">
        <f>0.0022+0.007+0.0097</f>
        <v>1.89E-2</v>
      </c>
      <c r="C45" s="89"/>
      <c r="D45" s="87" t="s">
        <v>58</v>
      </c>
      <c r="E45" s="98">
        <f>0.007+0.0022+0.0097</f>
        <v>1.89E-2</v>
      </c>
      <c r="F45" s="91"/>
      <c r="G45" s="195" t="s">
        <v>58</v>
      </c>
      <c r="H45" s="179">
        <f>0.0022+0.007</f>
        <v>9.1999999999999998E-3</v>
      </c>
      <c r="I45" s="89"/>
      <c r="J45" s="178" t="s">
        <v>58</v>
      </c>
      <c r="K45" s="179">
        <f>0.0022</f>
        <v>2.2000000000000001E-3</v>
      </c>
      <c r="L45" s="89"/>
      <c r="M45" s="406" t="s">
        <v>58</v>
      </c>
      <c r="N45" s="88">
        <f>0.0022+0.007</f>
        <v>9.1999999999999998E-3</v>
      </c>
      <c r="O45" s="89"/>
      <c r="P45" s="144"/>
      <c r="Q45" s="89"/>
      <c r="R45" s="89"/>
      <c r="S45" s="87" t="s">
        <v>115</v>
      </c>
      <c r="T45" s="88">
        <v>0.03</v>
      </c>
      <c r="U45" s="89"/>
      <c r="V45" s="87"/>
      <c r="W45" s="88"/>
      <c r="X45" s="89"/>
      <c r="Y45" s="89"/>
      <c r="Z45" s="89"/>
      <c r="AH45" s="147">
        <v>36982</v>
      </c>
      <c r="AK45" s="147"/>
      <c r="AQ45" s="34" t="s">
        <v>757</v>
      </c>
      <c r="AR45" s="34">
        <v>1.4200000000000001E-2</v>
      </c>
    </row>
    <row r="46" spans="1:44" x14ac:dyDescent="0.2">
      <c r="A46" s="429">
        <v>4.1999999999999997E-3</v>
      </c>
      <c r="B46" s="180">
        <f>B4/(1-A46)-B4</f>
        <v>1.7946374774051144E-2</v>
      </c>
      <c r="C46" s="91"/>
      <c r="D46" s="290">
        <v>2.75E-2</v>
      </c>
      <c r="E46" s="90">
        <f>+E$5/(1-D46)-E$5</f>
        <v>0.1190488431876604</v>
      </c>
      <c r="F46" s="94"/>
      <c r="G46" s="429">
        <v>7.4200000000000002E-2</v>
      </c>
      <c r="H46" s="403">
        <f>(H$3)/(1-G46)-H$3</f>
        <v>0.32178980341326469</v>
      </c>
      <c r="I46" s="91"/>
      <c r="J46" s="290">
        <v>2.46E-2</v>
      </c>
      <c r="K46" s="382">
        <f>(K$4)/(1-J46)-K$4</f>
        <v>0.10340373180233708</v>
      </c>
      <c r="L46" s="91"/>
      <c r="M46" s="290">
        <v>6.0199999999999997E-2</v>
      </c>
      <c r="N46" s="90">
        <f>(N$4)/(1-M46)-N$4</f>
        <v>0.26263034688231546</v>
      </c>
      <c r="O46" s="91"/>
      <c r="P46" s="144"/>
      <c r="Q46" s="89"/>
      <c r="R46" s="91"/>
      <c r="S46" s="87" t="s">
        <v>58</v>
      </c>
      <c r="T46" s="88">
        <v>2.2000000000000001E-3</v>
      </c>
      <c r="U46" s="91"/>
      <c r="V46" s="87"/>
      <c r="W46" s="88"/>
      <c r="X46" s="91"/>
      <c r="Y46" s="91"/>
      <c r="Z46" s="91"/>
      <c r="AH46" s="148" t="s">
        <v>194</v>
      </c>
      <c r="AI46" s="146">
        <v>4.0000000000000001E-3</v>
      </c>
      <c r="AK46" s="148"/>
      <c r="AL46" s="146"/>
      <c r="AQ46" s="34" t="s">
        <v>58</v>
      </c>
      <c r="AR46" s="34">
        <f>0.0348-0.0312</f>
        <v>3.599999999999999E-3</v>
      </c>
    </row>
    <row r="47" spans="1:44" x14ac:dyDescent="0.2">
      <c r="A47" s="195"/>
      <c r="B47" s="181">
        <f>SUM(B44:B46)</f>
        <v>4.0346374774051147E-2</v>
      </c>
      <c r="C47" s="94"/>
      <c r="D47" s="87"/>
      <c r="E47" s="93">
        <f>SUM(E44:E46)</f>
        <v>0.36234884318766036</v>
      </c>
      <c r="F47" s="97"/>
      <c r="G47" s="195"/>
      <c r="H47" s="181">
        <f>SUM(H44:H46)</f>
        <v>0.49178980341326467</v>
      </c>
      <c r="I47" s="94"/>
      <c r="J47" s="178"/>
      <c r="K47" s="181">
        <f>SUM(K44:K46)</f>
        <v>0.11150373180233708</v>
      </c>
      <c r="L47" s="94"/>
      <c r="M47" s="406"/>
      <c r="N47" s="93">
        <f>SUM(N44:N46)</f>
        <v>0.51953034688231547</v>
      </c>
      <c r="O47" s="94"/>
      <c r="P47" s="144"/>
      <c r="Q47" s="91"/>
      <c r="R47" s="94"/>
      <c r="S47" s="87" t="s">
        <v>718</v>
      </c>
      <c r="T47" s="90">
        <f>T3/(1-0.00697)-T3</f>
        <v>2.9093431215573062E-2</v>
      </c>
      <c r="U47" s="94"/>
      <c r="V47" s="87"/>
      <c r="W47" s="90"/>
      <c r="X47" s="94"/>
      <c r="Y47" s="94"/>
      <c r="Z47" s="94"/>
      <c r="AH47" s="34" t="s">
        <v>195</v>
      </c>
      <c r="AI47" s="146">
        <v>8.0000000000000002E-3</v>
      </c>
      <c r="AL47" s="146"/>
      <c r="AQ47" s="34" t="s">
        <v>755</v>
      </c>
      <c r="AR47" s="90">
        <f>+AP3/(1-0.024)-AP3</f>
        <v>0.10168032786885295</v>
      </c>
    </row>
    <row r="48" spans="1:44" x14ac:dyDescent="0.2">
      <c r="A48" s="425" t="s">
        <v>22</v>
      </c>
      <c r="B48" s="177" t="s">
        <v>142</v>
      </c>
      <c r="C48" s="86"/>
      <c r="D48" s="140" t="s">
        <v>22</v>
      </c>
      <c r="E48" s="93" t="s">
        <v>143</v>
      </c>
      <c r="F48" s="89"/>
      <c r="G48" s="424" t="s">
        <v>36</v>
      </c>
      <c r="H48" s="430" t="s">
        <v>529</v>
      </c>
      <c r="I48" s="97"/>
      <c r="J48" s="176" t="s">
        <v>104</v>
      </c>
      <c r="K48" s="177" t="s">
        <v>147</v>
      </c>
      <c r="L48" s="97"/>
      <c r="M48" s="140" t="s">
        <v>602</v>
      </c>
      <c r="N48" s="85" t="s">
        <v>154</v>
      </c>
      <c r="O48" s="97"/>
      <c r="P48" s="46"/>
      <c r="Q48" s="94"/>
      <c r="R48" s="86"/>
      <c r="S48" s="92"/>
      <c r="T48" s="93">
        <f>SUM(T45:T47)</f>
        <v>6.1293431215573062E-2</v>
      </c>
      <c r="U48" s="86"/>
      <c r="V48" s="92"/>
      <c r="W48" s="93"/>
      <c r="X48" s="86"/>
      <c r="Y48" s="97"/>
      <c r="Z48" s="97"/>
      <c r="AH48" s="34" t="s">
        <v>196</v>
      </c>
      <c r="AI48" s="146">
        <v>4.0000000000000001E-3</v>
      </c>
      <c r="AL48" s="146"/>
      <c r="AR48" s="509">
        <f>SUM(AR45:AR47)</f>
        <v>0.11948032786885295</v>
      </c>
    </row>
    <row r="49" spans="1:38" x14ac:dyDescent="0.2">
      <c r="A49" s="424" t="s">
        <v>115</v>
      </c>
      <c r="B49" s="179">
        <v>6.6E-3</v>
      </c>
      <c r="C49" s="89"/>
      <c r="D49" s="87" t="s">
        <v>115</v>
      </c>
      <c r="E49" s="98">
        <v>7.7399999999999997E-2</v>
      </c>
      <c r="F49" s="89"/>
      <c r="G49" s="194" t="s">
        <v>115</v>
      </c>
      <c r="H49" s="179">
        <v>2.86E-2</v>
      </c>
      <c r="I49" s="89"/>
      <c r="J49" s="178" t="s">
        <v>115</v>
      </c>
      <c r="K49" s="179">
        <v>1.03E-2</v>
      </c>
      <c r="L49" s="89"/>
      <c r="M49" s="406" t="s">
        <v>115</v>
      </c>
      <c r="N49" s="88">
        <v>0.38979999999999998</v>
      </c>
      <c r="O49" s="89"/>
      <c r="P49" s="46"/>
      <c r="Q49" s="94"/>
      <c r="R49" s="89"/>
      <c r="S49" s="92"/>
      <c r="T49" s="93"/>
      <c r="U49" s="89"/>
      <c r="V49" s="92"/>
      <c r="W49" s="93"/>
      <c r="X49" s="89"/>
      <c r="Y49" s="89"/>
      <c r="Z49" s="89"/>
      <c r="AL49" s="146"/>
    </row>
    <row r="50" spans="1:38" x14ac:dyDescent="0.2">
      <c r="A50" s="194" t="s">
        <v>58</v>
      </c>
      <c r="B50" s="179">
        <v>2.2000000000000001E-3</v>
      </c>
      <c r="C50" s="89"/>
      <c r="D50" s="87" t="s">
        <v>58</v>
      </c>
      <c r="E50" s="98">
        <f>0.007+0.0022+0.0097</f>
        <v>1.89E-2</v>
      </c>
      <c r="F50" s="91"/>
      <c r="G50" s="194" t="s">
        <v>58</v>
      </c>
      <c r="H50" s="179">
        <f>0.0022+0.007+0.0225</f>
        <v>3.1699999999999999E-2</v>
      </c>
      <c r="I50" s="89"/>
      <c r="J50" s="178" t="s">
        <v>58</v>
      </c>
      <c r="K50" s="179">
        <f>0.0022+0.007</f>
        <v>9.1999999999999998E-3</v>
      </c>
      <c r="L50" s="89"/>
      <c r="M50" s="406" t="s">
        <v>58</v>
      </c>
      <c r="N50" s="88">
        <f>0.0022+0.007</f>
        <v>9.1999999999999998E-3</v>
      </c>
      <c r="O50" s="89"/>
      <c r="P50" s="142"/>
      <c r="Q50" s="86"/>
      <c r="R50" s="89"/>
      <c r="S50" s="95" t="s">
        <v>106</v>
      </c>
      <c r="T50" s="141" t="s">
        <v>151</v>
      </c>
      <c r="U50" s="89"/>
      <c r="V50" s="95"/>
      <c r="W50" s="141"/>
      <c r="X50" s="89"/>
      <c r="Y50" s="89"/>
      <c r="Z50" s="89"/>
      <c r="AH50" s="147">
        <v>36951</v>
      </c>
      <c r="AK50" s="147"/>
    </row>
    <row r="51" spans="1:38" x14ac:dyDescent="0.2">
      <c r="A51" s="429">
        <v>8.6E-3</v>
      </c>
      <c r="B51" s="180">
        <f>B$5/(1-A51)-B$5</f>
        <v>3.6520072624571576E-2</v>
      </c>
      <c r="C51" s="91"/>
      <c r="D51" s="290">
        <v>4.4000000000000003E-3</v>
      </c>
      <c r="E51" s="90">
        <f>(E$4)/(1-D51)-E$4</f>
        <v>1.8804740859782676E-2</v>
      </c>
      <c r="F51" s="94"/>
      <c r="G51" s="429">
        <v>9.4999999999999998E-3</v>
      </c>
      <c r="H51" s="180">
        <f>(H$4)/(1-G51)-H$4</f>
        <v>3.9035840484603845E-2</v>
      </c>
      <c r="I51" s="91"/>
      <c r="J51" s="290">
        <v>3.1800000000000002E-2</v>
      </c>
      <c r="K51" s="382">
        <f>(K$4)/(1-J51)-K$4</f>
        <v>0.13466225986366442</v>
      </c>
      <c r="L51" s="91"/>
      <c r="M51" s="290">
        <v>7.3400000000000007E-2</v>
      </c>
      <c r="N51" s="90">
        <f>(N$4)/(1-M51)-N$4</f>
        <v>0.32477876106194703</v>
      </c>
      <c r="O51" s="91"/>
      <c r="P51" s="144"/>
      <c r="Q51" s="89"/>
      <c r="R51" s="91"/>
      <c r="S51" s="87" t="s">
        <v>115</v>
      </c>
      <c r="T51" s="88">
        <v>0.03</v>
      </c>
      <c r="U51" s="91"/>
      <c r="V51" s="87"/>
      <c r="W51" s="88"/>
      <c r="X51" s="91"/>
      <c r="Y51" s="91"/>
      <c r="Z51" s="91"/>
      <c r="AH51" s="148" t="s">
        <v>194</v>
      </c>
      <c r="AI51" s="146">
        <v>5.0000000000000001E-3</v>
      </c>
      <c r="AK51" s="148"/>
      <c r="AL51" s="146"/>
    </row>
    <row r="52" spans="1:38" x14ac:dyDescent="0.2">
      <c r="A52" s="194"/>
      <c r="B52" s="181">
        <f>SUM(B49:B51)</f>
        <v>4.5320072624571578E-2</v>
      </c>
      <c r="C52" s="94"/>
      <c r="D52" s="87"/>
      <c r="E52" s="93">
        <f>SUM(E49:E51)</f>
        <v>0.11510474085978267</v>
      </c>
      <c r="F52" s="97"/>
      <c r="G52" s="195"/>
      <c r="H52" s="181">
        <f>SUM(H49:H51)</f>
        <v>9.9335840484603838E-2</v>
      </c>
      <c r="I52" s="94"/>
      <c r="J52" s="178"/>
      <c r="K52" s="181">
        <f>SUM(K49:K51)</f>
        <v>0.15416225986366441</v>
      </c>
      <c r="L52" s="94"/>
      <c r="M52" s="406"/>
      <c r="N52" s="93">
        <f>SUM(N49:N51)</f>
        <v>0.72377876106194705</v>
      </c>
      <c r="O52" s="94"/>
      <c r="P52" s="144"/>
      <c r="Q52" s="89"/>
      <c r="R52" s="94"/>
      <c r="S52" s="87" t="s">
        <v>58</v>
      </c>
      <c r="T52" s="88">
        <v>2.2000000000000001E-3</v>
      </c>
      <c r="U52" s="94"/>
      <c r="V52" s="87"/>
      <c r="W52" s="88"/>
      <c r="X52" s="94"/>
      <c r="Y52" s="94"/>
      <c r="Z52" s="94"/>
      <c r="AH52" s="34" t="s">
        <v>195</v>
      </c>
      <c r="AI52" s="146">
        <v>0.01</v>
      </c>
      <c r="AL52" s="146"/>
    </row>
    <row r="53" spans="1:38" x14ac:dyDescent="0.2">
      <c r="A53" s="195" t="s">
        <v>22</v>
      </c>
      <c r="B53" s="177" t="s">
        <v>491</v>
      </c>
      <c r="C53" s="97"/>
      <c r="D53" s="34" t="s">
        <v>22</v>
      </c>
      <c r="E53" s="34" t="s">
        <v>146</v>
      </c>
      <c r="F53" s="89"/>
      <c r="G53" s="424" t="s">
        <v>36</v>
      </c>
      <c r="H53" s="430" t="s">
        <v>530</v>
      </c>
      <c r="I53" s="97"/>
      <c r="J53" s="176" t="s">
        <v>104</v>
      </c>
      <c r="K53" s="177" t="s">
        <v>150</v>
      </c>
      <c r="L53" s="97"/>
      <c r="M53" s="140" t="s">
        <v>602</v>
      </c>
      <c r="N53" s="85" t="s">
        <v>158</v>
      </c>
      <c r="O53" s="97"/>
      <c r="P53" s="144"/>
      <c r="Q53" s="91"/>
      <c r="R53" s="97"/>
      <c r="S53" s="87" t="s">
        <v>719</v>
      </c>
      <c r="T53" s="90">
        <f>T4/(1-0.02902)-T4</f>
        <v>0.12591213760723807</v>
      </c>
      <c r="U53" s="97"/>
      <c r="V53" s="87"/>
      <c r="W53" s="90"/>
      <c r="X53" s="97"/>
      <c r="Y53" s="86"/>
      <c r="Z53" s="86"/>
      <c r="AH53" s="34" t="s">
        <v>196</v>
      </c>
      <c r="AI53" s="146">
        <v>5.0000000000000001E-3</v>
      </c>
      <c r="AL53" s="146"/>
    </row>
    <row r="54" spans="1:38" x14ac:dyDescent="0.2">
      <c r="A54" s="195" t="s">
        <v>115</v>
      </c>
      <c r="B54" s="179">
        <v>2.01E-2</v>
      </c>
      <c r="C54" s="89"/>
      <c r="D54" s="87" t="s">
        <v>115</v>
      </c>
      <c r="E54" s="98">
        <v>0.20050000000000001</v>
      </c>
      <c r="F54" s="89"/>
      <c r="G54" s="194" t="s">
        <v>115</v>
      </c>
      <c r="H54" s="179">
        <v>5.7200000000000001E-2</v>
      </c>
      <c r="I54" s="89"/>
      <c r="J54" s="178" t="s">
        <v>115</v>
      </c>
      <c r="K54" s="179">
        <v>2.4400000000000002E-2</v>
      </c>
      <c r="L54" s="89"/>
      <c r="M54" s="406" t="s">
        <v>115</v>
      </c>
      <c r="N54" s="88">
        <v>0.4869</v>
      </c>
      <c r="O54" s="89"/>
      <c r="P54" s="46"/>
      <c r="Q54" s="94"/>
      <c r="R54" s="89"/>
      <c r="S54" s="92"/>
      <c r="T54" s="93">
        <f>SUM(T51:T53)</f>
        <v>0.15811213760723808</v>
      </c>
      <c r="U54" s="89"/>
      <c r="V54" s="92"/>
      <c r="W54" s="93"/>
      <c r="X54" s="89"/>
      <c r="Y54" s="89"/>
      <c r="Z54" s="89"/>
      <c r="AL54" s="146"/>
    </row>
    <row r="55" spans="1:38" x14ac:dyDescent="0.2">
      <c r="A55" s="424" t="s">
        <v>58</v>
      </c>
      <c r="B55" s="179">
        <f>0.0022+0.007+0.0097</f>
        <v>1.89E-2</v>
      </c>
      <c r="C55" s="89"/>
      <c r="D55" s="87" t="s">
        <v>58</v>
      </c>
      <c r="E55" s="98">
        <f>0.007+0.0022+0.0097</f>
        <v>1.89E-2</v>
      </c>
      <c r="F55" s="91"/>
      <c r="G55" s="194" t="s">
        <v>58</v>
      </c>
      <c r="H55" s="179">
        <f>0.0022+0.007+0.0225</f>
        <v>3.1699999999999999E-2</v>
      </c>
      <c r="I55" s="89"/>
      <c r="J55" s="178" t="s">
        <v>58</v>
      </c>
      <c r="K55" s="179">
        <f>0.0022+0.007</f>
        <v>9.1999999999999998E-3</v>
      </c>
      <c r="L55" s="89"/>
      <c r="M55" s="406" t="s">
        <v>58</v>
      </c>
      <c r="N55" s="88">
        <f>0.0022+0.007</f>
        <v>9.1999999999999998E-3</v>
      </c>
      <c r="O55" s="89"/>
      <c r="P55" s="86"/>
      <c r="Q55" s="94"/>
      <c r="R55" s="89"/>
      <c r="S55" s="86"/>
      <c r="T55" s="94">
        <f>+T54+T48</f>
        <v>0.21940556882281115</v>
      </c>
      <c r="U55" s="89"/>
      <c r="V55" s="86"/>
      <c r="W55" s="94"/>
      <c r="X55" s="89"/>
      <c r="Y55" s="89"/>
      <c r="Z55" s="89"/>
      <c r="AH55" s="147">
        <v>36923</v>
      </c>
      <c r="AK55" s="147"/>
    </row>
    <row r="56" spans="1:38" x14ac:dyDescent="0.2">
      <c r="A56" s="429">
        <v>2.75E-2</v>
      </c>
      <c r="B56" s="180">
        <f>B$5/(1-A56)-B$5</f>
        <v>0.1190488431876604</v>
      </c>
      <c r="C56" s="91"/>
      <c r="D56" s="290">
        <v>2.3300000000000001E-2</v>
      </c>
      <c r="E56" s="90">
        <f>(E$4)/(1-D56)-E$4</f>
        <v>0.10150660387017485</v>
      </c>
      <c r="F56" s="94"/>
      <c r="G56" s="429">
        <v>1.7000000000000001E-2</v>
      </c>
      <c r="H56" s="180">
        <f>(H$4)/(1-G56)-H$4</f>
        <v>7.0386571719226687E-2</v>
      </c>
      <c r="I56" s="91"/>
      <c r="J56" s="290">
        <v>6.0199999999999997E-2</v>
      </c>
      <c r="K56" s="382">
        <f>(K$4)/(1-J56)-K$4</f>
        <v>0.26263034688231546</v>
      </c>
      <c r="L56" s="91"/>
      <c r="M56" s="290">
        <v>8.2299999999999998E-2</v>
      </c>
      <c r="N56" s="90">
        <f>(N$4)/(1-M56)-N$4</f>
        <v>0.36769096654680222</v>
      </c>
      <c r="O56" s="91"/>
      <c r="P56" s="142"/>
      <c r="Q56" s="86"/>
      <c r="R56" s="91"/>
      <c r="S56" s="84" t="s">
        <v>45</v>
      </c>
      <c r="T56" s="139" t="s">
        <v>45</v>
      </c>
      <c r="U56" s="91"/>
      <c r="V56" s="84"/>
      <c r="W56" s="139"/>
      <c r="X56" s="91"/>
      <c r="Y56" s="91"/>
      <c r="Z56" s="91"/>
      <c r="AH56" s="148" t="s">
        <v>194</v>
      </c>
      <c r="AI56" s="146">
        <v>5.0000000000000001E-3</v>
      </c>
      <c r="AK56" s="148"/>
      <c r="AL56" s="146"/>
    </row>
    <row r="57" spans="1:38" x14ac:dyDescent="0.2">
      <c r="A57" s="194"/>
      <c r="B57" s="181">
        <f>SUM(B54:B56)</f>
        <v>0.15804884318766041</v>
      </c>
      <c r="C57" s="94"/>
      <c r="D57" s="87"/>
      <c r="E57" s="93">
        <f>SUM(E54:E56)</f>
        <v>0.32090660387017489</v>
      </c>
      <c r="F57" s="86"/>
      <c r="G57" s="195"/>
      <c r="H57" s="181">
        <f>SUM(H54:H56)</f>
        <v>0.15928657171922669</v>
      </c>
      <c r="I57" s="94"/>
      <c r="J57" s="178"/>
      <c r="K57" s="181">
        <f>SUM(K54:K56)</f>
        <v>0.29623034688231548</v>
      </c>
      <c r="L57" s="94"/>
      <c r="M57" s="406"/>
      <c r="N57" s="93">
        <f>SUM(N54:N56)</f>
        <v>0.86379096654680221</v>
      </c>
      <c r="O57" s="94"/>
      <c r="P57" s="144"/>
      <c r="Q57" s="89"/>
      <c r="R57" s="94"/>
      <c r="S57" s="87"/>
      <c r="T57" s="88" t="s">
        <v>45</v>
      </c>
      <c r="U57" s="94"/>
      <c r="V57" s="87"/>
      <c r="W57" s="88"/>
      <c r="X57" s="94"/>
      <c r="Y57" s="94"/>
      <c r="Z57" s="94"/>
      <c r="AH57" s="34" t="s">
        <v>195</v>
      </c>
      <c r="AI57" s="146">
        <v>0.01</v>
      </c>
      <c r="AL57" s="146"/>
    </row>
    <row r="58" spans="1:38" x14ac:dyDescent="0.2">
      <c r="A58" s="195" t="s">
        <v>22</v>
      </c>
      <c r="B58" s="177" t="s">
        <v>145</v>
      </c>
      <c r="C58" s="97"/>
      <c r="D58" s="34" t="s">
        <v>22</v>
      </c>
      <c r="E58" s="34" t="s">
        <v>239</v>
      </c>
      <c r="F58" s="89"/>
      <c r="G58" s="424" t="s">
        <v>36</v>
      </c>
      <c r="H58" s="430" t="s">
        <v>531</v>
      </c>
      <c r="I58" s="86"/>
      <c r="J58" s="176" t="s">
        <v>104</v>
      </c>
      <c r="K58" s="177" t="s">
        <v>154</v>
      </c>
      <c r="L58" s="86"/>
      <c r="M58" s="140" t="s">
        <v>602</v>
      </c>
      <c r="N58" s="85" t="s">
        <v>190</v>
      </c>
      <c r="O58" s="86"/>
      <c r="P58" s="144"/>
      <c r="Q58" s="89"/>
      <c r="R58" s="97"/>
      <c r="S58" s="87"/>
      <c r="T58" s="88"/>
      <c r="U58" s="97"/>
      <c r="V58" s="87"/>
      <c r="W58" s="88"/>
      <c r="X58" s="97"/>
      <c r="Y58" s="86"/>
      <c r="Z58" s="86"/>
      <c r="AH58" s="34" t="s">
        <v>196</v>
      </c>
      <c r="AI58" s="146">
        <v>5.0000000000000001E-3</v>
      </c>
      <c r="AL58" s="146"/>
    </row>
    <row r="59" spans="1:38" x14ac:dyDescent="0.2">
      <c r="A59" s="195" t="s">
        <v>115</v>
      </c>
      <c r="B59" s="179">
        <v>3.09E-2</v>
      </c>
      <c r="C59" s="89"/>
      <c r="D59" s="87" t="s">
        <v>115</v>
      </c>
      <c r="E59" s="98">
        <v>0.34210000000000002</v>
      </c>
      <c r="F59" s="89"/>
      <c r="G59" s="194" t="s">
        <v>115</v>
      </c>
      <c r="H59" s="179">
        <v>7.7600000000000002E-2</v>
      </c>
      <c r="I59" s="89"/>
      <c r="J59" s="178" t="s">
        <v>115</v>
      </c>
      <c r="K59" s="179">
        <v>4.4699999999999997E-2</v>
      </c>
      <c r="L59" s="89"/>
      <c r="M59" s="406" t="s">
        <v>115</v>
      </c>
      <c r="N59" s="88">
        <v>9.5299999999999996E-2</v>
      </c>
      <c r="O59" s="89"/>
      <c r="P59" s="144"/>
      <c r="Q59" s="91"/>
      <c r="R59" s="89"/>
      <c r="S59" s="87"/>
      <c r="T59" s="90"/>
      <c r="U59" s="89"/>
      <c r="V59" s="87"/>
      <c r="W59" s="90"/>
      <c r="X59" s="89"/>
      <c r="Y59" s="89"/>
      <c r="Z59" s="89"/>
      <c r="AL59" s="146"/>
    </row>
    <row r="60" spans="1:38" x14ac:dyDescent="0.2">
      <c r="A60" s="424" t="s">
        <v>58</v>
      </c>
      <c r="B60" s="179">
        <f>0.0022+0.007+0.0097</f>
        <v>1.89E-2</v>
      </c>
      <c r="C60" s="89"/>
      <c r="D60" s="87" t="s">
        <v>58</v>
      </c>
      <c r="E60" s="98">
        <f>0.0097+0.007+0.0022</f>
        <v>1.89E-2</v>
      </c>
      <c r="F60" s="91"/>
      <c r="G60" s="194" t="s">
        <v>58</v>
      </c>
      <c r="H60" s="179">
        <f>0.0022+0.007</f>
        <v>9.1999999999999998E-3</v>
      </c>
      <c r="I60" s="89"/>
      <c r="J60" s="178" t="s">
        <v>58</v>
      </c>
      <c r="K60" s="179">
        <f>0.0022+0.007</f>
        <v>9.1999999999999998E-3</v>
      </c>
      <c r="L60" s="89"/>
      <c r="M60" s="406" t="s">
        <v>58</v>
      </c>
      <c r="N60" s="88">
        <f>0.0022+0.007</f>
        <v>9.1999999999999998E-3</v>
      </c>
      <c r="O60" s="89"/>
      <c r="P60" s="46"/>
      <c r="Q60" s="94"/>
      <c r="R60" s="89"/>
      <c r="S60" s="92" t="s">
        <v>45</v>
      </c>
      <c r="T60" s="93" t="s">
        <v>45</v>
      </c>
      <c r="U60" s="89"/>
      <c r="V60" s="92"/>
      <c r="W60" s="93"/>
      <c r="X60" s="89"/>
      <c r="Y60" s="89"/>
      <c r="Z60" s="89"/>
      <c r="AH60" s="147">
        <v>36892</v>
      </c>
      <c r="AK60" s="147"/>
    </row>
    <row r="61" spans="1:38" x14ac:dyDescent="0.2">
      <c r="A61" s="429">
        <v>4.2299999999999997E-2</v>
      </c>
      <c r="B61" s="180">
        <f>B$5/(1-A61)-B$5</f>
        <v>0.18594862691865899</v>
      </c>
      <c r="C61" s="91"/>
      <c r="D61" s="290">
        <v>4.6199999999999998E-2</v>
      </c>
      <c r="E61" s="90">
        <f>(E$4)/(1-D61)-E$4</f>
        <v>0.20610295659467415</v>
      </c>
      <c r="F61" s="94"/>
      <c r="G61" s="429">
        <v>3.6900000000000002E-2</v>
      </c>
      <c r="H61" s="180">
        <f>(H$4)/(1-G61)-H$4</f>
        <v>0.155937078185028</v>
      </c>
      <c r="I61" s="91"/>
      <c r="J61" s="290">
        <v>7.3400000000000007E-2</v>
      </c>
      <c r="K61" s="382">
        <f>(K$4)/(1-J61)-K$4</f>
        <v>0.32477876106194703</v>
      </c>
      <c r="L61" s="91"/>
      <c r="M61" s="290">
        <v>2.9100000000000001E-2</v>
      </c>
      <c r="N61" s="90">
        <f>(N$3)/(1-M61)-N$3</f>
        <v>0.12348542589350053</v>
      </c>
      <c r="O61" s="91"/>
      <c r="P61" s="142"/>
      <c r="Q61" s="86"/>
      <c r="R61" s="91"/>
      <c r="S61" s="95" t="s">
        <v>45</v>
      </c>
      <c r="T61" s="141" t="s">
        <v>45</v>
      </c>
      <c r="U61" s="91"/>
      <c r="V61" s="95"/>
      <c r="W61" s="141"/>
      <c r="X61" s="91"/>
      <c r="Y61" s="91"/>
      <c r="Z61" s="91"/>
      <c r="AH61" s="148" t="s">
        <v>194</v>
      </c>
      <c r="AI61" s="146">
        <v>5.0000000000000001E-3</v>
      </c>
      <c r="AK61" s="148"/>
      <c r="AL61" s="146"/>
    </row>
    <row r="62" spans="1:38" x14ac:dyDescent="0.2">
      <c r="A62" s="194"/>
      <c r="B62" s="181">
        <f>SUM(B59:B61)</f>
        <v>0.235748626918659</v>
      </c>
      <c r="C62" s="94"/>
      <c r="D62" s="87"/>
      <c r="E62" s="93">
        <f>SUM(E59:E61)</f>
        <v>0.56710295659467413</v>
      </c>
      <c r="F62" s="86"/>
      <c r="G62" s="195"/>
      <c r="H62" s="181">
        <f>SUM(H59:H61)</f>
        <v>0.24273707818502799</v>
      </c>
      <c r="I62" s="94"/>
      <c r="J62" s="178"/>
      <c r="K62" s="181">
        <f>SUM(K59:K61)</f>
        <v>0.37867876106194703</v>
      </c>
      <c r="L62" s="94"/>
      <c r="M62" s="406"/>
      <c r="N62" s="93">
        <f>SUM(N59:N61)</f>
        <v>0.22798542589350052</v>
      </c>
      <c r="O62" s="94"/>
      <c r="P62" s="144"/>
      <c r="Q62" s="89"/>
      <c r="R62" s="94"/>
      <c r="S62" s="87" t="s">
        <v>45</v>
      </c>
      <c r="T62" s="88" t="s">
        <v>45</v>
      </c>
      <c r="U62" s="94"/>
      <c r="V62" s="87"/>
      <c r="W62" s="88"/>
      <c r="X62" s="94"/>
      <c r="Y62" s="94"/>
      <c r="Z62" s="94"/>
      <c r="AH62" s="34" t="s">
        <v>195</v>
      </c>
      <c r="AI62" s="146">
        <v>0.01</v>
      </c>
      <c r="AL62" s="146"/>
    </row>
    <row r="63" spans="1:38" x14ac:dyDescent="0.2">
      <c r="A63" s="194" t="s">
        <v>22</v>
      </c>
      <c r="B63" s="177" t="s">
        <v>149</v>
      </c>
      <c r="C63" s="86"/>
      <c r="D63" s="34" t="s">
        <v>22</v>
      </c>
      <c r="E63" s="34" t="s">
        <v>153</v>
      </c>
      <c r="F63" s="89"/>
      <c r="G63" s="424" t="s">
        <v>36</v>
      </c>
      <c r="H63" s="430" t="s">
        <v>532</v>
      </c>
      <c r="I63" s="86"/>
      <c r="J63" s="176" t="s">
        <v>104</v>
      </c>
      <c r="K63" s="177" t="s">
        <v>158</v>
      </c>
      <c r="L63" s="86"/>
      <c r="M63" s="140" t="s">
        <v>602</v>
      </c>
      <c r="N63" s="85" t="s">
        <v>168</v>
      </c>
      <c r="O63" s="86"/>
      <c r="P63" s="144"/>
      <c r="Q63" s="89"/>
      <c r="R63" s="86"/>
      <c r="S63" s="87" t="s">
        <v>45</v>
      </c>
      <c r="T63" s="88" t="s">
        <v>45</v>
      </c>
      <c r="U63" s="86"/>
      <c r="V63" s="87"/>
      <c r="W63" s="88"/>
      <c r="X63" s="86"/>
      <c r="Y63" s="99"/>
      <c r="Z63" s="99"/>
      <c r="AH63" s="34" t="s">
        <v>196</v>
      </c>
      <c r="AI63" s="146">
        <v>5.0000000000000001E-3</v>
      </c>
      <c r="AL63" s="146"/>
    </row>
    <row r="64" spans="1:38" x14ac:dyDescent="0.2">
      <c r="A64" s="195" t="s">
        <v>115</v>
      </c>
      <c r="B64" s="179">
        <v>3.6700000000000003E-2</v>
      </c>
      <c r="C64" s="89"/>
      <c r="D64" s="87" t="s">
        <v>115</v>
      </c>
      <c r="E64" s="98">
        <v>0.16719999999999999</v>
      </c>
      <c r="F64" s="89"/>
      <c r="G64" s="194" t="s">
        <v>115</v>
      </c>
      <c r="H64" s="179">
        <v>8.7400000000000005E-2</v>
      </c>
      <c r="I64" s="89"/>
      <c r="J64" s="178" t="s">
        <v>115</v>
      </c>
      <c r="K64" s="179">
        <v>5.8599999999999999E-2</v>
      </c>
      <c r="L64" s="89"/>
      <c r="M64" s="406" t="s">
        <v>115</v>
      </c>
      <c r="N64" s="88">
        <v>7.9100000000000004E-2</v>
      </c>
      <c r="O64" s="89"/>
      <c r="P64" s="144"/>
      <c r="Q64" s="91"/>
      <c r="R64" s="89"/>
      <c r="S64" s="87" t="s">
        <v>45</v>
      </c>
      <c r="T64" s="90" t="s">
        <v>45</v>
      </c>
      <c r="U64" s="89"/>
      <c r="V64" s="87"/>
      <c r="W64" s="90"/>
      <c r="X64" s="89"/>
      <c r="Y64" s="89"/>
      <c r="Z64" s="89"/>
      <c r="AL64" s="146"/>
    </row>
    <row r="65" spans="1:38" x14ac:dyDescent="0.2">
      <c r="A65" s="191" t="s">
        <v>58</v>
      </c>
      <c r="B65" s="179">
        <f>0.0022+0.007+0.0097</f>
        <v>1.89E-2</v>
      </c>
      <c r="C65" s="89"/>
      <c r="D65" s="87" t="s">
        <v>58</v>
      </c>
      <c r="E65" s="88">
        <f>0.0022+0.007+0.0097</f>
        <v>1.89E-2</v>
      </c>
      <c r="F65" s="91"/>
      <c r="G65" s="194" t="s">
        <v>58</v>
      </c>
      <c r="H65" s="179">
        <f>0.0022</f>
        <v>2.2000000000000001E-3</v>
      </c>
      <c r="I65" s="89"/>
      <c r="J65" s="178" t="s">
        <v>58</v>
      </c>
      <c r="K65" s="179">
        <f>0.0022+0.007</f>
        <v>9.1999999999999998E-3</v>
      </c>
      <c r="L65" s="89"/>
      <c r="M65" s="406" t="s">
        <v>58</v>
      </c>
      <c r="N65" s="88">
        <f>0.0022+0.007</f>
        <v>9.1999999999999998E-3</v>
      </c>
      <c r="O65" s="89"/>
      <c r="P65" s="46"/>
      <c r="Q65" s="94"/>
      <c r="R65" s="89"/>
      <c r="S65" s="92"/>
      <c r="T65" s="93" t="s">
        <v>45</v>
      </c>
      <c r="U65" s="89"/>
      <c r="V65" s="92"/>
      <c r="W65" s="93"/>
      <c r="X65" s="89"/>
      <c r="Y65" s="89"/>
      <c r="Z65" s="89"/>
      <c r="AH65" s="147">
        <v>36861</v>
      </c>
      <c r="AK65" s="147"/>
    </row>
    <row r="66" spans="1:38" x14ac:dyDescent="0.2">
      <c r="A66" s="429">
        <v>5.04E-2</v>
      </c>
      <c r="B66" s="180">
        <f>B$5/(1-A66)-B$5</f>
        <v>0.22344566133108668</v>
      </c>
      <c r="C66" s="91"/>
      <c r="D66" s="290">
        <v>1.89E-2</v>
      </c>
      <c r="E66" s="90">
        <f>(E$3)/(1-D66)-E$3</f>
        <v>8.013861991642024E-2</v>
      </c>
      <c r="F66" s="94"/>
      <c r="G66" s="429">
        <v>4.2900000000000001E-2</v>
      </c>
      <c r="H66" s="180">
        <f>(H$4)/(1-G66)-H$4</f>
        <v>0.18242921324835493</v>
      </c>
      <c r="I66" s="91"/>
      <c r="J66" s="290">
        <v>8.2299999999999998E-2</v>
      </c>
      <c r="K66" s="382">
        <f>(K$4)/(1-J66)-K$4</f>
        <v>0.36769096654680222</v>
      </c>
      <c r="L66" s="91"/>
      <c r="M66" s="290">
        <v>2.9100000000000001E-2</v>
      </c>
      <c r="N66" s="90">
        <f>(N$3)/(1-M66)-N$3</f>
        <v>0.12348542589350053</v>
      </c>
      <c r="O66" s="91"/>
      <c r="P66" s="142"/>
      <c r="Q66" s="86"/>
      <c r="R66" s="91"/>
      <c r="S66" s="95" t="s">
        <v>45</v>
      </c>
      <c r="T66" s="141" t="s">
        <v>45</v>
      </c>
      <c r="U66" s="91"/>
      <c r="V66" s="95"/>
      <c r="W66" s="141"/>
      <c r="X66" s="91"/>
      <c r="Y66" s="91"/>
      <c r="Z66" s="91"/>
      <c r="AH66" s="148" t="s">
        <v>194</v>
      </c>
      <c r="AI66" s="146">
        <v>5.0000000000000001E-3</v>
      </c>
      <c r="AK66" s="148"/>
      <c r="AL66" s="146"/>
    </row>
    <row r="67" spans="1:38" x14ac:dyDescent="0.2">
      <c r="A67" s="194"/>
      <c r="B67" s="181">
        <f>SUM(B64:B66)</f>
        <v>0.27904566133108666</v>
      </c>
      <c r="C67" s="94"/>
      <c r="D67" s="87"/>
      <c r="E67" s="93">
        <f>SUM(E64:E66)</f>
        <v>0.26623861991642023</v>
      </c>
      <c r="F67" s="99"/>
      <c r="G67" s="195"/>
      <c r="H67" s="181">
        <f>SUM(H64:H66)</f>
        <v>0.27202921324835494</v>
      </c>
      <c r="I67" s="94"/>
      <c r="J67" s="178"/>
      <c r="K67" s="181">
        <f>SUM(K64:K66)</f>
        <v>0.43549096654680219</v>
      </c>
      <c r="L67" s="94"/>
      <c r="M67" s="406"/>
      <c r="N67" s="93">
        <f>SUM(N64:N66)</f>
        <v>0.21178542589350052</v>
      </c>
      <c r="O67" s="94"/>
      <c r="P67" s="144"/>
      <c r="Q67" s="89"/>
      <c r="R67" s="94"/>
      <c r="S67" s="87"/>
      <c r="T67" s="88"/>
      <c r="U67" s="94"/>
      <c r="V67" s="87"/>
      <c r="W67" s="88"/>
      <c r="X67" s="94"/>
      <c r="Y67" s="94"/>
      <c r="Z67" s="94"/>
      <c r="AH67" s="34" t="s">
        <v>195</v>
      </c>
      <c r="AI67" s="146">
        <v>0.01</v>
      </c>
      <c r="AL67" s="146"/>
    </row>
    <row r="68" spans="1:38" x14ac:dyDescent="0.2">
      <c r="A68" s="194" t="s">
        <v>22</v>
      </c>
      <c r="B68" s="177" t="s">
        <v>152</v>
      </c>
      <c r="C68" s="86"/>
      <c r="D68" s="34" t="s">
        <v>22</v>
      </c>
      <c r="E68" s="34" t="s">
        <v>656</v>
      </c>
      <c r="F68" s="89"/>
      <c r="G68" s="424" t="s">
        <v>36</v>
      </c>
      <c r="H68" s="430" t="s">
        <v>533</v>
      </c>
      <c r="I68" s="99"/>
      <c r="J68" s="176" t="s">
        <v>104</v>
      </c>
      <c r="K68" s="177" t="s">
        <v>191</v>
      </c>
      <c r="L68" s="99"/>
      <c r="M68" s="140" t="s">
        <v>602</v>
      </c>
      <c r="N68" s="85" t="s">
        <v>170</v>
      </c>
      <c r="O68" s="99"/>
      <c r="P68" s="144"/>
      <c r="Q68" s="89"/>
      <c r="R68" s="86"/>
      <c r="S68" s="87"/>
      <c r="T68" s="88"/>
      <c r="U68" s="86"/>
      <c r="V68" s="87"/>
      <c r="W68" s="88"/>
      <c r="X68" s="86"/>
      <c r="Y68" s="99"/>
      <c r="Z68" s="99"/>
      <c r="AH68" s="34" t="s">
        <v>196</v>
      </c>
      <c r="AI68" s="146">
        <v>5.0000000000000001E-3</v>
      </c>
      <c r="AL68" s="146"/>
    </row>
    <row r="69" spans="1:38" x14ac:dyDescent="0.2">
      <c r="A69" s="194" t="s">
        <v>115</v>
      </c>
      <c r="B69" s="179">
        <v>3.5000000000000001E-3</v>
      </c>
      <c r="C69" s="89"/>
      <c r="D69" s="87" t="s">
        <v>115</v>
      </c>
      <c r="E69" s="98">
        <v>0.2591</v>
      </c>
      <c r="F69" s="89"/>
      <c r="G69" s="194" t="s">
        <v>115</v>
      </c>
      <c r="H69" s="179">
        <v>0.1014</v>
      </c>
      <c r="I69" s="89"/>
      <c r="J69" s="178" t="s">
        <v>115</v>
      </c>
      <c r="K69" s="179">
        <v>1.4E-2</v>
      </c>
      <c r="L69" s="89"/>
      <c r="M69" s="406" t="s">
        <v>115</v>
      </c>
      <c r="N69" s="88">
        <v>0.23150000000000001</v>
      </c>
      <c r="O69" s="89"/>
      <c r="P69" s="144"/>
      <c r="Q69" s="91"/>
      <c r="R69" s="89"/>
      <c r="S69" s="87"/>
      <c r="T69" s="90"/>
      <c r="U69" s="89"/>
      <c r="V69" s="87"/>
      <c r="W69" s="90"/>
      <c r="X69" s="89"/>
      <c r="Y69" s="89"/>
      <c r="Z69" s="89"/>
      <c r="AL69" s="146"/>
    </row>
    <row r="70" spans="1:38" x14ac:dyDescent="0.2">
      <c r="A70" s="195" t="s">
        <v>58</v>
      </c>
      <c r="B70" s="179">
        <f>0.0022+0.007+0.0097</f>
        <v>1.89E-2</v>
      </c>
      <c r="C70" s="89"/>
      <c r="D70" s="87" t="s">
        <v>58</v>
      </c>
      <c r="E70" s="88">
        <f>0.0022+0.007+0.0097</f>
        <v>1.89E-2</v>
      </c>
      <c r="F70" s="91"/>
      <c r="G70" s="194" t="s">
        <v>58</v>
      </c>
      <c r="H70" s="179">
        <f>0.0022+0.007</f>
        <v>9.1999999999999998E-3</v>
      </c>
      <c r="I70" s="89"/>
      <c r="J70" s="178" t="s">
        <v>58</v>
      </c>
      <c r="K70" s="179">
        <f>0.0022+0.007</f>
        <v>9.1999999999999998E-3</v>
      </c>
      <c r="L70" s="89"/>
      <c r="M70" s="406" t="s">
        <v>58</v>
      </c>
      <c r="N70" s="88">
        <f>0.0022+0.007</f>
        <v>9.1999999999999998E-3</v>
      </c>
      <c r="O70" s="89"/>
      <c r="P70" s="92"/>
      <c r="Q70" s="93"/>
      <c r="R70" s="89"/>
      <c r="S70" s="92"/>
      <c r="T70" s="93"/>
      <c r="U70" s="89"/>
      <c r="V70" s="92"/>
      <c r="W70" s="93"/>
      <c r="X70" s="89"/>
      <c r="Y70" s="89"/>
      <c r="Z70" s="89"/>
      <c r="AH70" s="147">
        <v>36831</v>
      </c>
      <c r="AK70" s="147"/>
    </row>
    <row r="71" spans="1:38" x14ac:dyDescent="0.2">
      <c r="A71" s="429">
        <v>4.4000000000000003E-3</v>
      </c>
      <c r="B71" s="180">
        <f>(B$4)/(1-A71)-B$4</f>
        <v>1.8804740859782676E-2</v>
      </c>
      <c r="C71" s="91"/>
      <c r="D71" s="290">
        <v>3.3700000000000001E-2</v>
      </c>
      <c r="E71" s="90">
        <f>(E$3)/(1-D71)-E$3</f>
        <v>0.14508123771085568</v>
      </c>
      <c r="F71" s="94"/>
      <c r="G71" s="429">
        <v>5.0599999999999999E-2</v>
      </c>
      <c r="H71" s="180">
        <f>(H$4)/(1-G71)-H$4</f>
        <v>0.21691805350747817</v>
      </c>
      <c r="I71" s="91"/>
      <c r="J71" s="290">
        <v>2.9399999999999999E-2</v>
      </c>
      <c r="K71" s="382">
        <f>(K$3)/(1-J71)-K$3</f>
        <v>0.12479703276323928</v>
      </c>
      <c r="L71" s="91"/>
      <c r="M71" s="290">
        <v>5.7500000000000002E-2</v>
      </c>
      <c r="N71" s="90">
        <f>(N$3)/(1-M71)-N$3</f>
        <v>0.25135278514588855</v>
      </c>
      <c r="O71" s="91"/>
      <c r="P71" s="86"/>
      <c r="Q71" s="86"/>
      <c r="R71" s="91"/>
      <c r="S71" s="86"/>
      <c r="T71" s="86"/>
      <c r="U71" s="91"/>
      <c r="V71" s="86"/>
      <c r="W71" s="86"/>
      <c r="X71" s="91"/>
      <c r="Y71" s="91"/>
      <c r="Z71" s="91"/>
      <c r="AH71" s="148" t="s">
        <v>194</v>
      </c>
      <c r="AI71" s="146">
        <v>3.0000000000000001E-3</v>
      </c>
      <c r="AK71" s="148"/>
      <c r="AL71" s="146"/>
    </row>
    <row r="72" spans="1:38" x14ac:dyDescent="0.2">
      <c r="A72" s="194"/>
      <c r="B72" s="181">
        <f>SUM(B69:B71)</f>
        <v>4.1204740859782679E-2</v>
      </c>
      <c r="C72" s="94"/>
      <c r="D72" s="290"/>
      <c r="E72" s="93">
        <f>SUM(E69:E71)</f>
        <v>0.42308123771085571</v>
      </c>
      <c r="F72" s="99"/>
      <c r="G72" s="195"/>
      <c r="H72" s="181">
        <f>SUM(H69:H71)</f>
        <v>0.3275180535074782</v>
      </c>
      <c r="I72" s="94"/>
      <c r="J72" s="178"/>
      <c r="K72" s="181">
        <f>SUM(K69:K71)</f>
        <v>0.14799703276323928</v>
      </c>
      <c r="L72" s="94"/>
      <c r="M72" s="406"/>
      <c r="N72" s="93">
        <f>SUM(N69:N71)</f>
        <v>0.49205278514588857</v>
      </c>
      <c r="O72" s="94"/>
      <c r="P72" s="89"/>
      <c r="Q72" s="89"/>
      <c r="R72" s="94"/>
      <c r="S72" s="89"/>
      <c r="T72" s="89"/>
      <c r="U72" s="94"/>
      <c r="V72" s="89"/>
      <c r="W72" s="89"/>
      <c r="X72" s="94"/>
      <c r="Y72" s="94"/>
      <c r="Z72" s="94"/>
      <c r="AH72" s="34" t="s">
        <v>195</v>
      </c>
      <c r="AI72" s="146">
        <v>6.0000000000000001E-3</v>
      </c>
      <c r="AL72" s="146"/>
    </row>
    <row r="73" spans="1:38" x14ac:dyDescent="0.2">
      <c r="A73" s="194" t="s">
        <v>22</v>
      </c>
      <c r="B73" s="181" t="s">
        <v>155</v>
      </c>
      <c r="C73" s="99"/>
      <c r="D73" s="34" t="s">
        <v>156</v>
      </c>
      <c r="E73" s="34" t="s">
        <v>157</v>
      </c>
      <c r="F73" s="89"/>
      <c r="G73" s="424" t="s">
        <v>36</v>
      </c>
      <c r="H73" s="430" t="s">
        <v>534</v>
      </c>
      <c r="I73" s="99"/>
      <c r="J73" s="176" t="s">
        <v>104</v>
      </c>
      <c r="K73" s="177" t="s">
        <v>190</v>
      </c>
      <c r="L73" s="99"/>
      <c r="M73" s="140" t="s">
        <v>602</v>
      </c>
      <c r="N73" s="85" t="s">
        <v>172</v>
      </c>
      <c r="O73" s="99"/>
      <c r="P73" s="91"/>
      <c r="Q73" s="91"/>
      <c r="R73" s="99"/>
      <c r="S73" s="91"/>
      <c r="T73" s="91"/>
      <c r="U73" s="99"/>
      <c r="V73" s="91"/>
      <c r="W73" s="91"/>
      <c r="X73" s="99"/>
      <c r="Y73" s="99"/>
      <c r="Z73" s="99"/>
      <c r="AH73" s="34" t="s">
        <v>196</v>
      </c>
      <c r="AI73" s="146">
        <v>3.0000000000000001E-3</v>
      </c>
      <c r="AL73" s="146"/>
    </row>
    <row r="74" spans="1:38" x14ac:dyDescent="0.2">
      <c r="A74" s="194" t="s">
        <v>115</v>
      </c>
      <c r="B74" s="184">
        <v>1.7000000000000001E-2</v>
      </c>
      <c r="C74" s="89"/>
      <c r="D74" s="87" t="s">
        <v>115</v>
      </c>
      <c r="E74" s="98">
        <v>7.46E-2</v>
      </c>
      <c r="F74" s="89"/>
      <c r="G74" s="194" t="s">
        <v>115</v>
      </c>
      <c r="H74" s="179">
        <v>0.11260000000000001</v>
      </c>
      <c r="I74" s="89"/>
      <c r="J74" s="178" t="s">
        <v>115</v>
      </c>
      <c r="K74" s="179">
        <v>1.03E-2</v>
      </c>
      <c r="L74" s="89"/>
      <c r="M74" s="406" t="s">
        <v>115</v>
      </c>
      <c r="N74" s="88">
        <v>0.37359999999999999</v>
      </c>
      <c r="O74" s="89"/>
      <c r="P74" s="94"/>
      <c r="Q74" s="94"/>
      <c r="R74" s="89"/>
      <c r="S74" s="94"/>
      <c r="T74" s="94"/>
      <c r="U74" s="89"/>
      <c r="V74" s="94"/>
      <c r="W74" s="94"/>
      <c r="X74" s="89"/>
      <c r="Y74" s="89"/>
      <c r="Z74" s="89"/>
      <c r="AL74" s="146"/>
    </row>
    <row r="75" spans="1:38" x14ac:dyDescent="0.2">
      <c r="A75" s="195" t="s">
        <v>58</v>
      </c>
      <c r="B75" s="184">
        <f>0.0022+0.007+0.0097</f>
        <v>1.89E-2</v>
      </c>
      <c r="C75" s="89"/>
      <c r="D75" s="87" t="s">
        <v>58</v>
      </c>
      <c r="E75" s="98">
        <v>0</v>
      </c>
      <c r="F75" s="91"/>
      <c r="G75" s="194" t="s">
        <v>58</v>
      </c>
      <c r="H75" s="179">
        <f>0.0022+0.007</f>
        <v>9.1999999999999998E-3</v>
      </c>
      <c r="I75" s="89"/>
      <c r="J75" s="178" t="s">
        <v>58</v>
      </c>
      <c r="K75" s="179">
        <f>0.0022</f>
        <v>2.2000000000000001E-3</v>
      </c>
      <c r="L75" s="89"/>
      <c r="M75" s="406" t="s">
        <v>58</v>
      </c>
      <c r="N75" s="88">
        <f>0.0022+0.007</f>
        <v>9.1999999999999998E-3</v>
      </c>
      <c r="O75" s="89"/>
      <c r="P75" s="86"/>
      <c r="Q75" s="86"/>
      <c r="R75" s="89"/>
      <c r="S75" s="86"/>
      <c r="T75" s="86"/>
      <c r="U75" s="89"/>
      <c r="V75" s="86"/>
      <c r="W75" s="86"/>
      <c r="X75" s="89"/>
      <c r="Y75" s="89"/>
      <c r="Z75" s="89"/>
      <c r="AH75" s="147">
        <v>36800</v>
      </c>
      <c r="AK75" s="147"/>
    </row>
    <row r="76" spans="1:38" x14ac:dyDescent="0.2">
      <c r="A76" s="429">
        <v>2.3300000000000001E-2</v>
      </c>
      <c r="B76" s="180">
        <f>(B$4)/(1-A76)-B$4</f>
        <v>0.10150660387017485</v>
      </c>
      <c r="C76" s="91"/>
      <c r="D76" s="290">
        <v>5.7000000000000002E-3</v>
      </c>
      <c r="E76" s="90">
        <f>(E$3)/(1-D76)-E$3</f>
        <v>2.3847933219350637E-2</v>
      </c>
      <c r="F76" s="94"/>
      <c r="G76" s="429">
        <v>5.9700000000000003E-2</v>
      </c>
      <c r="H76" s="180">
        <f>(H$4)/(1-G76)-H$4</f>
        <v>0.25840582792725719</v>
      </c>
      <c r="I76" s="91"/>
      <c r="J76" s="290">
        <v>2.9100000000000001E-2</v>
      </c>
      <c r="K76" s="382">
        <f>(K$3)/(1-J76)-K$3</f>
        <v>0.12348542589350053</v>
      </c>
      <c r="L76" s="91"/>
      <c r="M76" s="290">
        <v>7.0699999999999999E-2</v>
      </c>
      <c r="N76" s="90">
        <f>(N$3)/(1-M76)-N$3</f>
        <v>0.31344452813945978</v>
      </c>
      <c r="O76" s="91"/>
      <c r="P76" s="89"/>
      <c r="Q76" s="89"/>
      <c r="R76" s="91"/>
      <c r="S76" s="89"/>
      <c r="T76" s="89"/>
      <c r="U76" s="91"/>
      <c r="V76" s="89"/>
      <c r="W76" s="89"/>
      <c r="X76" s="91"/>
      <c r="Y76" s="91"/>
      <c r="Z76" s="91"/>
      <c r="AH76" s="148" t="s">
        <v>194</v>
      </c>
      <c r="AI76" s="146">
        <v>1E-3</v>
      </c>
      <c r="AK76" s="148"/>
      <c r="AL76" s="146"/>
    </row>
    <row r="77" spans="1:38" x14ac:dyDescent="0.2">
      <c r="A77" s="194"/>
      <c r="B77" s="181">
        <f>SUM(B74:B76)</f>
        <v>0.13740660387017484</v>
      </c>
      <c r="C77" s="94"/>
      <c r="D77" s="87"/>
      <c r="E77" s="93">
        <f>SUM(E74:E76)</f>
        <v>9.8447933219350636E-2</v>
      </c>
      <c r="F77" s="99"/>
      <c r="G77" s="195"/>
      <c r="H77" s="181">
        <f>SUM(H74:H76)</f>
        <v>0.38020582792725721</v>
      </c>
      <c r="I77" s="94"/>
      <c r="J77" s="178"/>
      <c r="K77" s="181">
        <f>SUM(K74:K76)</f>
        <v>0.13598542589350054</v>
      </c>
      <c r="L77" s="94"/>
      <c r="M77" s="406"/>
      <c r="N77" s="93">
        <f>SUM(N74:N76)</f>
        <v>0.69624452813945981</v>
      </c>
      <c r="O77" s="94"/>
      <c r="P77" s="89"/>
      <c r="Q77" s="89"/>
      <c r="R77" s="94"/>
      <c r="S77" s="89"/>
      <c r="T77" s="89"/>
      <c r="U77" s="94"/>
      <c r="V77" s="89"/>
      <c r="W77" s="89"/>
      <c r="X77" s="94"/>
      <c r="Y77" s="94"/>
      <c r="Z77" s="94"/>
      <c r="AH77" s="34" t="s">
        <v>195</v>
      </c>
      <c r="AI77" s="146">
        <v>2E-3</v>
      </c>
      <c r="AL77" s="146"/>
    </row>
    <row r="78" spans="1:38" x14ac:dyDescent="0.2">
      <c r="A78" s="194" t="s">
        <v>22</v>
      </c>
      <c r="B78" s="177" t="s">
        <v>159</v>
      </c>
      <c r="C78" s="99"/>
      <c r="D78" s="140" t="s">
        <v>162</v>
      </c>
      <c r="E78" s="93" t="s">
        <v>163</v>
      </c>
      <c r="F78" s="89"/>
      <c r="G78" s="424" t="s">
        <v>36</v>
      </c>
      <c r="H78" s="430" t="s">
        <v>535</v>
      </c>
      <c r="I78" s="99"/>
      <c r="J78" s="176" t="s">
        <v>104</v>
      </c>
      <c r="K78" s="177" t="s">
        <v>161</v>
      </c>
      <c r="L78" s="99"/>
      <c r="M78" s="140" t="s">
        <v>602</v>
      </c>
      <c r="N78" s="85" t="s">
        <v>174</v>
      </c>
      <c r="O78" s="99"/>
      <c r="P78" s="91"/>
      <c r="Q78" s="91"/>
      <c r="R78" s="99"/>
      <c r="S78" s="91"/>
      <c r="T78" s="91"/>
      <c r="U78" s="99"/>
      <c r="V78" s="91"/>
      <c r="W78" s="91"/>
      <c r="X78" s="99"/>
      <c r="Y78" s="99"/>
      <c r="Z78" s="99"/>
      <c r="AH78" s="34" t="s">
        <v>196</v>
      </c>
      <c r="AI78" s="146">
        <v>1E-3</v>
      </c>
      <c r="AL78" s="146"/>
    </row>
    <row r="79" spans="1:38" x14ac:dyDescent="0.2">
      <c r="A79" s="194" t="s">
        <v>115</v>
      </c>
      <c r="B79" s="179">
        <v>2.7799999999999998E-2</v>
      </c>
      <c r="C79" s="89"/>
      <c r="D79" s="87" t="s">
        <v>115</v>
      </c>
      <c r="E79" s="98">
        <v>9.3799999999999994E-2</v>
      </c>
      <c r="F79" s="89"/>
      <c r="G79" s="194" t="s">
        <v>115</v>
      </c>
      <c r="H79" s="179">
        <v>0.15029999999999999</v>
      </c>
      <c r="I79" s="89"/>
      <c r="J79" s="178" t="s">
        <v>115</v>
      </c>
      <c r="K79" s="179">
        <v>8.6999999999999994E-3</v>
      </c>
      <c r="L79" s="89"/>
      <c r="M79" s="406" t="s">
        <v>115</v>
      </c>
      <c r="N79" s="88">
        <v>0.47070000000000001</v>
      </c>
      <c r="O79" s="89"/>
      <c r="P79" s="94"/>
      <c r="Q79" s="94"/>
      <c r="R79" s="89"/>
      <c r="S79" s="94"/>
      <c r="T79" s="94"/>
      <c r="U79" s="89"/>
      <c r="V79" s="94"/>
      <c r="W79" s="94"/>
      <c r="X79" s="89"/>
      <c r="Y79" s="89"/>
      <c r="Z79" s="89"/>
      <c r="AL79" s="146"/>
    </row>
    <row r="80" spans="1:38" x14ac:dyDescent="0.2">
      <c r="A80" s="195" t="s">
        <v>58</v>
      </c>
      <c r="B80" s="184">
        <f>0.0022+0.007+0.0097</f>
        <v>1.89E-2</v>
      </c>
      <c r="C80" s="89"/>
      <c r="D80" s="87" t="s">
        <v>58</v>
      </c>
      <c r="E80" s="98">
        <f>0.007+0.0022+0.0097</f>
        <v>1.89E-2</v>
      </c>
      <c r="F80" s="91"/>
      <c r="G80" s="194" t="s">
        <v>58</v>
      </c>
      <c r="H80" s="179">
        <f>0.0022+0.007</f>
        <v>9.1999999999999998E-3</v>
      </c>
      <c r="I80" s="89"/>
      <c r="J80" s="178" t="s">
        <v>58</v>
      </c>
      <c r="K80" s="179">
        <f>0.0022+0.007</f>
        <v>9.1999999999999998E-3</v>
      </c>
      <c r="L80" s="89"/>
      <c r="M80" s="406" t="s">
        <v>58</v>
      </c>
      <c r="N80" s="88">
        <f>0.0022+0.007</f>
        <v>9.1999999999999998E-3</v>
      </c>
      <c r="O80" s="89"/>
      <c r="P80" s="99"/>
      <c r="Q80" s="99"/>
      <c r="R80" s="89"/>
      <c r="S80" s="99"/>
      <c r="T80" s="99"/>
      <c r="U80" s="89"/>
      <c r="V80" s="99"/>
      <c r="W80" s="99"/>
      <c r="X80" s="89"/>
      <c r="Y80" s="89"/>
      <c r="Z80" s="89"/>
      <c r="AH80" s="147">
        <v>36770</v>
      </c>
      <c r="AK80" s="147"/>
    </row>
    <row r="81" spans="1:38" x14ac:dyDescent="0.2">
      <c r="A81" s="429">
        <v>3.8100000000000002E-2</v>
      </c>
      <c r="B81" s="180">
        <f>(B$4)/(1-A81)-B$4</f>
        <v>0.16853675018193126</v>
      </c>
      <c r="C81" s="91"/>
      <c r="D81" s="290">
        <v>8.0999999999999996E-3</v>
      </c>
      <c r="E81" s="90">
        <f>(E$3)/(1-D81)-E$3</f>
        <v>3.3971166448230505E-2</v>
      </c>
      <c r="F81" s="94"/>
      <c r="G81" s="429">
        <v>6.6699999999999995E-2</v>
      </c>
      <c r="H81" s="180">
        <f>(H$4)/(1-G81)-H$4</f>
        <v>0.29087003107253828</v>
      </c>
      <c r="I81" s="91"/>
      <c r="J81" s="290">
        <v>2.9100000000000001E-2</v>
      </c>
      <c r="K81" s="382">
        <f>(K$3)/(1-J81)-K$3</f>
        <v>0.12348542589350053</v>
      </c>
      <c r="L81" s="91"/>
      <c r="M81" s="290">
        <v>7.9600000000000004E-2</v>
      </c>
      <c r="N81" s="90">
        <f>(N$3)/(1-M81)-N$3</f>
        <v>0.35631464580617145</v>
      </c>
      <c r="O81" s="91"/>
      <c r="P81" s="89"/>
      <c r="Q81" s="89"/>
      <c r="R81" s="91"/>
      <c r="S81" s="89"/>
      <c r="T81" s="89"/>
      <c r="U81" s="91"/>
      <c r="V81" s="89"/>
      <c r="W81" s="89"/>
      <c r="X81" s="91"/>
      <c r="Y81" s="91"/>
      <c r="Z81" s="91"/>
      <c r="AH81" s="148" t="s">
        <v>194</v>
      </c>
      <c r="AI81" s="146">
        <v>1E-3</v>
      </c>
      <c r="AK81" s="148"/>
      <c r="AL81" s="146"/>
    </row>
    <row r="82" spans="1:38" x14ac:dyDescent="0.2">
      <c r="A82" s="187"/>
      <c r="B82" s="181">
        <f>SUM(B79:B81)</f>
        <v>0.21523675018193125</v>
      </c>
      <c r="C82" s="94"/>
      <c r="D82" s="87"/>
      <c r="E82" s="93">
        <f>SUM(E79:E81)</f>
        <v>0.1466711664482305</v>
      </c>
      <c r="F82" s="99"/>
      <c r="G82" s="195"/>
      <c r="H82" s="181">
        <f>SUM(H79:H81)</f>
        <v>0.45037003107253826</v>
      </c>
      <c r="I82" s="94"/>
      <c r="J82" s="178"/>
      <c r="K82" s="181">
        <f>SUM(K79:K81)</f>
        <v>0.14138542589350053</v>
      </c>
      <c r="L82" s="94"/>
      <c r="M82" s="406"/>
      <c r="N82" s="93">
        <f>SUM(N79:N81)</f>
        <v>0.83621464580617144</v>
      </c>
      <c r="O82" s="94"/>
      <c r="P82" s="89"/>
      <c r="Q82" s="89"/>
      <c r="R82" s="94"/>
      <c r="S82" s="89"/>
      <c r="T82" s="89"/>
      <c r="U82" s="94"/>
      <c r="V82" s="89"/>
      <c r="W82" s="89"/>
      <c r="X82" s="94"/>
      <c r="Y82" s="94"/>
      <c r="Z82" s="94"/>
      <c r="AH82" s="34" t="s">
        <v>195</v>
      </c>
      <c r="AI82" s="146">
        <v>2E-3</v>
      </c>
      <c r="AL82" s="146"/>
    </row>
    <row r="83" spans="1:38" ht="14.1" customHeight="1" x14ac:dyDescent="0.2">
      <c r="A83" s="188" t="s">
        <v>22</v>
      </c>
      <c r="B83" s="177" t="s">
        <v>164</v>
      </c>
      <c r="C83" s="99"/>
      <c r="D83" s="140" t="s">
        <v>162</v>
      </c>
      <c r="E83" s="93" t="s">
        <v>667</v>
      </c>
      <c r="F83" s="89"/>
      <c r="G83" s="424" t="s">
        <v>36</v>
      </c>
      <c r="H83" s="430" t="s">
        <v>536</v>
      </c>
      <c r="I83" s="99"/>
      <c r="J83" s="176" t="s">
        <v>104</v>
      </c>
      <c r="K83" s="177" t="s">
        <v>165</v>
      </c>
      <c r="L83" s="99"/>
      <c r="M83" s="140" t="s">
        <v>602</v>
      </c>
      <c r="N83" s="85" t="s">
        <v>179</v>
      </c>
      <c r="O83" s="99"/>
      <c r="P83" s="91"/>
      <c r="Q83" s="91"/>
      <c r="R83" s="99"/>
      <c r="S83" s="91"/>
      <c r="T83" s="91"/>
      <c r="U83" s="99"/>
      <c r="V83" s="91"/>
      <c r="W83" s="91"/>
      <c r="X83" s="99"/>
      <c r="Y83" s="99"/>
      <c r="Z83" s="99"/>
      <c r="AH83" s="34" t="s">
        <v>196</v>
      </c>
      <c r="AI83" s="146">
        <v>1E-3</v>
      </c>
      <c r="AL83" s="146"/>
    </row>
    <row r="84" spans="1:38" x14ac:dyDescent="0.2">
      <c r="A84" s="189" t="s">
        <v>115</v>
      </c>
      <c r="B84" s="179">
        <v>3.3599999999999998E-2</v>
      </c>
      <c r="C84" s="89"/>
      <c r="D84" s="87" t="s">
        <v>115</v>
      </c>
      <c r="E84" s="98">
        <v>0.1857</v>
      </c>
      <c r="F84" s="89"/>
      <c r="G84" s="194" t="s">
        <v>115</v>
      </c>
      <c r="H84" s="179">
        <v>7.8299999999999995E-2</v>
      </c>
      <c r="I84" s="89"/>
      <c r="J84" s="178" t="s">
        <v>115</v>
      </c>
      <c r="K84" s="179">
        <v>8.6999999999999994E-3</v>
      </c>
      <c r="L84" s="89"/>
      <c r="M84" s="406" t="s">
        <v>115</v>
      </c>
      <c r="N84" s="88">
        <v>0.29449999999999998</v>
      </c>
      <c r="O84" s="89"/>
      <c r="P84" s="100"/>
      <c r="Q84" s="151"/>
      <c r="R84" s="89"/>
      <c r="S84" s="100"/>
      <c r="T84" s="151"/>
      <c r="U84" s="89"/>
      <c r="V84" s="100"/>
      <c r="W84" s="151"/>
      <c r="X84" s="89"/>
      <c r="Y84" s="89"/>
      <c r="Z84" s="89"/>
      <c r="AL84" s="146"/>
    </row>
    <row r="85" spans="1:38" x14ac:dyDescent="0.2">
      <c r="A85" s="425" t="s">
        <v>58</v>
      </c>
      <c r="B85" s="184">
        <f>0.0022+0.007+0.0097</f>
        <v>1.89E-2</v>
      </c>
      <c r="C85" s="89"/>
      <c r="D85" s="87" t="s">
        <v>58</v>
      </c>
      <c r="E85" s="98">
        <f>0.0022+0.0097</f>
        <v>1.1900000000000001E-2</v>
      </c>
      <c r="F85" s="91"/>
      <c r="G85" s="194" t="s">
        <v>58</v>
      </c>
      <c r="H85" s="179">
        <f>0.0022+0.007</f>
        <v>9.1999999999999998E-3</v>
      </c>
      <c r="I85" s="89"/>
      <c r="J85" s="178" t="s">
        <v>58</v>
      </c>
      <c r="K85" s="179">
        <f>0.0022+0.007</f>
        <v>9.1999999999999998E-3</v>
      </c>
      <c r="L85" s="89"/>
      <c r="M85" s="406" t="s">
        <v>58</v>
      </c>
      <c r="N85" s="88">
        <f>0.0022+0.007</f>
        <v>9.1999999999999998E-3</v>
      </c>
      <c r="O85" s="89"/>
      <c r="P85" s="99"/>
      <c r="Q85" s="99"/>
      <c r="R85" s="89"/>
      <c r="S85" s="99"/>
      <c r="T85" s="99"/>
      <c r="U85" s="89"/>
      <c r="V85" s="99"/>
      <c r="W85" s="99"/>
      <c r="X85" s="89"/>
      <c r="Y85" s="89"/>
      <c r="Z85" s="89"/>
      <c r="AH85" s="147">
        <v>36739</v>
      </c>
      <c r="AK85" s="147"/>
    </row>
    <row r="86" spans="1:38" x14ac:dyDescent="0.2">
      <c r="A86" s="429">
        <v>4.6199999999999998E-2</v>
      </c>
      <c r="B86" s="180">
        <f>(B$4)/(1-A86)-B$4</f>
        <v>0.20610295659467415</v>
      </c>
      <c r="C86" s="91"/>
      <c r="D86" s="290">
        <v>2.29E-2</v>
      </c>
      <c r="E86" s="90">
        <f>(E$7)/(1-D86)-E$7</f>
        <v>0.10817783048128682</v>
      </c>
      <c r="F86" s="94"/>
      <c r="G86" s="429">
        <v>3.5799999999999997E-4</v>
      </c>
      <c r="H86" s="382">
        <f>(H4)/(1-G86)-H4</f>
        <v>1.4575818142894548E-3</v>
      </c>
      <c r="I86" s="91"/>
      <c r="J86" s="290">
        <v>2.9100000000000001E-2</v>
      </c>
      <c r="K86" s="382">
        <f>(K$3)/(1-J86)-K$3</f>
        <v>0.12348542589350053</v>
      </c>
      <c r="L86" s="91"/>
      <c r="M86" s="290">
        <v>4.1599999999999998E-2</v>
      </c>
      <c r="N86" s="90">
        <f>(N$6)/(1-M86)-(N$6)</f>
        <v>0.18425709515859712</v>
      </c>
      <c r="O86" s="91"/>
      <c r="P86" s="89"/>
      <c r="Q86" s="89"/>
      <c r="R86" s="91"/>
      <c r="S86" s="89"/>
      <c r="T86" s="89"/>
      <c r="U86" s="91"/>
      <c r="V86" s="89"/>
      <c r="W86" s="89"/>
      <c r="X86" s="91"/>
      <c r="Y86" s="91"/>
      <c r="Z86" s="91"/>
      <c r="AH86" s="148" t="s">
        <v>194</v>
      </c>
      <c r="AI86" s="146">
        <v>2E-3</v>
      </c>
      <c r="AK86" s="148"/>
      <c r="AL86" s="146"/>
    </row>
    <row r="87" spans="1:38" x14ac:dyDescent="0.2">
      <c r="A87" s="187"/>
      <c r="B87" s="181">
        <f>SUM(B84:B86)</f>
        <v>0.25860295659467414</v>
      </c>
      <c r="C87" s="94"/>
      <c r="D87" s="87"/>
      <c r="E87" s="93">
        <f>SUM(E84:E86)</f>
        <v>0.30577783048128682</v>
      </c>
      <c r="F87" s="99"/>
      <c r="G87" s="195"/>
      <c r="H87" s="181">
        <f>SUM(H84:H86)</f>
        <v>8.8957581814289449E-2</v>
      </c>
      <c r="I87" s="94"/>
      <c r="J87" s="178"/>
      <c r="K87" s="181">
        <f>SUM(K84:K86)</f>
        <v>0.14138542589350053</v>
      </c>
      <c r="L87" s="94"/>
      <c r="M87" s="406"/>
      <c r="N87" s="93">
        <f>SUM(N84:N86)</f>
        <v>0.48795709515859709</v>
      </c>
      <c r="O87" s="94"/>
      <c r="P87" s="89"/>
      <c r="Q87" s="89"/>
      <c r="R87" s="94"/>
      <c r="S87" s="89"/>
      <c r="T87" s="89"/>
      <c r="U87" s="94"/>
      <c r="V87" s="89"/>
      <c r="W87" s="89"/>
      <c r="X87" s="94"/>
      <c r="Y87" s="94"/>
      <c r="Z87" s="94"/>
      <c r="AH87" s="34" t="s">
        <v>195</v>
      </c>
      <c r="AI87" s="146">
        <v>4.0000000000000001E-3</v>
      </c>
      <c r="AL87" s="146"/>
    </row>
    <row r="88" spans="1:38" x14ac:dyDescent="0.2">
      <c r="A88" s="188" t="s">
        <v>22</v>
      </c>
      <c r="B88" s="181" t="s">
        <v>166</v>
      </c>
      <c r="C88" s="99"/>
      <c r="D88" s="140" t="s">
        <v>162</v>
      </c>
      <c r="E88" s="93" t="s">
        <v>672</v>
      </c>
      <c r="F88" s="89"/>
      <c r="G88" s="424" t="s">
        <v>36</v>
      </c>
      <c r="H88" s="430" t="s">
        <v>537</v>
      </c>
      <c r="I88" s="99"/>
      <c r="J88" s="176" t="s">
        <v>104</v>
      </c>
      <c r="K88" s="177" t="s">
        <v>168</v>
      </c>
      <c r="L88" s="99"/>
      <c r="M88" s="140" t="s">
        <v>602</v>
      </c>
      <c r="N88" s="85" t="s">
        <v>181</v>
      </c>
      <c r="O88" s="99"/>
      <c r="P88" s="91"/>
      <c r="Q88" s="91"/>
      <c r="R88" s="99"/>
      <c r="S88" s="91"/>
      <c r="T88" s="91"/>
      <c r="U88" s="99"/>
      <c r="V88" s="91"/>
      <c r="W88" s="91"/>
      <c r="X88" s="99"/>
      <c r="Y88" s="94"/>
      <c r="Z88" s="94"/>
      <c r="AH88" s="34" t="s">
        <v>196</v>
      </c>
      <c r="AI88" s="146">
        <v>2E-3</v>
      </c>
      <c r="AL88" s="146"/>
    </row>
    <row r="89" spans="1:38" x14ac:dyDescent="0.2">
      <c r="A89" s="189" t="s">
        <v>115</v>
      </c>
      <c r="B89" s="184">
        <v>1.3899999999999999E-2</v>
      </c>
      <c r="C89" s="89"/>
      <c r="D89" s="87" t="s">
        <v>115</v>
      </c>
      <c r="E89" s="98">
        <v>0.30880000000000002</v>
      </c>
      <c r="F89" s="89"/>
      <c r="G89" s="194" t="s">
        <v>115</v>
      </c>
      <c r="H89" s="179">
        <f>0.0511-0.0022-0.0088</f>
        <v>4.0099999999999997E-2</v>
      </c>
      <c r="I89" s="89"/>
      <c r="J89" s="178" t="s">
        <v>115</v>
      </c>
      <c r="K89" s="179">
        <v>8.6999999999999994E-3</v>
      </c>
      <c r="L89" s="89"/>
      <c r="M89" s="406" t="s">
        <v>115</v>
      </c>
      <c r="N89" s="88">
        <v>0.3916</v>
      </c>
      <c r="O89" s="89"/>
      <c r="P89" s="94"/>
      <c r="Q89" s="94"/>
      <c r="R89" s="89"/>
      <c r="S89" s="94"/>
      <c r="T89" s="94"/>
      <c r="U89" s="89"/>
      <c r="V89" s="94"/>
      <c r="W89" s="94"/>
      <c r="X89" s="89"/>
      <c r="Y89" s="96"/>
      <c r="Z89" s="96"/>
      <c r="AL89" s="146"/>
    </row>
    <row r="90" spans="1:38" x14ac:dyDescent="0.2">
      <c r="A90" s="190" t="s">
        <v>58</v>
      </c>
      <c r="B90" s="184">
        <f>0.0022+0.007+0.0097</f>
        <v>1.89E-2</v>
      </c>
      <c r="C90" s="89"/>
      <c r="D90" s="87" t="s">
        <v>58</v>
      </c>
      <c r="E90" s="98">
        <f>0.007+0.0022+0.0097</f>
        <v>1.89E-2</v>
      </c>
      <c r="F90" s="91"/>
      <c r="G90" s="194" t="s">
        <v>58</v>
      </c>
      <c r="H90" s="179">
        <f>0.0022+0.007</f>
        <v>9.1999999999999998E-3</v>
      </c>
      <c r="I90" s="89"/>
      <c r="J90" s="178" t="s">
        <v>58</v>
      </c>
      <c r="K90" s="179">
        <f>0.0022+0.007</f>
        <v>9.1999999999999998E-3</v>
      </c>
      <c r="L90" s="89"/>
      <c r="M90" s="406" t="s">
        <v>58</v>
      </c>
      <c r="N90" s="88">
        <f>0.0022+0.007</f>
        <v>9.1999999999999998E-3</v>
      </c>
      <c r="O90" s="89"/>
      <c r="P90" s="99"/>
      <c r="Q90" s="99"/>
      <c r="R90" s="89"/>
      <c r="S90" s="99"/>
      <c r="T90" s="99"/>
      <c r="U90" s="89"/>
      <c r="V90" s="99"/>
      <c r="W90" s="99"/>
      <c r="X90" s="89"/>
      <c r="Y90" s="96"/>
      <c r="Z90" s="96"/>
      <c r="AH90" s="147">
        <v>36708</v>
      </c>
      <c r="AK90" s="147"/>
    </row>
    <row r="91" spans="1:38" x14ac:dyDescent="0.2">
      <c r="A91" s="429">
        <v>1.89E-2</v>
      </c>
      <c r="B91" s="180">
        <f>(B3)/(1-A91)-B3</f>
        <v>8.013861991642024E-2</v>
      </c>
      <c r="C91" s="91"/>
      <c r="D91" s="290">
        <v>8.0999999999999996E-3</v>
      </c>
      <c r="E91" s="90">
        <f>(E$7)/(1-D91)-E$7</f>
        <v>3.7692845723832136E-2</v>
      </c>
      <c r="F91" s="94"/>
      <c r="G91" s="429">
        <v>1.01E-2</v>
      </c>
      <c r="H91" s="382">
        <f>(H5)/(1-G91)-H5</f>
        <v>4.4995454086270925E-2</v>
      </c>
      <c r="I91" s="91"/>
      <c r="J91" s="290">
        <v>2.9100000000000001E-2</v>
      </c>
      <c r="K91" s="382">
        <f>(K$3)/(1-J91)-K$3</f>
        <v>0.12348542589350053</v>
      </c>
      <c r="L91" s="91"/>
      <c r="M91" s="290">
        <v>5.0500000000000003E-2</v>
      </c>
      <c r="N91" s="90">
        <f>(N$6)/(1-M91)-(N$6)</f>
        <v>0.22577409162717199</v>
      </c>
      <c r="O91" s="91"/>
      <c r="P91" s="89"/>
      <c r="Q91" s="89"/>
      <c r="R91" s="91"/>
      <c r="S91" s="89"/>
      <c r="T91" s="89"/>
      <c r="U91" s="91"/>
      <c r="V91" s="89"/>
      <c r="W91" s="89"/>
      <c r="X91" s="91"/>
      <c r="Y91" s="96"/>
      <c r="Z91" s="96"/>
      <c r="AH91" s="148" t="s">
        <v>194</v>
      </c>
      <c r="AI91" s="146">
        <v>2E-3</v>
      </c>
      <c r="AK91" s="148"/>
      <c r="AL91" s="146"/>
    </row>
    <row r="92" spans="1:38" x14ac:dyDescent="0.2">
      <c r="A92" s="187"/>
      <c r="B92" s="181">
        <f>SUM(B89:B91)</f>
        <v>0.11293861991642024</v>
      </c>
      <c r="C92" s="94"/>
      <c r="D92" s="87"/>
      <c r="E92" s="93">
        <f>SUM(E89:E91)</f>
        <v>0.36539284572383213</v>
      </c>
      <c r="F92" s="94"/>
      <c r="G92" s="195"/>
      <c r="H92" s="181">
        <f>SUM(H89:H91)</f>
        <v>9.4295454086270922E-2</v>
      </c>
      <c r="I92" s="94"/>
      <c r="J92" s="178"/>
      <c r="K92" s="181">
        <f>SUM(K89:K91)</f>
        <v>0.14138542589350053</v>
      </c>
      <c r="L92" s="94"/>
      <c r="M92" s="406"/>
      <c r="N92" s="93">
        <f>SUM(N89:N91)</f>
        <v>0.62657409162717204</v>
      </c>
      <c r="O92" s="94"/>
      <c r="P92" s="89"/>
      <c r="Q92" s="89"/>
      <c r="R92" s="94"/>
      <c r="S92" s="89"/>
      <c r="T92" s="89"/>
      <c r="U92" s="94"/>
      <c r="V92" s="89"/>
      <c r="W92" s="89"/>
      <c r="X92" s="94"/>
      <c r="Y92" s="91"/>
      <c r="Z92" s="91"/>
      <c r="AH92" s="34" t="s">
        <v>195</v>
      </c>
      <c r="AI92" s="146">
        <v>4.0000000000000001E-3</v>
      </c>
      <c r="AL92" s="146"/>
    </row>
    <row r="93" spans="1:38" x14ac:dyDescent="0.2">
      <c r="A93" s="188" t="s">
        <v>22</v>
      </c>
      <c r="B93" s="181" t="s">
        <v>438</v>
      </c>
      <c r="C93" s="99"/>
      <c r="D93" s="140" t="s">
        <v>162</v>
      </c>
      <c r="E93" s="93" t="s">
        <v>652</v>
      </c>
      <c r="F93" s="96"/>
      <c r="G93" s="424" t="s">
        <v>36</v>
      </c>
      <c r="H93" s="430" t="s">
        <v>538</v>
      </c>
      <c r="I93" s="94"/>
      <c r="J93" s="176" t="s">
        <v>104</v>
      </c>
      <c r="K93" s="177" t="s">
        <v>170</v>
      </c>
      <c r="L93" s="94"/>
      <c r="M93" s="140" t="s">
        <v>602</v>
      </c>
      <c r="N93" s="93" t="s">
        <v>183</v>
      </c>
      <c r="O93" s="94"/>
      <c r="P93" s="91"/>
      <c r="Q93" s="91"/>
      <c r="R93" s="99"/>
      <c r="S93" s="91"/>
      <c r="T93" s="91"/>
      <c r="U93" s="99"/>
      <c r="V93" s="91"/>
      <c r="W93" s="91"/>
      <c r="X93" s="99"/>
      <c r="Y93" s="94"/>
      <c r="Z93" s="94"/>
      <c r="AH93" s="34" t="s">
        <v>196</v>
      </c>
      <c r="AI93" s="146">
        <v>2E-3</v>
      </c>
      <c r="AL93" s="146"/>
    </row>
    <row r="94" spans="1:38" x14ac:dyDescent="0.2">
      <c r="A94" s="426" t="s">
        <v>115</v>
      </c>
      <c r="B94" s="184">
        <v>2.47E-2</v>
      </c>
      <c r="C94" s="89"/>
      <c r="D94" s="87" t="s">
        <v>115</v>
      </c>
      <c r="E94" s="98">
        <v>0.30880000000000002</v>
      </c>
      <c r="F94" s="96"/>
      <c r="G94" s="194" t="s">
        <v>115</v>
      </c>
      <c r="H94" s="179">
        <v>8.3400000000000002E-2</v>
      </c>
      <c r="I94" s="96"/>
      <c r="J94" s="178" t="s">
        <v>115</v>
      </c>
      <c r="K94" s="179">
        <v>2.2800000000000001E-2</v>
      </c>
      <c r="L94" s="96"/>
      <c r="M94" s="406" t="s">
        <v>115</v>
      </c>
      <c r="N94" s="98">
        <v>0.22559999999999999</v>
      </c>
      <c r="O94" s="96"/>
      <c r="P94" s="100"/>
      <c r="Q94" s="151"/>
      <c r="R94" s="89"/>
      <c r="S94" s="100"/>
      <c r="T94" s="151"/>
      <c r="U94" s="89"/>
      <c r="V94" s="100"/>
      <c r="W94" s="151"/>
      <c r="X94" s="89"/>
      <c r="Y94" s="99"/>
      <c r="Z94" s="99"/>
      <c r="AL94" s="146"/>
    </row>
    <row r="95" spans="1:38" x14ac:dyDescent="0.2">
      <c r="A95" s="190" t="s">
        <v>58</v>
      </c>
      <c r="B95" s="184">
        <f>0.0022+0.007+0.0097</f>
        <v>1.89E-2</v>
      </c>
      <c r="C95" s="89"/>
      <c r="D95" s="87" t="s">
        <v>58</v>
      </c>
      <c r="E95" s="98">
        <f>0.007+0.0022+0.0097</f>
        <v>1.89E-2</v>
      </c>
      <c r="F95" s="91"/>
      <c r="G95" s="194" t="s">
        <v>58</v>
      </c>
      <c r="H95" s="179">
        <f>0.0022+0.007</f>
        <v>9.1999999999999998E-3</v>
      </c>
      <c r="I95" s="96" t="s">
        <v>45</v>
      </c>
      <c r="J95" s="178" t="s">
        <v>58</v>
      </c>
      <c r="K95" s="179">
        <f>0.0022+0.007</f>
        <v>9.1999999999999998E-3</v>
      </c>
      <c r="L95" s="96"/>
      <c r="M95" s="406" t="s">
        <v>58</v>
      </c>
      <c r="N95" s="88">
        <f>0.0022+0.007</f>
        <v>9.1999999999999998E-3</v>
      </c>
      <c r="O95" s="96"/>
      <c r="P95" s="99"/>
      <c r="Q95" s="99"/>
      <c r="R95" s="89"/>
      <c r="S95" s="99"/>
      <c r="T95" s="99"/>
      <c r="U95" s="89"/>
      <c r="V95" s="99"/>
      <c r="W95" s="99"/>
      <c r="X95" s="89"/>
      <c r="Y95" s="89"/>
      <c r="Z95" s="89"/>
      <c r="AH95" s="147">
        <v>36678</v>
      </c>
      <c r="AK95" s="147"/>
    </row>
    <row r="96" spans="1:38" x14ac:dyDescent="0.2">
      <c r="A96" s="429">
        <v>3.3700000000000001E-2</v>
      </c>
      <c r="B96" s="180">
        <f>(B3)/(1-A96)-B3</f>
        <v>0.14508123771085568</v>
      </c>
      <c r="C96" s="91"/>
      <c r="D96" s="290">
        <v>2.7E-2</v>
      </c>
      <c r="E96" s="90">
        <f>(E$7)/(1-D96)-E$7</f>
        <v>0.12808336304717205</v>
      </c>
      <c r="F96" s="94"/>
      <c r="G96" s="429">
        <v>1.9199999999999998E-2</v>
      </c>
      <c r="H96" s="382">
        <f>(H5)/(1-G96)-H5</f>
        <v>8.6329526916802735E-2</v>
      </c>
      <c r="I96" s="91"/>
      <c r="J96" s="290">
        <v>5.7500000000000002E-2</v>
      </c>
      <c r="K96" s="382">
        <f>(K$3)/(1-J96)-K$3</f>
        <v>0.25135278514588855</v>
      </c>
      <c r="L96" s="91"/>
      <c r="M96" s="290">
        <v>3.5299999999999998E-2</v>
      </c>
      <c r="N96" s="90">
        <f>(N$6)/(1-M96)-(N$6)</f>
        <v>0.15533170933969132</v>
      </c>
      <c r="O96" s="91"/>
      <c r="P96" s="89"/>
      <c r="Q96" s="89"/>
      <c r="R96" s="91"/>
      <c r="S96" s="89"/>
      <c r="T96" s="89"/>
      <c r="U96" s="91"/>
      <c r="V96" s="89"/>
      <c r="W96" s="89"/>
      <c r="X96" s="91"/>
      <c r="Y96" s="89"/>
      <c r="Z96" s="89"/>
      <c r="AH96" s="148" t="s">
        <v>194</v>
      </c>
      <c r="AI96" s="146">
        <v>1E-4</v>
      </c>
      <c r="AK96" s="148"/>
      <c r="AL96" s="146"/>
    </row>
    <row r="97" spans="1:38" x14ac:dyDescent="0.2">
      <c r="A97" s="187"/>
      <c r="B97" s="181">
        <f>SUM(B94:B96)</f>
        <v>0.18868123771085568</v>
      </c>
      <c r="C97" s="94"/>
      <c r="D97" s="87"/>
      <c r="E97" s="93">
        <f>SUM(E94:E96)</f>
        <v>0.45578336304717204</v>
      </c>
      <c r="F97" s="99"/>
      <c r="G97" s="195"/>
      <c r="H97" s="181">
        <f>SUM(H94:H96)</f>
        <v>0.17892952691680275</v>
      </c>
      <c r="I97" s="94"/>
      <c r="J97" s="178"/>
      <c r="K97" s="181">
        <f>SUM(K94:K96)</f>
        <v>0.28335278514588857</v>
      </c>
      <c r="L97" s="94"/>
      <c r="M97" s="406"/>
      <c r="N97" s="93">
        <f>SUM(N94:N96)</f>
        <v>0.39013170933969132</v>
      </c>
      <c r="O97" s="94"/>
      <c r="P97" s="89"/>
      <c r="Q97" s="89"/>
      <c r="R97" s="94"/>
      <c r="S97" s="89"/>
      <c r="T97" s="89"/>
      <c r="U97" s="94"/>
      <c r="V97" s="89"/>
      <c r="W97" s="89"/>
      <c r="X97" s="94"/>
      <c r="Y97" s="91"/>
      <c r="Z97" s="91"/>
      <c r="AH97" s="34" t="s">
        <v>195</v>
      </c>
      <c r="AI97" s="146">
        <v>2.0000000000000001E-4</v>
      </c>
      <c r="AL97" s="146"/>
    </row>
    <row r="98" spans="1:38" x14ac:dyDescent="0.2">
      <c r="A98" s="188" t="s">
        <v>22</v>
      </c>
      <c r="B98" s="181" t="s">
        <v>169</v>
      </c>
      <c r="C98" s="94"/>
      <c r="D98" s="140" t="s">
        <v>162</v>
      </c>
      <c r="E98" s="93" t="s">
        <v>653</v>
      </c>
      <c r="F98" s="89"/>
      <c r="G98" s="424" t="s">
        <v>36</v>
      </c>
      <c r="H98" s="430" t="s">
        <v>178</v>
      </c>
      <c r="I98" s="99"/>
      <c r="J98" s="176" t="s">
        <v>104</v>
      </c>
      <c r="K98" s="177" t="s">
        <v>172</v>
      </c>
      <c r="L98" s="99"/>
      <c r="M98" s="140" t="s">
        <v>602</v>
      </c>
      <c r="N98" s="93" t="s">
        <v>185</v>
      </c>
      <c r="O98" s="99"/>
      <c r="P98" s="91"/>
      <c r="Q98" s="91"/>
      <c r="R98" s="94"/>
      <c r="S98" s="91"/>
      <c r="T98" s="91"/>
      <c r="U98" s="94"/>
      <c r="V98" s="91"/>
      <c r="W98" s="91"/>
      <c r="X98" s="94"/>
      <c r="Y98" s="94"/>
      <c r="Z98" s="94"/>
      <c r="AH98" s="34" t="s">
        <v>196</v>
      </c>
      <c r="AI98" s="146">
        <v>1E-4</v>
      </c>
      <c r="AL98" s="146"/>
    </row>
    <row r="99" spans="1:38" x14ac:dyDescent="0.2">
      <c r="A99" s="426" t="s">
        <v>115</v>
      </c>
      <c r="B99" s="184">
        <v>3.0499999999999999E-2</v>
      </c>
      <c r="C99" s="96"/>
      <c r="D99" s="87" t="s">
        <v>115</v>
      </c>
      <c r="E99" s="98">
        <v>0.30880000000000002</v>
      </c>
      <c r="F99" s="89"/>
      <c r="G99" s="194" t="s">
        <v>115</v>
      </c>
      <c r="H99" s="179">
        <v>4.5900000000000003E-2</v>
      </c>
      <c r="I99" s="89"/>
      <c r="J99" s="178" t="s">
        <v>115</v>
      </c>
      <c r="K99" s="179">
        <v>4.3099999999999999E-2</v>
      </c>
      <c r="L99" s="89"/>
      <c r="M99" s="406" t="s">
        <v>115</v>
      </c>
      <c r="N99" s="98">
        <v>0.32729999999999998</v>
      </c>
      <c r="O99" s="89"/>
      <c r="P99" s="94"/>
      <c r="Q99" s="94"/>
      <c r="R99" s="96"/>
      <c r="S99" s="94"/>
      <c r="T99" s="94"/>
      <c r="U99" s="96"/>
      <c r="V99" s="94"/>
      <c r="W99" s="94"/>
      <c r="X99" s="96"/>
      <c r="AL99" s="146"/>
    </row>
    <row r="100" spans="1:38" x14ac:dyDescent="0.2">
      <c r="A100" s="190" t="s">
        <v>58</v>
      </c>
      <c r="B100" s="184">
        <f>0.0022+0.007+0.0097</f>
        <v>1.89E-2</v>
      </c>
      <c r="C100" s="96"/>
      <c r="D100" s="87" t="s">
        <v>58</v>
      </c>
      <c r="E100" s="98">
        <f>0.007+0.0022+0.0097</f>
        <v>1.89E-2</v>
      </c>
      <c r="F100" s="89"/>
      <c r="G100" s="194" t="s">
        <v>58</v>
      </c>
      <c r="H100" s="179">
        <f>0.0022+0.007</f>
        <v>9.1999999999999998E-3</v>
      </c>
      <c r="I100" s="89"/>
      <c r="J100" s="178" t="s">
        <v>58</v>
      </c>
      <c r="K100" s="179">
        <f>0.0022+0.007</f>
        <v>9.1999999999999998E-3</v>
      </c>
      <c r="L100" s="89"/>
      <c r="M100" s="406" t="s">
        <v>58</v>
      </c>
      <c r="N100" s="88">
        <f>0.0022+0.007</f>
        <v>9.1999999999999998E-3</v>
      </c>
      <c r="O100" s="89"/>
      <c r="P100" s="99"/>
      <c r="Q100" s="99"/>
      <c r="R100" s="96"/>
      <c r="S100" s="99"/>
      <c r="T100" s="99"/>
      <c r="U100" s="96"/>
      <c r="V100" s="99"/>
      <c r="W100" s="99"/>
      <c r="X100" s="96"/>
      <c r="Y100" s="99"/>
      <c r="Z100" s="99"/>
      <c r="AH100" s="147">
        <v>36647</v>
      </c>
      <c r="AK100" s="147"/>
    </row>
    <row r="101" spans="1:38" x14ac:dyDescent="0.2">
      <c r="A101" s="429">
        <v>4.1799999999999997E-2</v>
      </c>
      <c r="B101" s="180">
        <f>(B3)/(1-A101)-B3</f>
        <v>0.18147359632644555</v>
      </c>
      <c r="C101" s="96"/>
      <c r="D101" s="290">
        <v>1.89E-2</v>
      </c>
      <c r="E101" s="90">
        <f>(E$7)/(1-D101)-E$7</f>
        <v>8.8918131252093247E-2</v>
      </c>
      <c r="F101" s="91"/>
      <c r="G101" s="433">
        <v>1.0699999999999999E-2</v>
      </c>
      <c r="H101" s="180">
        <f>(+H5)/(1-G101)-H5</f>
        <v>4.769736177094952E-2</v>
      </c>
      <c r="I101" s="89"/>
      <c r="J101" s="290">
        <v>7.0699999999999999E-2</v>
      </c>
      <c r="K101" s="382">
        <f>(K$3)/(1-J101)-K$3</f>
        <v>0.31344452813945978</v>
      </c>
      <c r="L101" s="89"/>
      <c r="M101" s="290">
        <v>4.4200000000000003E-2</v>
      </c>
      <c r="N101" s="90">
        <f>(N$6)/(1-M101)-(N$6)</f>
        <v>0.19630571249215301</v>
      </c>
      <c r="O101" s="89"/>
      <c r="P101" s="89"/>
      <c r="Q101" s="89"/>
      <c r="R101" s="96"/>
      <c r="S101" s="89"/>
      <c r="T101" s="89"/>
      <c r="U101" s="96"/>
      <c r="V101" s="89"/>
      <c r="W101" s="89"/>
      <c r="X101" s="96"/>
      <c r="Y101" s="89"/>
      <c r="Z101" s="89"/>
      <c r="AH101" s="148" t="s">
        <v>194</v>
      </c>
      <c r="AI101" s="146">
        <v>0</v>
      </c>
      <c r="AK101" s="148"/>
      <c r="AL101" s="146"/>
    </row>
    <row r="102" spans="1:38" x14ac:dyDescent="0.2">
      <c r="A102" s="187"/>
      <c r="B102" s="181">
        <f>SUM(B99:B101)</f>
        <v>0.23087359632644555</v>
      </c>
      <c r="C102" s="91"/>
      <c r="D102" s="87"/>
      <c r="E102" s="93">
        <f>SUM(E99:E101)</f>
        <v>0.41661813125209324</v>
      </c>
      <c r="F102" s="94"/>
      <c r="G102" s="195"/>
      <c r="H102" s="181">
        <f>SUM(H99:H101)</f>
        <v>0.10279736177094953</v>
      </c>
      <c r="I102" s="91"/>
      <c r="J102" s="178"/>
      <c r="K102" s="181">
        <f>SUM(K99:K101)</f>
        <v>0.36574452813945979</v>
      </c>
      <c r="L102" s="91"/>
      <c r="M102" s="406"/>
      <c r="N102" s="93">
        <f>SUM(N99:N101)</f>
        <v>0.53280571249215303</v>
      </c>
      <c r="O102" s="91"/>
      <c r="P102" s="89">
        <f>+'Offseason Rate'!B102+'Offseason Rate'!B3</f>
        <v>5.1893797406807138</v>
      </c>
      <c r="Q102" s="89">
        <f>+P102*0.6</f>
        <v>3.1136278444084282</v>
      </c>
      <c r="R102" s="91"/>
      <c r="S102" s="89" t="e">
        <f>+'Offseason Rate'!#REF!+'Offseason Rate'!E3</f>
        <v>#REF!</v>
      </c>
      <c r="T102" s="89" t="e">
        <f>+S102*0.6</f>
        <v>#REF!</v>
      </c>
      <c r="U102" s="91"/>
      <c r="V102" s="89"/>
      <c r="W102" s="89"/>
      <c r="X102" s="91"/>
      <c r="Y102" s="89"/>
      <c r="Z102" s="89"/>
      <c r="AH102" s="34" t="s">
        <v>195</v>
      </c>
      <c r="AI102" s="146">
        <v>0</v>
      </c>
      <c r="AL102" s="146"/>
    </row>
    <row r="103" spans="1:38" x14ac:dyDescent="0.2">
      <c r="A103" s="188" t="s">
        <v>22</v>
      </c>
      <c r="B103" s="181" t="s">
        <v>171</v>
      </c>
      <c r="C103" s="94"/>
      <c r="D103" s="140"/>
      <c r="E103" s="93"/>
      <c r="G103" s="424" t="s">
        <v>36</v>
      </c>
      <c r="H103" s="431" t="s">
        <v>539</v>
      </c>
      <c r="I103" s="94"/>
      <c r="J103" s="176" t="s">
        <v>104</v>
      </c>
      <c r="K103" s="177" t="s">
        <v>174</v>
      </c>
      <c r="L103" s="94"/>
      <c r="M103" s="140" t="s">
        <v>602</v>
      </c>
      <c r="N103" s="93" t="s">
        <v>186</v>
      </c>
      <c r="O103" s="94"/>
      <c r="P103" s="91"/>
      <c r="Q103" s="91"/>
      <c r="R103" s="94"/>
      <c r="S103" s="91"/>
      <c r="T103" s="91"/>
      <c r="U103" s="94"/>
      <c r="V103" s="91"/>
      <c r="W103" s="91"/>
      <c r="X103" s="94"/>
      <c r="Y103" s="91"/>
      <c r="Z103" s="91"/>
      <c r="AH103" s="34" t="s">
        <v>196</v>
      </c>
      <c r="AI103" s="146">
        <v>0</v>
      </c>
      <c r="AL103" s="146"/>
    </row>
    <row r="104" spans="1:38" x14ac:dyDescent="0.2">
      <c r="A104" s="189" t="s">
        <v>115</v>
      </c>
      <c r="B104" s="184">
        <v>4.1999999999999997E-3</v>
      </c>
      <c r="C104" s="99"/>
      <c r="D104" s="87"/>
      <c r="E104" s="98"/>
      <c r="F104" s="99"/>
      <c r="G104" s="195" t="s">
        <v>115</v>
      </c>
      <c r="H104" s="179">
        <v>4.2700000000000002E-2</v>
      </c>
      <c r="J104" s="178" t="s">
        <v>115</v>
      </c>
      <c r="K104" s="179">
        <v>5.7000000000000002E-2</v>
      </c>
      <c r="M104" s="406" t="s">
        <v>115</v>
      </c>
      <c r="N104" s="98">
        <v>0.18060000000000001</v>
      </c>
      <c r="P104" s="94"/>
      <c r="Q104" s="94"/>
      <c r="R104" s="99"/>
      <c r="S104" s="94"/>
      <c r="T104" s="94"/>
      <c r="U104" s="99"/>
      <c r="V104" s="94"/>
      <c r="W104" s="94"/>
      <c r="X104" s="99"/>
      <c r="Y104" s="94"/>
      <c r="Z104" s="94"/>
      <c r="AL104" s="146"/>
    </row>
    <row r="105" spans="1:38" x14ac:dyDescent="0.2">
      <c r="A105" s="190" t="s">
        <v>58</v>
      </c>
      <c r="B105" s="184">
        <v>0</v>
      </c>
      <c r="C105" s="89"/>
      <c r="D105" s="87"/>
      <c r="E105" s="98"/>
      <c r="F105" s="89"/>
      <c r="G105" s="195" t="s">
        <v>58</v>
      </c>
      <c r="H105" s="179">
        <f>0.0022+0.007</f>
        <v>9.1999999999999998E-3</v>
      </c>
      <c r="I105" s="99"/>
      <c r="J105" s="178" t="s">
        <v>58</v>
      </c>
      <c r="K105" s="179">
        <f>0.0022+0.007</f>
        <v>9.1999999999999998E-3</v>
      </c>
      <c r="L105" s="99"/>
      <c r="M105" s="406" t="s">
        <v>58</v>
      </c>
      <c r="N105" s="88">
        <f>0.0022+0.007</f>
        <v>9.1999999999999998E-3</v>
      </c>
      <c r="O105" s="99"/>
      <c r="P105" s="94"/>
      <c r="Q105" s="94"/>
      <c r="R105" s="89"/>
      <c r="S105" s="94"/>
      <c r="T105" s="94"/>
      <c r="U105" s="89"/>
      <c r="V105" s="94"/>
      <c r="W105" s="94"/>
      <c r="X105" s="89"/>
      <c r="Y105" s="99"/>
      <c r="Z105" s="99"/>
      <c r="AH105" s="147">
        <v>36617</v>
      </c>
      <c r="AK105" s="147"/>
    </row>
    <row r="106" spans="1:38" x14ac:dyDescent="0.2">
      <c r="A106" s="429">
        <v>5.7000000000000002E-3</v>
      </c>
      <c r="B106" s="180">
        <f>B3/(1-A106)-B3</f>
        <v>2.3847933219350637E-2</v>
      </c>
      <c r="C106" s="89"/>
      <c r="D106" s="87"/>
      <c r="E106" s="90"/>
      <c r="F106" s="89"/>
      <c r="G106" s="429">
        <v>1.17E-2</v>
      </c>
      <c r="H106" s="403">
        <f>(+H5)/(1-G106)-H5</f>
        <v>5.2207831630072477E-2</v>
      </c>
      <c r="I106" s="89"/>
      <c r="J106" s="290">
        <v>7.9600000000000004E-2</v>
      </c>
      <c r="K106" s="382">
        <f>(K$3)/(1-J106)-K$3</f>
        <v>0.35631464580617145</v>
      </c>
      <c r="L106" s="89"/>
      <c r="M106" s="290">
        <v>3.1E-2</v>
      </c>
      <c r="N106" s="90">
        <f>(N$7)/(1-M106)-N$7</f>
        <v>0.14492260061919549</v>
      </c>
      <c r="O106" s="89"/>
      <c r="P106" s="96"/>
      <c r="Q106" s="96"/>
      <c r="R106" s="89"/>
      <c r="S106" s="96"/>
      <c r="T106" s="96"/>
      <c r="U106" s="89"/>
      <c r="V106" s="96"/>
      <c r="W106" s="96"/>
      <c r="X106" s="89"/>
      <c r="Y106" s="89"/>
      <c r="Z106" s="89"/>
      <c r="AH106" s="148" t="s">
        <v>194</v>
      </c>
      <c r="AI106" s="146">
        <v>4.0000000000000001E-3</v>
      </c>
      <c r="AK106" s="148"/>
      <c r="AL106" s="146"/>
    </row>
    <row r="107" spans="1:38" x14ac:dyDescent="0.2">
      <c r="A107" s="187"/>
      <c r="B107" s="181">
        <f>SUM(B104:B106)</f>
        <v>2.8047933219350635E-2</v>
      </c>
      <c r="C107" s="91"/>
      <c r="D107" s="87"/>
      <c r="E107" s="93"/>
      <c r="F107" s="91"/>
      <c r="G107" s="195"/>
      <c r="H107" s="181">
        <f>SUM(H104:H106)</f>
        <v>0.10410783163007248</v>
      </c>
      <c r="I107" s="89"/>
      <c r="J107" s="178"/>
      <c r="K107" s="181">
        <f>SUM(K104:K106)</f>
        <v>0.42251464580617148</v>
      </c>
      <c r="L107" s="89"/>
      <c r="M107" s="406"/>
      <c r="N107" s="93">
        <f>SUM(N104:N106)</f>
        <v>0.33472260061919551</v>
      </c>
      <c r="O107" s="89"/>
      <c r="P107" s="96">
        <f>+'Offseason Rate'!B107+'Offseason Rate'!B3</f>
        <v>5.1449904522613066</v>
      </c>
      <c r="Q107" s="96">
        <f>+P107*0.4</f>
        <v>2.0579961809045226</v>
      </c>
      <c r="R107" s="91"/>
      <c r="S107" s="96">
        <f>+'Offseason Rate'!E92+'Offseason Rate'!E3</f>
        <v>5.1920908884766028</v>
      </c>
      <c r="T107" s="96">
        <f>+S107*0.4</f>
        <v>2.076836355390641</v>
      </c>
      <c r="U107" s="91"/>
      <c r="V107" s="96"/>
      <c r="W107" s="96"/>
      <c r="X107" s="91"/>
      <c r="Y107" s="89"/>
      <c r="Z107" s="89"/>
      <c r="AH107" s="34" t="s">
        <v>195</v>
      </c>
      <c r="AI107" s="146">
        <v>8.0000000000000002E-3</v>
      </c>
      <c r="AL107" s="146"/>
    </row>
    <row r="108" spans="1:38" x14ac:dyDescent="0.2">
      <c r="A108" s="188" t="s">
        <v>22</v>
      </c>
      <c r="B108" s="181" t="s">
        <v>173</v>
      </c>
      <c r="C108" s="94"/>
      <c r="F108" s="94"/>
      <c r="G108" s="432" t="s">
        <v>561</v>
      </c>
      <c r="H108" s="431" t="s">
        <v>560</v>
      </c>
      <c r="I108" s="91"/>
      <c r="J108" s="176" t="s">
        <v>104</v>
      </c>
      <c r="K108" s="177" t="s">
        <v>176</v>
      </c>
      <c r="L108" s="91"/>
      <c r="M108" s="421"/>
      <c r="N108" s="94"/>
      <c r="O108" s="91"/>
      <c r="P108" s="96"/>
      <c r="Q108" s="96">
        <f>SUM(Q102:Q107)</f>
        <v>5.1716240253129513</v>
      </c>
      <c r="R108" s="94"/>
      <c r="S108" s="96"/>
      <c r="T108" s="96" t="e">
        <f>SUM(T102:T107)</f>
        <v>#REF!</v>
      </c>
      <c r="U108" s="94"/>
      <c r="V108" s="96"/>
      <c r="W108" s="96"/>
      <c r="X108" s="94"/>
      <c r="Y108" s="91"/>
      <c r="Z108" s="91"/>
      <c r="AH108" s="34" t="s">
        <v>196</v>
      </c>
      <c r="AI108" s="146">
        <v>4.0000000000000001E-3</v>
      </c>
      <c r="AL108" s="146"/>
    </row>
    <row r="109" spans="1:38" x14ac:dyDescent="0.2">
      <c r="A109" s="426" t="s">
        <v>115</v>
      </c>
      <c r="B109" s="184">
        <v>1.12E-2</v>
      </c>
      <c r="F109" s="99"/>
      <c r="G109" s="195" t="s">
        <v>115</v>
      </c>
      <c r="H109" s="179">
        <v>4.2700000000000002E-2</v>
      </c>
      <c r="I109" s="94"/>
      <c r="J109" s="178" t="s">
        <v>115</v>
      </c>
      <c r="K109" s="179">
        <v>1.41E-2</v>
      </c>
      <c r="L109" s="94"/>
      <c r="M109" s="89"/>
      <c r="N109" s="96"/>
      <c r="O109" s="94"/>
      <c r="P109" s="91"/>
      <c r="Q109" s="91"/>
      <c r="S109" s="91"/>
      <c r="T109" s="91"/>
      <c r="V109" s="91"/>
      <c r="W109" s="91"/>
      <c r="Y109" s="94"/>
      <c r="Z109" s="94"/>
      <c r="AI109" s="146"/>
      <c r="AL109" s="146"/>
    </row>
    <row r="110" spans="1:38" x14ac:dyDescent="0.2">
      <c r="A110" s="190" t="s">
        <v>58</v>
      </c>
      <c r="B110" s="184">
        <f>0.0022+0.007+0.0097</f>
        <v>1.89E-2</v>
      </c>
      <c r="C110" s="99"/>
      <c r="F110" s="89"/>
      <c r="G110" s="195" t="s">
        <v>58</v>
      </c>
      <c r="H110" s="179">
        <f>0.0022+0.007</f>
        <v>9.1999999999999998E-3</v>
      </c>
      <c r="I110" s="99"/>
      <c r="J110" s="178" t="s">
        <v>58</v>
      </c>
      <c r="K110" s="179">
        <f>0.0022+0.007</f>
        <v>9.1999999999999998E-3</v>
      </c>
      <c r="L110" s="99"/>
      <c r="M110" s="89"/>
      <c r="N110" s="89"/>
      <c r="O110" s="99"/>
      <c r="P110" s="94"/>
      <c r="Q110" s="94"/>
      <c r="R110" s="99"/>
      <c r="S110" s="94"/>
      <c r="T110" s="94"/>
      <c r="U110" s="99"/>
      <c r="V110" s="94"/>
      <c r="W110" s="94"/>
      <c r="X110" s="99"/>
      <c r="AH110" s="147">
        <v>36586</v>
      </c>
      <c r="AK110" s="147"/>
    </row>
    <row r="111" spans="1:38" x14ac:dyDescent="0.2">
      <c r="A111" s="429">
        <v>1.4800000000000001E-2</v>
      </c>
      <c r="B111" s="180">
        <f>B7/(1-A111)-B7</f>
        <v>6.9339245320540144E-2</v>
      </c>
      <c r="C111" s="89"/>
      <c r="F111" s="89"/>
      <c r="G111" s="429">
        <v>5.0000000000000001E-3</v>
      </c>
      <c r="H111" s="382">
        <f>(+H$5)/(1-G111)-H$5</f>
        <v>2.2160804020100677E-2</v>
      </c>
      <c r="I111" s="89"/>
      <c r="J111" s="383">
        <v>2.8400000000000002E-2</v>
      </c>
      <c r="K111" s="382">
        <f>(K$6)/(1-J111)-(K$6)</f>
        <v>0.12408192671881402</v>
      </c>
      <c r="L111" s="89"/>
      <c r="M111" s="89"/>
      <c r="N111" s="91"/>
      <c r="O111" s="89"/>
      <c r="P111" s="99"/>
      <c r="Q111" s="99"/>
      <c r="R111" s="89"/>
      <c r="S111" s="99"/>
      <c r="T111" s="99"/>
      <c r="U111" s="89"/>
      <c r="V111" s="99"/>
      <c r="W111" s="99"/>
      <c r="X111" s="89"/>
      <c r="AH111" s="148" t="s">
        <v>194</v>
      </c>
      <c r="AI111" s="146">
        <v>5.0000000000000001E-3</v>
      </c>
      <c r="AK111" s="148"/>
      <c r="AL111" s="146"/>
    </row>
    <row r="112" spans="1:38" x14ac:dyDescent="0.2">
      <c r="A112" s="187"/>
      <c r="B112" s="181">
        <f>SUM(B109:B111)</f>
        <v>9.9439245320540146E-2</v>
      </c>
      <c r="C112" s="89"/>
      <c r="F112" s="91"/>
      <c r="G112" s="195"/>
      <c r="H112" s="181">
        <f>SUM(H109:H111)</f>
        <v>7.4060804020100679E-2</v>
      </c>
      <c r="I112" s="89"/>
      <c r="J112" s="178"/>
      <c r="K112" s="181">
        <f>SUM(K109:K111)</f>
        <v>0.147381926718814</v>
      </c>
      <c r="L112" s="89"/>
      <c r="M112" s="89"/>
      <c r="N112" s="94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AH112" s="34" t="s">
        <v>195</v>
      </c>
      <c r="AI112" s="146">
        <v>0.01</v>
      </c>
      <c r="AL112" s="146"/>
    </row>
    <row r="113" spans="1:38" x14ac:dyDescent="0.2">
      <c r="A113" s="188" t="s">
        <v>22</v>
      </c>
      <c r="B113" s="181" t="s">
        <v>300</v>
      </c>
      <c r="C113" s="91"/>
      <c r="F113" s="94"/>
      <c r="G113" s="424" t="s">
        <v>36</v>
      </c>
      <c r="H113" s="431" t="s">
        <v>540</v>
      </c>
      <c r="I113" s="91"/>
      <c r="J113" s="176" t="s">
        <v>104</v>
      </c>
      <c r="K113" s="177" t="s">
        <v>179</v>
      </c>
      <c r="L113" s="91"/>
      <c r="M113" s="89"/>
      <c r="N113" s="89"/>
      <c r="O113" s="91"/>
      <c r="P113" s="89"/>
      <c r="Q113" s="89"/>
      <c r="R113" s="91"/>
      <c r="S113" s="89"/>
      <c r="T113" s="89"/>
      <c r="U113" s="91"/>
      <c r="V113" s="89"/>
      <c r="W113" s="89"/>
      <c r="X113" s="91"/>
      <c r="AH113" s="34" t="s">
        <v>196</v>
      </c>
      <c r="AI113" s="146">
        <v>5.0000000000000001E-3</v>
      </c>
      <c r="AL113" s="146"/>
    </row>
    <row r="114" spans="1:38" x14ac:dyDescent="0.2">
      <c r="A114" s="426" t="s">
        <v>115</v>
      </c>
      <c r="B114" s="184">
        <v>1.7000000000000001E-2</v>
      </c>
      <c r="C114" s="94"/>
      <c r="G114" s="195" t="s">
        <v>115</v>
      </c>
      <c r="H114" s="179">
        <v>7.6499999999999999E-2</v>
      </c>
      <c r="I114" s="94"/>
      <c r="J114" s="178" t="s">
        <v>115</v>
      </c>
      <c r="K114" s="179">
        <v>3.44E-2</v>
      </c>
      <c r="L114" s="94"/>
      <c r="M114" s="89"/>
      <c r="N114" s="89"/>
      <c r="O114" s="94"/>
      <c r="P114" s="91"/>
      <c r="Q114" s="91"/>
      <c r="R114" s="94"/>
      <c r="S114" s="91"/>
      <c r="T114" s="91"/>
      <c r="U114" s="94"/>
      <c r="V114" s="91"/>
      <c r="W114" s="91"/>
      <c r="X114" s="94"/>
      <c r="AI114" s="146"/>
    </row>
    <row r="115" spans="1:38" x14ac:dyDescent="0.2">
      <c r="A115" s="190" t="s">
        <v>58</v>
      </c>
      <c r="B115" s="184">
        <f>0.0022+0.007+0.0097</f>
        <v>1.89E-2</v>
      </c>
      <c r="C115" s="99"/>
      <c r="G115" s="195" t="s">
        <v>58</v>
      </c>
      <c r="H115" s="179">
        <f>0.0022+0.007</f>
        <v>9.1999999999999998E-3</v>
      </c>
      <c r="J115" s="178" t="s">
        <v>58</v>
      </c>
      <c r="K115" s="179">
        <f>0.0022+0.007</f>
        <v>9.1999999999999998E-3</v>
      </c>
      <c r="M115" s="91"/>
      <c r="N115" s="91"/>
      <c r="P115" s="94"/>
      <c r="Q115" s="94"/>
      <c r="R115" s="99"/>
      <c r="S115" s="94"/>
      <c r="T115" s="94"/>
      <c r="U115" s="99"/>
      <c r="V115" s="94"/>
      <c r="W115" s="94"/>
      <c r="X115" s="99"/>
      <c r="AH115" s="147">
        <v>36465</v>
      </c>
      <c r="AK115" s="147"/>
    </row>
    <row r="116" spans="1:38" x14ac:dyDescent="0.2">
      <c r="A116" s="429">
        <v>2.29E-2</v>
      </c>
      <c r="B116" s="180">
        <f>B7/(1-A116)-B7</f>
        <v>0.10817783048128682</v>
      </c>
      <c r="C116" s="89"/>
      <c r="G116" s="433">
        <v>1.8599999999999998E-2</v>
      </c>
      <c r="H116" s="180">
        <f>(+H5)/(1-G116)-H5</f>
        <v>8.358059914407967E-2</v>
      </c>
      <c r="J116" s="383">
        <v>4.1599999999999998E-2</v>
      </c>
      <c r="K116" s="382">
        <f>(K$6)/(1-J116)-(K$6)</f>
        <v>0.18425709515859712</v>
      </c>
      <c r="M116" s="94"/>
      <c r="N116" s="94"/>
      <c r="R116" s="89"/>
      <c r="U116" s="89"/>
      <c r="X116" s="89"/>
      <c r="AH116" s="148" t="s">
        <v>194</v>
      </c>
      <c r="AI116" s="146">
        <v>0</v>
      </c>
      <c r="AK116" s="148"/>
      <c r="AL116" s="146"/>
    </row>
    <row r="117" spans="1:38" x14ac:dyDescent="0.2">
      <c r="A117" s="187"/>
      <c r="B117" s="181">
        <f>SUM(B114:B116)</f>
        <v>0.14407783048128681</v>
      </c>
      <c r="C117" s="89"/>
      <c r="G117" s="195"/>
      <c r="H117" s="181">
        <f>SUM(H114:H116)</f>
        <v>0.16928059914407967</v>
      </c>
      <c r="J117" s="178"/>
      <c r="K117" s="181">
        <f>SUM(K114:K116)</f>
        <v>0.22785709515859712</v>
      </c>
      <c r="M117" s="99"/>
      <c r="N117" s="99"/>
      <c r="P117" s="99"/>
      <c r="Q117" s="99"/>
      <c r="R117" s="89"/>
      <c r="S117" s="99"/>
      <c r="T117" s="99"/>
      <c r="U117" s="89"/>
      <c r="V117" s="99"/>
      <c r="W117" s="99"/>
      <c r="X117" s="89"/>
      <c r="AH117" s="34" t="s">
        <v>195</v>
      </c>
      <c r="AI117" s="146">
        <v>7.0000000000000001E-3</v>
      </c>
      <c r="AL117" s="146"/>
    </row>
    <row r="118" spans="1:38" x14ac:dyDescent="0.2">
      <c r="A118" s="188" t="s">
        <v>22</v>
      </c>
      <c r="B118" s="181" t="s">
        <v>175</v>
      </c>
      <c r="C118" s="91"/>
      <c r="G118" s="424" t="s">
        <v>36</v>
      </c>
      <c r="H118" s="431" t="s">
        <v>646</v>
      </c>
      <c r="J118" s="176" t="s">
        <v>104</v>
      </c>
      <c r="K118" s="177" t="s">
        <v>181</v>
      </c>
      <c r="M118" s="89"/>
      <c r="N118" s="89"/>
      <c r="P118" s="89"/>
      <c r="Q118" s="89"/>
      <c r="R118" s="91"/>
      <c r="S118" s="89"/>
      <c r="T118" s="89"/>
      <c r="U118" s="91"/>
      <c r="V118" s="89"/>
      <c r="W118" s="89"/>
      <c r="X118" s="91"/>
      <c r="AH118" s="34" t="s">
        <v>196</v>
      </c>
      <c r="AI118" s="146">
        <v>0</v>
      </c>
      <c r="AL118" s="146"/>
    </row>
    <row r="119" spans="1:38" x14ac:dyDescent="0.2">
      <c r="A119" s="189" t="s">
        <v>115</v>
      </c>
      <c r="B119" s="184">
        <v>6.1999999999999998E-3</v>
      </c>
      <c r="C119" s="94"/>
      <c r="G119" s="195" t="s">
        <v>115</v>
      </c>
      <c r="H119" s="179">
        <v>8.3400000000000002E-2</v>
      </c>
      <c r="J119" s="178" t="s">
        <v>115</v>
      </c>
      <c r="K119" s="179">
        <v>4.8300000000000003E-2</v>
      </c>
      <c r="M119" s="89"/>
      <c r="N119" s="89"/>
      <c r="P119" s="89"/>
      <c r="Q119" s="89"/>
      <c r="R119" s="94"/>
      <c r="S119" s="89"/>
      <c r="T119" s="89"/>
      <c r="U119" s="94"/>
      <c r="V119" s="89"/>
      <c r="W119" s="89"/>
      <c r="X119" s="94"/>
      <c r="AI119" s="146"/>
    </row>
    <row r="120" spans="1:38" x14ac:dyDescent="0.2">
      <c r="A120" s="190" t="s">
        <v>58</v>
      </c>
      <c r="B120" s="184">
        <f>0.0022+0.007+0.0097</f>
        <v>1.89E-2</v>
      </c>
      <c r="G120" s="195" t="s">
        <v>58</v>
      </c>
      <c r="H120" s="179">
        <f>0.0022+0.007</f>
        <v>9.1999999999999998E-3</v>
      </c>
      <c r="J120" s="178" t="s">
        <v>58</v>
      </c>
      <c r="K120" s="179">
        <f>0.0022+0.007</f>
        <v>9.1999999999999998E-3</v>
      </c>
      <c r="M120" s="91"/>
      <c r="N120" s="91"/>
      <c r="P120" s="91"/>
      <c r="Q120" s="91"/>
      <c r="S120" s="91"/>
      <c r="T120" s="91"/>
      <c r="V120" s="91"/>
      <c r="W120" s="91"/>
      <c r="AH120" s="147">
        <v>36434</v>
      </c>
      <c r="AK120" s="147"/>
    </row>
    <row r="121" spans="1:38" x14ac:dyDescent="0.2">
      <c r="A121" s="434">
        <v>8.0999999999999996E-3</v>
      </c>
      <c r="B121" s="180">
        <f>B$7/(1-A121)-B$7</f>
        <v>3.7692845723832136E-2</v>
      </c>
      <c r="G121" s="434">
        <v>2.1999999999999999E-2</v>
      </c>
      <c r="H121" s="180">
        <f>(+H$5)/(1-G121)-H$5</f>
        <v>9.9202453987730088E-2</v>
      </c>
      <c r="J121" s="383">
        <v>5.0500000000000003E-2</v>
      </c>
      <c r="K121" s="382">
        <f>(K$6)/(1-J121)-(K$6)</f>
        <v>0.22577409162717199</v>
      </c>
      <c r="M121" s="94"/>
      <c r="N121" s="94"/>
      <c r="P121" s="94"/>
      <c r="Q121" s="94"/>
      <c r="S121" s="94"/>
      <c r="T121" s="94"/>
      <c r="V121" s="94"/>
      <c r="W121" s="94"/>
      <c r="AH121" s="148" t="s">
        <v>194</v>
      </c>
      <c r="AI121" s="146">
        <v>0</v>
      </c>
      <c r="AK121" s="148"/>
      <c r="AL121" s="146"/>
    </row>
    <row r="122" spans="1:38" x14ac:dyDescent="0.2">
      <c r="A122" s="187" t="s">
        <v>177</v>
      </c>
      <c r="B122" s="181">
        <f>SUM(B119:B121)</f>
        <v>6.2792845723832133E-2</v>
      </c>
      <c r="G122" s="195"/>
      <c r="H122" s="181">
        <f>SUM(H119:H121)</f>
        <v>0.1918024539877301</v>
      </c>
      <c r="J122" s="178"/>
      <c r="K122" s="181">
        <f>SUM(K119:K121)</f>
        <v>0.28327409162717199</v>
      </c>
      <c r="M122" s="94"/>
      <c r="N122" s="94"/>
      <c r="P122" s="99"/>
      <c r="Q122" s="99"/>
      <c r="S122" s="99"/>
      <c r="T122" s="99"/>
      <c r="V122" s="99"/>
      <c r="W122" s="99"/>
      <c r="AH122" s="34" t="s">
        <v>195</v>
      </c>
      <c r="AI122" s="146">
        <v>7.0000000000000001E-3</v>
      </c>
      <c r="AL122" s="146"/>
    </row>
    <row r="123" spans="1:38" x14ac:dyDescent="0.2">
      <c r="A123" s="188" t="s">
        <v>22</v>
      </c>
      <c r="B123" s="181" t="s">
        <v>668</v>
      </c>
      <c r="G123" s="424" t="s">
        <v>36</v>
      </c>
      <c r="H123" s="431" t="s">
        <v>579</v>
      </c>
      <c r="J123" s="176" t="s">
        <v>104</v>
      </c>
      <c r="K123" s="181" t="s">
        <v>183</v>
      </c>
      <c r="M123" s="96"/>
      <c r="N123" s="96"/>
      <c r="P123" s="89"/>
      <c r="Q123" s="89"/>
      <c r="S123" s="89"/>
      <c r="T123" s="89"/>
      <c r="V123" s="89"/>
      <c r="W123" s="89"/>
      <c r="AH123" s="34" t="s">
        <v>196</v>
      </c>
      <c r="AI123" s="146">
        <v>0</v>
      </c>
      <c r="AL123" s="146"/>
    </row>
    <row r="124" spans="1:38" x14ac:dyDescent="0.2">
      <c r="A124" s="189" t="s">
        <v>115</v>
      </c>
      <c r="B124" s="184">
        <v>1.7000000000000001E-2</v>
      </c>
      <c r="G124" s="195" t="s">
        <v>115</v>
      </c>
      <c r="H124" s="179">
        <v>7.6499999999999999E-2</v>
      </c>
      <c r="J124" s="178" t="s">
        <v>115</v>
      </c>
      <c r="K124" s="184">
        <v>2.4500000000000001E-2</v>
      </c>
      <c r="M124" s="96"/>
      <c r="N124" s="96"/>
      <c r="P124" s="89"/>
      <c r="Q124" s="89"/>
      <c r="S124" s="89"/>
      <c r="T124" s="89"/>
      <c r="V124" s="89"/>
      <c r="W124" s="89"/>
      <c r="AI124" s="146"/>
    </row>
    <row r="125" spans="1:38" x14ac:dyDescent="0.2">
      <c r="A125" s="190" t="s">
        <v>58</v>
      </c>
      <c r="B125" s="184">
        <f>0.0022+0.0097</f>
        <v>1.1900000000000001E-2</v>
      </c>
      <c r="G125" s="195" t="s">
        <v>58</v>
      </c>
      <c r="H125" s="179">
        <f>0.0022+0.007</f>
        <v>9.1999999999999998E-3</v>
      </c>
      <c r="J125" s="178" t="s">
        <v>58</v>
      </c>
      <c r="K125" s="179">
        <f>0.0022</f>
        <v>2.2000000000000001E-3</v>
      </c>
      <c r="M125" s="96"/>
      <c r="N125" s="96"/>
      <c r="P125" s="91"/>
      <c r="Q125" s="91"/>
      <c r="S125" s="91"/>
      <c r="T125" s="91"/>
      <c r="V125" s="91"/>
      <c r="W125" s="91"/>
      <c r="AH125" s="147">
        <v>36404</v>
      </c>
      <c r="AK125" s="147"/>
    </row>
    <row r="126" spans="1:38" x14ac:dyDescent="0.2">
      <c r="A126" s="434">
        <v>2.29E-2</v>
      </c>
      <c r="B126" s="180">
        <f>B$7/(1-A126)-B$7</f>
        <v>0.10817783048128682</v>
      </c>
      <c r="G126" s="434">
        <v>1.2699999999999999E-2</v>
      </c>
      <c r="H126" s="180">
        <f>(+H$5)/(1-G126)-H$5</f>
        <v>5.6727438468550773E-2</v>
      </c>
      <c r="J126" s="290">
        <v>3.5299999999999998E-2</v>
      </c>
      <c r="K126" s="180">
        <f>(K$6)/(1-J126)-K$6</f>
        <v>0.15533170933969132</v>
      </c>
      <c r="M126" s="91"/>
      <c r="N126" s="91"/>
      <c r="P126" s="94"/>
      <c r="Q126" s="94"/>
      <c r="S126" s="94"/>
      <c r="T126" s="94"/>
      <c r="V126" s="94"/>
      <c r="W126" s="94"/>
      <c r="AH126" s="148" t="s">
        <v>194</v>
      </c>
      <c r="AI126" s="146">
        <v>0</v>
      </c>
      <c r="AK126" s="148"/>
      <c r="AL126" s="146"/>
    </row>
    <row r="127" spans="1:38" x14ac:dyDescent="0.2">
      <c r="A127" s="187" t="s">
        <v>177</v>
      </c>
      <c r="B127" s="181">
        <f>SUM(B124:B126)</f>
        <v>0.13707783048128683</v>
      </c>
      <c r="G127" s="195"/>
      <c r="H127" s="181">
        <f>SUM(H124:H126)</f>
        <v>0.14242743846855077</v>
      </c>
      <c r="J127" s="178"/>
      <c r="K127" s="181">
        <f>SUM(K124:K126)</f>
        <v>0.18203170933969132</v>
      </c>
      <c r="M127" s="94"/>
      <c r="N127" s="94"/>
      <c r="AH127" s="34" t="s">
        <v>195</v>
      </c>
      <c r="AI127" s="146">
        <v>4.0000000000000001E-3</v>
      </c>
      <c r="AL127" s="146"/>
    </row>
    <row r="128" spans="1:38" x14ac:dyDescent="0.2">
      <c r="A128" s="188" t="s">
        <v>22</v>
      </c>
      <c r="B128" s="181" t="s">
        <v>671</v>
      </c>
      <c r="G128" s="424" t="s">
        <v>36</v>
      </c>
      <c r="H128" s="431" t="s">
        <v>547</v>
      </c>
      <c r="J128" s="176" t="s">
        <v>104</v>
      </c>
      <c r="K128" s="181" t="s">
        <v>185</v>
      </c>
      <c r="M128" s="99"/>
      <c r="N128" s="99"/>
      <c r="AH128" s="34" t="s">
        <v>196</v>
      </c>
      <c r="AI128" s="146">
        <v>0</v>
      </c>
      <c r="AL128" s="146"/>
    </row>
    <row r="129" spans="1:35" x14ac:dyDescent="0.2">
      <c r="A129" s="189" t="s">
        <v>115</v>
      </c>
      <c r="B129" s="184">
        <v>3.0499999999999999E-2</v>
      </c>
      <c r="G129" s="195" t="s">
        <v>115</v>
      </c>
      <c r="H129" s="179">
        <v>6.4199999999999993E-2</v>
      </c>
      <c r="J129" s="178" t="s">
        <v>115</v>
      </c>
      <c r="K129" s="184">
        <v>3.85E-2</v>
      </c>
      <c r="M129" s="89"/>
      <c r="N129" s="89"/>
      <c r="AI129" s="146"/>
    </row>
    <row r="130" spans="1:35" x14ac:dyDescent="0.2">
      <c r="A130" s="190" t="s">
        <v>58</v>
      </c>
      <c r="B130" s="184">
        <f>0.007+0.0022+0.0097</f>
        <v>1.89E-2</v>
      </c>
      <c r="G130" s="195" t="s">
        <v>58</v>
      </c>
      <c r="H130" s="179">
        <f>0.0022+0.007</f>
        <v>9.1999999999999998E-3</v>
      </c>
      <c r="J130" s="178" t="s">
        <v>58</v>
      </c>
      <c r="K130" s="179">
        <f>0.0022+0.007</f>
        <v>9.1999999999999998E-3</v>
      </c>
      <c r="M130" s="89"/>
      <c r="N130" s="89"/>
      <c r="AH130" s="147">
        <v>36312</v>
      </c>
    </row>
    <row r="131" spans="1:35" x14ac:dyDescent="0.2">
      <c r="A131" s="434">
        <v>1.89E-2</v>
      </c>
      <c r="B131" s="180">
        <f>B$7/(1-A131)-B$7</f>
        <v>8.8918131252093247E-2</v>
      </c>
      <c r="G131" s="429">
        <v>8.5000000000000006E-3</v>
      </c>
      <c r="H131" s="180">
        <f>(+H4)/(1-G131)-H4</f>
        <v>3.4891578416540447E-2</v>
      </c>
      <c r="J131" s="290">
        <v>4.4200000000000003E-2</v>
      </c>
      <c r="K131" s="180">
        <f>(K$6)/(1-J131)-K$6</f>
        <v>0.19630571249215301</v>
      </c>
      <c r="M131" s="91"/>
      <c r="N131" s="91"/>
      <c r="AH131" s="148" t="s">
        <v>194</v>
      </c>
      <c r="AI131" s="146">
        <v>2E-3</v>
      </c>
    </row>
    <row r="132" spans="1:35" x14ac:dyDescent="0.2">
      <c r="A132" s="187" t="s">
        <v>177</v>
      </c>
      <c r="B132" s="181">
        <f>SUM(B129:B131)</f>
        <v>0.13831813125209325</v>
      </c>
      <c r="G132" s="195"/>
      <c r="H132" s="181">
        <f>SUM(H129:H131)</f>
        <v>0.10829157841654044</v>
      </c>
      <c r="J132" s="178"/>
      <c r="K132" s="181">
        <f>SUM(K129:K131)</f>
        <v>0.244005712492153</v>
      </c>
      <c r="M132" s="94"/>
      <c r="N132" s="94"/>
      <c r="AH132" s="34" t="s">
        <v>195</v>
      </c>
      <c r="AI132" s="146">
        <v>5.0000000000000001E-3</v>
      </c>
    </row>
    <row r="133" spans="1:35" x14ac:dyDescent="0.2">
      <c r="A133" s="188" t="s">
        <v>22</v>
      </c>
      <c r="B133" s="181" t="s">
        <v>670</v>
      </c>
      <c r="G133" s="424" t="s">
        <v>518</v>
      </c>
      <c r="H133" s="430"/>
      <c r="J133" s="176" t="s">
        <v>104</v>
      </c>
      <c r="K133" s="181" t="s">
        <v>186</v>
      </c>
      <c r="AH133" s="34" t="s">
        <v>196</v>
      </c>
      <c r="AI133" s="146">
        <v>2E-3</v>
      </c>
    </row>
    <row r="134" spans="1:35" x14ac:dyDescent="0.2">
      <c r="A134" s="189" t="s">
        <v>115</v>
      </c>
      <c r="B134" s="184">
        <v>3.0499999999999999E-2</v>
      </c>
      <c r="G134" s="194" t="s">
        <v>115</v>
      </c>
      <c r="H134" s="179">
        <v>9.4000000000000004E-3</v>
      </c>
      <c r="J134" s="178" t="s">
        <v>115</v>
      </c>
      <c r="K134" s="184">
        <v>1.8200000000000001E-2</v>
      </c>
      <c r="M134" s="99"/>
      <c r="N134" s="99"/>
      <c r="AI134" s="146"/>
    </row>
    <row r="135" spans="1:35" x14ac:dyDescent="0.2">
      <c r="A135" s="190" t="s">
        <v>58</v>
      </c>
      <c r="B135" s="184">
        <f>0.007+0.0022+0.0097</f>
        <v>1.89E-2</v>
      </c>
      <c r="G135" s="194" t="s">
        <v>58</v>
      </c>
      <c r="H135" s="179">
        <v>2.2000000000000001E-3</v>
      </c>
      <c r="J135" s="178" t="s">
        <v>58</v>
      </c>
      <c r="K135" s="179">
        <f>0.0022+0.007</f>
        <v>9.1999999999999998E-3</v>
      </c>
      <c r="M135" s="89"/>
      <c r="N135" s="89"/>
      <c r="AH135" s="147">
        <v>36281</v>
      </c>
    </row>
    <row r="136" spans="1:35" x14ac:dyDescent="0.2">
      <c r="A136" s="434">
        <v>2.7E-2</v>
      </c>
      <c r="B136" s="180">
        <f>B$7/(1-A136)-B$7</f>
        <v>0.12808336304717205</v>
      </c>
      <c r="G136" s="194" t="s">
        <v>499</v>
      </c>
      <c r="H136" s="180">
        <f>(+AI3+AI17)/(1-0.0131)-(+AI3+AI17)</f>
        <v>5.7382607051978951E-2</v>
      </c>
      <c r="J136" s="290">
        <v>3.1E-2</v>
      </c>
      <c r="K136" s="381">
        <f>(K$7)/(1-J136)-K$7</f>
        <v>0.14492260061919549</v>
      </c>
      <c r="M136" s="89"/>
      <c r="N136" s="89"/>
      <c r="AH136" s="148" t="s">
        <v>194</v>
      </c>
      <c r="AI136" s="146">
        <v>2E-3</v>
      </c>
    </row>
    <row r="137" spans="1:35" x14ac:dyDescent="0.2">
      <c r="A137" s="187" t="s">
        <v>177</v>
      </c>
      <c r="B137" s="181">
        <f>SUM(B134:B136)</f>
        <v>0.17748336304717205</v>
      </c>
      <c r="G137" s="195"/>
      <c r="H137" s="181">
        <f>SUM(H134:H136)</f>
        <v>6.898260705197895E-2</v>
      </c>
      <c r="J137" s="185"/>
      <c r="K137" s="186">
        <f>SUM(K134:K136)</f>
        <v>0.17232260061919549</v>
      </c>
      <c r="M137" s="91"/>
      <c r="N137" s="91"/>
      <c r="AH137" s="34" t="s">
        <v>195</v>
      </c>
      <c r="AI137" s="146">
        <v>5.0000000000000001E-3</v>
      </c>
    </row>
    <row r="138" spans="1:35" x14ac:dyDescent="0.2">
      <c r="A138" s="188" t="s">
        <v>22</v>
      </c>
      <c r="B138" s="181" t="s">
        <v>669</v>
      </c>
      <c r="F138" s="46"/>
      <c r="G138" s="95" t="s">
        <v>36</v>
      </c>
      <c r="H138" s="141" t="s">
        <v>180</v>
      </c>
      <c r="I138" s="46"/>
      <c r="J138" s="176"/>
      <c r="K138" s="181"/>
      <c r="M138" s="94"/>
      <c r="N138" s="94"/>
      <c r="AH138" s="34" t="s">
        <v>196</v>
      </c>
      <c r="AI138" s="146">
        <v>2E-3</v>
      </c>
    </row>
    <row r="139" spans="1:35" x14ac:dyDescent="0.2">
      <c r="A139" s="189" t="s">
        <v>115</v>
      </c>
      <c r="B139" s="184">
        <v>3.0499999999999999E-2</v>
      </c>
      <c r="D139" s="120"/>
      <c r="F139" s="46"/>
      <c r="G139" s="87" t="s">
        <v>115</v>
      </c>
      <c r="H139" s="289">
        <f>0.1599-0.0022</f>
        <v>0.15769999999999998</v>
      </c>
      <c r="I139" s="46"/>
      <c r="J139" s="165"/>
      <c r="K139" s="165"/>
      <c r="M139" s="99"/>
      <c r="N139" s="99"/>
      <c r="AI139" s="146"/>
    </row>
    <row r="140" spans="1:35" x14ac:dyDescent="0.2">
      <c r="A140" s="190" t="s">
        <v>58</v>
      </c>
      <c r="B140" s="184">
        <f>0.0022+0.0097+0.007</f>
        <v>1.89E-2</v>
      </c>
      <c r="D140" s="120"/>
      <c r="F140" s="46"/>
      <c r="G140" s="87" t="s">
        <v>58</v>
      </c>
      <c r="H140" s="88">
        <f>0.0022+0+0.0225+0.007</f>
        <v>3.1699999999999999E-2</v>
      </c>
      <c r="I140" s="46"/>
      <c r="J140" s="166"/>
      <c r="K140" s="166"/>
      <c r="M140" s="89"/>
      <c r="N140" s="89"/>
      <c r="AH140" s="147">
        <v>36251</v>
      </c>
    </row>
    <row r="141" spans="1:35" x14ac:dyDescent="0.2">
      <c r="A141" s="434">
        <v>8.0999999999999996E-3</v>
      </c>
      <c r="B141" s="180">
        <f>B$7/(1-A141)-B$7</f>
        <v>3.7692845723832136E-2</v>
      </c>
      <c r="F141" s="46"/>
      <c r="G141" s="373">
        <v>9.4999999999999998E-3</v>
      </c>
      <c r="H141" s="417">
        <f>(H4)/(1-G141)-H4</f>
        <v>3.9035840484603845E-2</v>
      </c>
      <c r="I141" s="46"/>
      <c r="J141" s="167"/>
      <c r="K141" s="167"/>
      <c r="M141" s="89"/>
      <c r="N141" s="89"/>
      <c r="AH141" s="148" t="s">
        <v>194</v>
      </c>
      <c r="AI141" s="146">
        <v>2E-3</v>
      </c>
    </row>
    <row r="142" spans="1:35" x14ac:dyDescent="0.2">
      <c r="A142" s="187" t="s">
        <v>177</v>
      </c>
      <c r="B142" s="181">
        <f>SUM(B139:B141)</f>
        <v>8.7092845723832135E-2</v>
      </c>
      <c r="F142" s="46"/>
      <c r="G142" s="92"/>
      <c r="H142" s="93">
        <f>SUM(H139:H141)</f>
        <v>0.22843584048460383</v>
      </c>
      <c r="I142" s="46"/>
      <c r="J142" s="168"/>
      <c r="K142" s="168"/>
      <c r="M142" s="91"/>
      <c r="N142" s="91"/>
      <c r="AH142" s="34" t="s">
        <v>195</v>
      </c>
      <c r="AI142" s="146">
        <v>7.0000000000000001E-3</v>
      </c>
    </row>
    <row r="143" spans="1:35" x14ac:dyDescent="0.2">
      <c r="F143" s="46"/>
      <c r="G143" s="95" t="s">
        <v>36</v>
      </c>
      <c r="H143" s="141" t="s">
        <v>182</v>
      </c>
      <c r="I143" s="46"/>
      <c r="J143" s="165"/>
      <c r="K143" s="165"/>
      <c r="M143" s="94"/>
      <c r="N143" s="94"/>
      <c r="AH143" s="34" t="s">
        <v>196</v>
      </c>
      <c r="AI143" s="146">
        <v>2E-3</v>
      </c>
    </row>
    <row r="144" spans="1:35" x14ac:dyDescent="0.2">
      <c r="F144" s="46"/>
      <c r="G144" s="87" t="s">
        <v>115</v>
      </c>
      <c r="H144" s="289">
        <f>0.3212-0.0022</f>
        <v>0.31900000000000001</v>
      </c>
      <c r="I144" s="46"/>
      <c r="J144" s="165"/>
      <c r="K144" s="165"/>
      <c r="AI144" s="146"/>
    </row>
    <row r="145" spans="6:35" x14ac:dyDescent="0.2">
      <c r="F145" s="46"/>
      <c r="G145" s="87" t="s">
        <v>58</v>
      </c>
      <c r="H145" s="88">
        <f>0.0022+0+0.0225+0.007</f>
        <v>3.1699999999999999E-2</v>
      </c>
      <c r="I145" s="46"/>
      <c r="J145" s="166"/>
      <c r="K145" s="166"/>
      <c r="AH145" s="147">
        <v>36220</v>
      </c>
    </row>
    <row r="146" spans="6:35" x14ac:dyDescent="0.2">
      <c r="G146" s="373">
        <v>2.4400000000000002E-2</v>
      </c>
      <c r="H146" s="90">
        <f>(H3)/(1-G146)-H3</f>
        <v>0.10041615416154137</v>
      </c>
      <c r="J146" s="167"/>
      <c r="K146" s="167"/>
      <c r="AH146" s="148" t="s">
        <v>194</v>
      </c>
      <c r="AI146" s="146">
        <v>1E-3</v>
      </c>
    </row>
    <row r="147" spans="6:35" x14ac:dyDescent="0.2">
      <c r="G147" s="92"/>
      <c r="H147" s="93">
        <f>SUM(H144:H146)</f>
        <v>0.45111615416154138</v>
      </c>
      <c r="J147" s="168"/>
      <c r="K147" s="168"/>
      <c r="AH147" s="34" t="s">
        <v>195</v>
      </c>
      <c r="AI147" s="146">
        <v>3.0000000000000001E-3</v>
      </c>
    </row>
    <row r="148" spans="6:35" x14ac:dyDescent="0.2">
      <c r="G148" s="95" t="s">
        <v>36</v>
      </c>
      <c r="H148" s="141" t="s">
        <v>640</v>
      </c>
      <c r="J148" s="165"/>
      <c r="K148" s="165"/>
      <c r="AH148" s="34" t="s">
        <v>196</v>
      </c>
      <c r="AI148" s="146">
        <v>1E-3</v>
      </c>
    </row>
    <row r="149" spans="6:35" x14ac:dyDescent="0.2">
      <c r="G149" s="87" t="s">
        <v>115</v>
      </c>
      <c r="H149" s="289">
        <v>0.48620000000000002</v>
      </c>
      <c r="J149" s="165"/>
      <c r="K149" s="165"/>
      <c r="AI149" s="146"/>
    </row>
    <row r="150" spans="6:35" x14ac:dyDescent="0.2">
      <c r="G150" s="87" t="s">
        <v>58</v>
      </c>
      <c r="H150" s="88">
        <f>0.0022</f>
        <v>2.2000000000000001E-3</v>
      </c>
      <c r="J150" s="166"/>
      <c r="K150" s="166"/>
      <c r="AH150" s="147">
        <v>36192</v>
      </c>
    </row>
    <row r="151" spans="6:35" x14ac:dyDescent="0.2">
      <c r="G151" s="373">
        <v>5.04E-2</v>
      </c>
      <c r="H151" s="418">
        <f>(H3)/(1-G151)-H3</f>
        <v>0.21309604043807884</v>
      </c>
      <c r="J151" s="167"/>
      <c r="K151" s="167"/>
      <c r="AH151" s="148" t="s">
        <v>194</v>
      </c>
      <c r="AI151" s="146">
        <v>4.0000000000000001E-3</v>
      </c>
    </row>
    <row r="152" spans="6:35" x14ac:dyDescent="0.2">
      <c r="G152" s="92"/>
      <c r="H152" s="93">
        <f>SUM(H149:H151)</f>
        <v>0.70149604043807878</v>
      </c>
      <c r="J152" s="167"/>
      <c r="K152" s="167"/>
      <c r="AH152" s="34" t="s">
        <v>195</v>
      </c>
      <c r="AI152" s="146">
        <v>0.01</v>
      </c>
    </row>
    <row r="153" spans="6:35" x14ac:dyDescent="0.2">
      <c r="G153" s="95" t="s">
        <v>36</v>
      </c>
      <c r="H153" s="141" t="s">
        <v>645</v>
      </c>
      <c r="J153" s="169"/>
      <c r="K153" s="169"/>
      <c r="AH153" s="34" t="s">
        <v>196</v>
      </c>
      <c r="AI153" s="146">
        <v>4.0000000000000001E-3</v>
      </c>
    </row>
    <row r="154" spans="6:35" x14ac:dyDescent="0.2">
      <c r="G154" s="87" t="s">
        <v>115</v>
      </c>
      <c r="H154" s="289">
        <v>0.55579999999999996</v>
      </c>
      <c r="J154" s="169"/>
      <c r="K154" s="169"/>
      <c r="AI154" s="146"/>
    </row>
    <row r="155" spans="6:35" x14ac:dyDescent="0.2">
      <c r="G155" s="87" t="s">
        <v>58</v>
      </c>
      <c r="H155" s="88">
        <f>0.0022</f>
        <v>2.2000000000000001E-3</v>
      </c>
      <c r="J155" s="169"/>
      <c r="K155" s="169"/>
      <c r="AH155" s="147">
        <v>36161</v>
      </c>
    </row>
    <row r="156" spans="6:35" x14ac:dyDescent="0.2">
      <c r="G156" s="373">
        <v>5.8000000000000003E-2</v>
      </c>
      <c r="H156" s="418">
        <f>(H3)/(1-G156)-H3</f>
        <v>0.24720806794055239</v>
      </c>
      <c r="J156" s="166"/>
      <c r="K156" s="166"/>
      <c r="AH156" s="148" t="s">
        <v>194</v>
      </c>
      <c r="AI156" s="146">
        <v>3.0000000000000001E-3</v>
      </c>
    </row>
    <row r="157" spans="6:35" x14ac:dyDescent="0.2">
      <c r="G157" s="92"/>
      <c r="H157" s="93">
        <f>SUM(H154:H156)</f>
        <v>0.80520806794055233</v>
      </c>
      <c r="J157" s="167"/>
      <c r="K157" s="167"/>
      <c r="AH157" s="34" t="s">
        <v>195</v>
      </c>
      <c r="AI157" s="146">
        <v>8.0000000000000002E-3</v>
      </c>
    </row>
    <row r="158" spans="6:35" x14ac:dyDescent="0.2">
      <c r="G158" s="95" t="s">
        <v>36</v>
      </c>
      <c r="H158" s="141" t="s">
        <v>664</v>
      </c>
      <c r="J158" s="168"/>
      <c r="K158" s="168"/>
      <c r="AH158" s="34" t="s">
        <v>196</v>
      </c>
      <c r="AI158" s="146">
        <v>3.0000000000000001E-3</v>
      </c>
    </row>
    <row r="159" spans="6:35" x14ac:dyDescent="0.2">
      <c r="G159" s="87" t="s">
        <v>115</v>
      </c>
      <c r="H159" s="289">
        <v>0.62849999999999995</v>
      </c>
      <c r="J159" s="165"/>
      <c r="K159" s="165"/>
      <c r="AI159" s="146"/>
    </row>
    <row r="160" spans="6:35" x14ac:dyDescent="0.2">
      <c r="G160" s="87" t="s">
        <v>58</v>
      </c>
      <c r="H160" s="88">
        <f>0.0022+0.007</f>
        <v>9.1999999999999998E-3</v>
      </c>
      <c r="J160" s="165"/>
      <c r="K160" s="165"/>
      <c r="AH160" s="147">
        <v>36130</v>
      </c>
    </row>
    <row r="161" spans="5:35" x14ac:dyDescent="0.2">
      <c r="E161" s="46"/>
      <c r="G161" s="373">
        <v>7.4200000000000002E-2</v>
      </c>
      <c r="H161" s="418">
        <f>(H3)/(1-G161)-H3</f>
        <v>0.32178980341326469</v>
      </c>
      <c r="J161" s="166"/>
      <c r="K161" s="166"/>
      <c r="AH161" s="148" t="s">
        <v>194</v>
      </c>
      <c r="AI161" s="146">
        <v>2E-3</v>
      </c>
    </row>
    <row r="162" spans="5:35" x14ac:dyDescent="0.2">
      <c r="E162" s="46"/>
      <c r="G162" s="92"/>
      <c r="H162" s="93">
        <f>SUM(H159:H161)</f>
        <v>0.95948980341326462</v>
      </c>
      <c r="J162" s="167"/>
      <c r="K162" s="167"/>
      <c r="AH162" s="34" t="s">
        <v>195</v>
      </c>
      <c r="AI162" s="146">
        <v>8.0000000000000002E-3</v>
      </c>
    </row>
    <row r="163" spans="5:35" x14ac:dyDescent="0.2">
      <c r="E163" s="46"/>
      <c r="G163" s="95" t="s">
        <v>36</v>
      </c>
      <c r="H163" s="141" t="s">
        <v>184</v>
      </c>
      <c r="AH163" s="34" t="s">
        <v>196</v>
      </c>
      <c r="AI163" s="146">
        <v>2E-3</v>
      </c>
    </row>
    <row r="164" spans="5:35" x14ac:dyDescent="0.2">
      <c r="E164" s="46"/>
      <c r="G164" s="87" t="s">
        <v>115</v>
      </c>
      <c r="H164" s="289">
        <f>0.3703-0.0022</f>
        <v>0.36810000000000004</v>
      </c>
      <c r="J164" s="168"/>
      <c r="K164" s="168"/>
      <c r="AI164" s="146"/>
    </row>
    <row r="165" spans="5:35" x14ac:dyDescent="0.2">
      <c r="E165" s="46"/>
      <c r="G165" s="87" t="s">
        <v>58</v>
      </c>
      <c r="H165" s="88">
        <f>0.0022+0+0.0225+0.007</f>
        <v>3.1699999999999999E-2</v>
      </c>
      <c r="J165" s="165"/>
      <c r="K165" s="165"/>
      <c r="AH165" s="147">
        <v>36100</v>
      </c>
    </row>
    <row r="166" spans="5:35" x14ac:dyDescent="0.2">
      <c r="E166" s="46"/>
      <c r="G166" s="373">
        <v>3.6900000000000002E-2</v>
      </c>
      <c r="H166" s="418">
        <f>(H4)/(1-G166)-H4</f>
        <v>0.155937078185028</v>
      </c>
      <c r="J166" s="165"/>
      <c r="K166" s="165"/>
      <c r="AH166" s="148" t="s">
        <v>194</v>
      </c>
      <c r="AI166" s="146">
        <v>3.0000000000000001E-3</v>
      </c>
    </row>
    <row r="167" spans="5:35" x14ac:dyDescent="0.2">
      <c r="E167" s="46"/>
      <c r="G167" s="92"/>
      <c r="H167" s="93">
        <f>SUM(H164:H166)</f>
        <v>0.55573707818502804</v>
      </c>
      <c r="J167" s="166"/>
      <c r="K167" s="166"/>
      <c r="AH167" s="34" t="s">
        <v>195</v>
      </c>
      <c r="AI167" s="146">
        <v>6.0000000000000001E-3</v>
      </c>
    </row>
    <row r="168" spans="5:35" x14ac:dyDescent="0.2">
      <c r="E168" s="46"/>
      <c r="G168" s="95" t="s">
        <v>36</v>
      </c>
      <c r="H168" s="416" t="s">
        <v>635</v>
      </c>
      <c r="J168" s="167"/>
      <c r="K168" s="167"/>
      <c r="AH168" s="34" t="s">
        <v>196</v>
      </c>
      <c r="AI168" s="146">
        <v>3.0000000000000001E-3</v>
      </c>
    </row>
    <row r="169" spans="5:35" x14ac:dyDescent="0.2">
      <c r="G169" s="92" t="s">
        <v>115</v>
      </c>
      <c r="H169" s="289">
        <v>0.42809999999999998</v>
      </c>
      <c r="J169" s="168"/>
      <c r="K169" s="168"/>
      <c r="AI169" s="146"/>
    </row>
    <row r="170" spans="5:35" x14ac:dyDescent="0.2">
      <c r="G170" s="92" t="s">
        <v>58</v>
      </c>
      <c r="H170" s="88">
        <f>0.0022</f>
        <v>2.2000000000000001E-3</v>
      </c>
      <c r="J170" s="165"/>
      <c r="K170" s="165"/>
      <c r="AH170" s="147">
        <v>36069</v>
      </c>
    </row>
    <row r="171" spans="5:35" x14ac:dyDescent="0.2">
      <c r="G171" s="290">
        <v>4.2900000000000001E-2</v>
      </c>
      <c r="H171" s="90">
        <f>(H4)/(1-G171)-H4</f>
        <v>0.18242921324835493</v>
      </c>
      <c r="J171" s="165"/>
      <c r="K171" s="165"/>
      <c r="AH171" s="148" t="s">
        <v>194</v>
      </c>
      <c r="AI171" s="146">
        <v>0</v>
      </c>
    </row>
    <row r="172" spans="5:35" x14ac:dyDescent="0.2">
      <c r="G172" s="92"/>
      <c r="H172" s="93">
        <f>SUM(H169:H171)</f>
        <v>0.61272921324835483</v>
      </c>
      <c r="J172" s="166"/>
      <c r="K172" s="166"/>
      <c r="AH172" s="34" t="s">
        <v>195</v>
      </c>
      <c r="AI172" s="146">
        <v>0</v>
      </c>
    </row>
    <row r="173" spans="5:35" x14ac:dyDescent="0.2">
      <c r="G173" s="95" t="s">
        <v>36</v>
      </c>
      <c r="H173" s="416" t="s">
        <v>639</v>
      </c>
      <c r="J173" s="167"/>
      <c r="K173" s="167"/>
      <c r="AH173" s="34" t="s">
        <v>196</v>
      </c>
      <c r="AI173" s="146">
        <v>0</v>
      </c>
    </row>
    <row r="174" spans="5:35" x14ac:dyDescent="0.2">
      <c r="G174" s="92" t="s">
        <v>115</v>
      </c>
      <c r="H174" s="289">
        <v>0.4955</v>
      </c>
    </row>
    <row r="175" spans="5:35" x14ac:dyDescent="0.2">
      <c r="G175" s="92" t="s">
        <v>58</v>
      </c>
      <c r="H175" s="88">
        <f>0.0022</f>
        <v>2.2000000000000001E-3</v>
      </c>
      <c r="AH175" s="147">
        <v>36039</v>
      </c>
    </row>
    <row r="176" spans="5:35" x14ac:dyDescent="0.2">
      <c r="G176" s="290">
        <v>5.0599999999999999E-2</v>
      </c>
      <c r="H176" s="90">
        <f>(H4)/(1-G176)-H4</f>
        <v>0.21691805350747817</v>
      </c>
      <c r="AH176" s="148" t="s">
        <v>194</v>
      </c>
      <c r="AI176" s="146">
        <v>0</v>
      </c>
    </row>
    <row r="177" spans="2:35" x14ac:dyDescent="0.2">
      <c r="G177" s="92"/>
      <c r="H177" s="93">
        <f>SUM(H174:H176)</f>
        <v>0.7146180535074782</v>
      </c>
      <c r="AH177" s="34" t="s">
        <v>195</v>
      </c>
      <c r="AI177" s="146">
        <v>0</v>
      </c>
    </row>
    <row r="178" spans="2:35" x14ac:dyDescent="0.2">
      <c r="G178" s="95" t="s">
        <v>36</v>
      </c>
      <c r="H178" s="416" t="s">
        <v>642</v>
      </c>
      <c r="AH178" s="34" t="s">
        <v>196</v>
      </c>
      <c r="AI178" s="146">
        <v>0</v>
      </c>
    </row>
    <row r="179" spans="2:35" x14ac:dyDescent="0.2">
      <c r="G179" s="92" t="s">
        <v>115</v>
      </c>
      <c r="H179" s="289">
        <v>0.57010000000000005</v>
      </c>
    </row>
    <row r="180" spans="2:35" x14ac:dyDescent="0.2">
      <c r="G180" s="92" t="s">
        <v>58</v>
      </c>
      <c r="H180" s="88">
        <f>0.0022+0.007</f>
        <v>9.1999999999999998E-3</v>
      </c>
      <c r="AH180" s="147">
        <v>36008</v>
      </c>
    </row>
    <row r="181" spans="2:35" x14ac:dyDescent="0.2">
      <c r="G181" s="290">
        <v>5.9700000000000003E-2</v>
      </c>
      <c r="H181" s="90">
        <f>(H4)/(1-G181)-H4</f>
        <v>0.25840582792725719</v>
      </c>
      <c r="AH181" s="148" t="s">
        <v>194</v>
      </c>
      <c r="AI181" s="146">
        <v>0</v>
      </c>
    </row>
    <row r="182" spans="2:35" x14ac:dyDescent="0.2">
      <c r="G182" s="92"/>
      <c r="H182" s="93">
        <f>SUM(H179:H181)</f>
        <v>0.83770582792725723</v>
      </c>
      <c r="AH182" s="34" t="s">
        <v>195</v>
      </c>
      <c r="AI182" s="146">
        <v>0</v>
      </c>
    </row>
    <row r="183" spans="2:35" x14ac:dyDescent="0.2">
      <c r="G183" s="95" t="s">
        <v>36</v>
      </c>
      <c r="H183" s="416" t="s">
        <v>665</v>
      </c>
      <c r="AH183" s="34" t="s">
        <v>196</v>
      </c>
      <c r="AI183" s="146">
        <v>0</v>
      </c>
    </row>
    <row r="184" spans="2:35" x14ac:dyDescent="0.2">
      <c r="B184" s="385"/>
      <c r="G184" s="92" t="s">
        <v>115</v>
      </c>
      <c r="H184" s="289">
        <v>0.69059999999999999</v>
      </c>
    </row>
    <row r="185" spans="2:35" x14ac:dyDescent="0.2">
      <c r="B185" s="385"/>
      <c r="G185" s="92" t="s">
        <v>58</v>
      </c>
      <c r="H185" s="88">
        <f>0.0022+0.007</f>
        <v>9.1999999999999998E-3</v>
      </c>
      <c r="AH185" s="147">
        <v>35977</v>
      </c>
    </row>
    <row r="186" spans="2:35" x14ac:dyDescent="0.2">
      <c r="G186" s="290">
        <v>6.6699999999999995E-2</v>
      </c>
      <c r="H186" s="90">
        <f>(H3)/(1-G186)-H3</f>
        <v>0.28693935497696366</v>
      </c>
      <c r="AH186" s="148" t="s">
        <v>194</v>
      </c>
      <c r="AI186" s="146">
        <v>0</v>
      </c>
    </row>
    <row r="187" spans="2:35" x14ac:dyDescent="0.2">
      <c r="G187" s="92"/>
      <c r="H187" s="93">
        <f>SUM(H184:H186)</f>
        <v>0.98673935497696363</v>
      </c>
      <c r="AH187" s="34" t="s">
        <v>195</v>
      </c>
      <c r="AI187" s="146">
        <v>0</v>
      </c>
    </row>
    <row r="188" spans="2:35" x14ac:dyDescent="0.2">
      <c r="G188" s="95" t="s">
        <v>36</v>
      </c>
      <c r="H188" s="416" t="s">
        <v>666</v>
      </c>
      <c r="AH188" s="34" t="s">
        <v>196</v>
      </c>
      <c r="AI188" s="146">
        <v>0</v>
      </c>
    </row>
    <row r="189" spans="2:35" x14ac:dyDescent="0.2">
      <c r="G189" s="92" t="s">
        <v>115</v>
      </c>
      <c r="H189" s="289">
        <v>0.31919999999999998</v>
      </c>
    </row>
    <row r="190" spans="2:35" x14ac:dyDescent="0.2">
      <c r="G190" s="92" t="s">
        <v>58</v>
      </c>
      <c r="H190" s="88">
        <f>0.0022+0.007</f>
        <v>9.1999999999999998E-3</v>
      </c>
    </row>
    <row r="191" spans="2:35" x14ac:dyDescent="0.2">
      <c r="G191" s="290">
        <v>1.9199999999999998E-2</v>
      </c>
      <c r="H191" s="90">
        <f>(H5)/(1-G191)-H5</f>
        <v>8.6329526916802735E-2</v>
      </c>
    </row>
    <row r="192" spans="2:35" x14ac:dyDescent="0.2">
      <c r="G192" s="92"/>
      <c r="H192" s="93">
        <f>SUM(H189:H191)</f>
        <v>0.4147295269168027</v>
      </c>
    </row>
    <row r="193" spans="7:8" x14ac:dyDescent="0.2">
      <c r="G193" s="95" t="s">
        <v>36</v>
      </c>
      <c r="H193" s="416" t="s">
        <v>661</v>
      </c>
    </row>
    <row r="194" spans="7:8" x14ac:dyDescent="0.2">
      <c r="G194" s="92" t="s">
        <v>115</v>
      </c>
      <c r="H194" s="289">
        <v>0.36990000000000001</v>
      </c>
    </row>
    <row r="195" spans="7:8" x14ac:dyDescent="0.2">
      <c r="G195" s="92" t="s">
        <v>58</v>
      </c>
      <c r="H195" s="88">
        <f>0.0022+0.007</f>
        <v>9.1999999999999998E-3</v>
      </c>
    </row>
    <row r="196" spans="7:8" x14ac:dyDescent="0.2">
      <c r="G196" s="290">
        <v>2.7400000000000001E-2</v>
      </c>
      <c r="H196" s="90">
        <f>(E5)/(1-G196)-E5</f>
        <v>0.11860374254575312</v>
      </c>
    </row>
    <row r="197" spans="7:8" x14ac:dyDescent="0.2">
      <c r="G197" s="92"/>
      <c r="H197" s="93">
        <f>SUM(H194:H196)</f>
        <v>0.49770374254575311</v>
      </c>
    </row>
    <row r="198" spans="7:8" x14ac:dyDescent="0.2">
      <c r="G198" s="95" t="s">
        <v>36</v>
      </c>
      <c r="H198" s="416" t="s">
        <v>638</v>
      </c>
    </row>
    <row r="199" spans="7:8" x14ac:dyDescent="0.2">
      <c r="G199" s="92" t="s">
        <v>115</v>
      </c>
      <c r="H199" s="289">
        <v>0.19700000000000001</v>
      </c>
    </row>
    <row r="200" spans="7:8" x14ac:dyDescent="0.2">
      <c r="G200" s="92" t="s">
        <v>58</v>
      </c>
      <c r="H200" s="88">
        <f>0.0022+0.007</f>
        <v>9.1999999999999998E-3</v>
      </c>
    </row>
    <row r="201" spans="7:8" x14ac:dyDescent="0.2">
      <c r="G201" s="290">
        <v>1.0699999999999999E-2</v>
      </c>
      <c r="H201" s="90">
        <f>(H5)/(1-G201)-H5</f>
        <v>4.769736177094952E-2</v>
      </c>
    </row>
    <row r="202" spans="7:8" x14ac:dyDescent="0.2">
      <c r="G202" s="92"/>
      <c r="H202" s="93">
        <f>SUM(H199:H201)</f>
        <v>0.25389736177094951</v>
      </c>
    </row>
    <row r="203" spans="7:8" x14ac:dyDescent="0.2">
      <c r="G203" s="95" t="s">
        <v>36</v>
      </c>
      <c r="H203" s="416" t="s">
        <v>187</v>
      </c>
    </row>
    <row r="204" spans="7:8" x14ac:dyDescent="0.2">
      <c r="G204" s="92" t="s">
        <v>115</v>
      </c>
      <c r="H204" s="289">
        <f>0.1786-0.0022</f>
        <v>0.1764</v>
      </c>
    </row>
    <row r="205" spans="7:8" x14ac:dyDescent="0.2">
      <c r="G205" s="92" t="s">
        <v>58</v>
      </c>
      <c r="H205" s="88">
        <f>0.0022+0.007</f>
        <v>9.1999999999999998E-3</v>
      </c>
    </row>
    <row r="206" spans="7:8" x14ac:dyDescent="0.2">
      <c r="G206" s="290">
        <v>1.17E-2</v>
      </c>
      <c r="H206" s="90">
        <f>(H5)/(1-G206)-H5</f>
        <v>5.2207831630072477E-2</v>
      </c>
    </row>
    <row r="207" spans="7:8" x14ac:dyDescent="0.2">
      <c r="G207" s="92"/>
      <c r="H207" s="93">
        <f>SUM(H204:H206)</f>
        <v>0.23780783163007246</v>
      </c>
    </row>
    <row r="208" spans="7:8" x14ac:dyDescent="0.2">
      <c r="G208" s="95" t="s">
        <v>36</v>
      </c>
      <c r="H208" s="416" t="s">
        <v>643</v>
      </c>
    </row>
    <row r="209" spans="7:8" x14ac:dyDescent="0.2">
      <c r="G209" s="92" t="s">
        <v>115</v>
      </c>
      <c r="H209" s="289">
        <v>0.28079999999999999</v>
      </c>
    </row>
    <row r="210" spans="7:8" x14ac:dyDescent="0.2">
      <c r="G210" s="92" t="s">
        <v>58</v>
      </c>
      <c r="H210" s="88">
        <f>0.0022+0.007</f>
        <v>9.1999999999999998E-3</v>
      </c>
    </row>
    <row r="211" spans="7:8" x14ac:dyDescent="0.2">
      <c r="G211" s="290">
        <v>1.8599999999999998E-2</v>
      </c>
      <c r="H211" s="90">
        <f>(H5)/(1-G211)-H5</f>
        <v>8.358059914407967E-2</v>
      </c>
    </row>
    <row r="212" spans="7:8" x14ac:dyDescent="0.2">
      <c r="G212" s="92"/>
      <c r="H212" s="93">
        <f>SUM(H209:H211)</f>
        <v>0.37358059914407965</v>
      </c>
    </row>
    <row r="213" spans="7:8" x14ac:dyDescent="0.2">
      <c r="G213" s="95" t="s">
        <v>36</v>
      </c>
      <c r="H213" s="416" t="s">
        <v>655</v>
      </c>
    </row>
    <row r="214" spans="7:8" x14ac:dyDescent="0.2">
      <c r="G214" s="92" t="s">
        <v>115</v>
      </c>
      <c r="H214" s="289">
        <v>0.48980000000000001</v>
      </c>
    </row>
    <row r="215" spans="7:8" x14ac:dyDescent="0.2">
      <c r="G215" s="92" t="s">
        <v>58</v>
      </c>
      <c r="H215" s="88">
        <f>0.0022+0.007</f>
        <v>9.1999999999999998E-3</v>
      </c>
    </row>
    <row r="216" spans="7:8" x14ac:dyDescent="0.2">
      <c r="G216" s="290">
        <v>3.9300000000000002E-2</v>
      </c>
      <c r="H216" s="90">
        <f>(H5)/(1-G216)-H5</f>
        <v>0.18040283126886614</v>
      </c>
    </row>
    <row r="217" spans="7:8" x14ac:dyDescent="0.2">
      <c r="G217" s="92"/>
      <c r="H217" s="93">
        <f>SUM(H214:H216)</f>
        <v>0.67940283126886614</v>
      </c>
    </row>
    <row r="218" spans="7:8" x14ac:dyDescent="0.2">
      <c r="G218" s="95" t="s">
        <v>36</v>
      </c>
      <c r="H218" s="416" t="s">
        <v>654</v>
      </c>
    </row>
    <row r="219" spans="7:8" x14ac:dyDescent="0.2">
      <c r="G219" s="92" t="s">
        <v>115</v>
      </c>
      <c r="H219" s="289">
        <v>0.31919999999999998</v>
      </c>
    </row>
    <row r="220" spans="7:8" x14ac:dyDescent="0.2">
      <c r="G220" s="92" t="s">
        <v>58</v>
      </c>
      <c r="H220" s="88">
        <f>0.0022+0.007</f>
        <v>9.1999999999999998E-3</v>
      </c>
    </row>
    <row r="221" spans="7:8" x14ac:dyDescent="0.2">
      <c r="G221" s="290">
        <v>2.1999999999999999E-2</v>
      </c>
      <c r="H221" s="90">
        <f>(H5)/(1-G221)-H5</f>
        <v>9.9202453987730088E-2</v>
      </c>
    </row>
    <row r="222" spans="7:8" x14ac:dyDescent="0.2">
      <c r="G222" s="92"/>
      <c r="H222" s="93">
        <f>SUM(H219:H221)</f>
        <v>0.42760245398773006</v>
      </c>
    </row>
    <row r="223" spans="7:8" x14ac:dyDescent="0.2">
      <c r="G223" s="95" t="s">
        <v>36</v>
      </c>
      <c r="H223" s="416" t="s">
        <v>641</v>
      </c>
    </row>
    <row r="224" spans="7:8" x14ac:dyDescent="0.2">
      <c r="G224" s="92" t="s">
        <v>115</v>
      </c>
      <c r="H224" s="289">
        <v>0.28079999999999999</v>
      </c>
    </row>
    <row r="225" spans="7:9" x14ac:dyDescent="0.2">
      <c r="G225" s="92" t="s">
        <v>58</v>
      </c>
      <c r="H225" s="88">
        <f>0.0022+0.007</f>
        <v>9.1999999999999998E-3</v>
      </c>
    </row>
    <row r="226" spans="7:9" x14ac:dyDescent="0.2">
      <c r="G226" s="290">
        <v>1.2699999999999999E-2</v>
      </c>
      <c r="H226" s="90">
        <f>(H5)/(1-G226)-H5</f>
        <v>5.6727438468550773E-2</v>
      </c>
    </row>
    <row r="227" spans="7:9" x14ac:dyDescent="0.2">
      <c r="G227" s="92"/>
      <c r="H227" s="93">
        <f>SUM(H224:H226)</f>
        <v>0.34672743846855075</v>
      </c>
    </row>
    <row r="228" spans="7:9" x14ac:dyDescent="0.2">
      <c r="G228" s="95" t="s">
        <v>36</v>
      </c>
      <c r="H228" s="416" t="s">
        <v>644</v>
      </c>
    </row>
    <row r="229" spans="7:9" x14ac:dyDescent="0.2">
      <c r="G229" s="92" t="s">
        <v>115</v>
      </c>
      <c r="H229" s="289">
        <v>0.21029999999999999</v>
      </c>
    </row>
    <row r="230" spans="7:9" x14ac:dyDescent="0.2">
      <c r="G230" s="92" t="s">
        <v>58</v>
      </c>
      <c r="H230" s="88">
        <f>0.0022+0.007</f>
        <v>9.1999999999999998E-3</v>
      </c>
    </row>
    <row r="231" spans="7:9" x14ac:dyDescent="0.2">
      <c r="G231" s="290">
        <v>8.5000000000000006E-3</v>
      </c>
      <c r="H231" s="90">
        <f>(H5)/(1-G231)-H5</f>
        <v>3.7806354009076948E-2</v>
      </c>
    </row>
    <row r="232" spans="7:9" x14ac:dyDescent="0.2">
      <c r="G232" s="92"/>
      <c r="H232" s="93">
        <f>SUM(H229:H231)</f>
        <v>0.25730635400907692</v>
      </c>
    </row>
    <row r="233" spans="7:9" x14ac:dyDescent="0.2">
      <c r="G233" s="46" t="s">
        <v>682</v>
      </c>
      <c r="H233" s="46"/>
    </row>
    <row r="234" spans="7:9" x14ac:dyDescent="0.2">
      <c r="G234" s="445" t="s">
        <v>36</v>
      </c>
      <c r="H234" s="446" t="s">
        <v>674</v>
      </c>
      <c r="I234" s="127"/>
    </row>
    <row r="235" spans="7:9" x14ac:dyDescent="0.2">
      <c r="G235" s="447" t="s">
        <v>115</v>
      </c>
      <c r="H235" s="448">
        <v>3.5000000000000003E-2</v>
      </c>
      <c r="I235" s="127"/>
    </row>
    <row r="236" spans="7:9" x14ac:dyDescent="0.2">
      <c r="G236" s="447" t="s">
        <v>58</v>
      </c>
      <c r="H236" s="449">
        <v>0</v>
      </c>
      <c r="I236" s="127"/>
    </row>
    <row r="237" spans="7:9" x14ac:dyDescent="0.2">
      <c r="G237" s="450">
        <v>8.3999999999999995E-3</v>
      </c>
      <c r="H237" s="451">
        <f>(H$3)/(1-G237)-H$3</f>
        <v>3.4011698265429047E-2</v>
      </c>
      <c r="I237" s="127"/>
    </row>
    <row r="238" spans="7:9" x14ac:dyDescent="0.2">
      <c r="G238" s="447"/>
      <c r="H238" s="452">
        <f>SUM(H235:H237)</f>
        <v>6.901169826542905E-2</v>
      </c>
      <c r="I238" s="127"/>
    </row>
    <row r="239" spans="7:9" x14ac:dyDescent="0.2">
      <c r="G239" s="453"/>
      <c r="H239" s="453"/>
      <c r="I239" s="127"/>
    </row>
    <row r="240" spans="7:9" x14ac:dyDescent="0.2">
      <c r="G240" s="445" t="s">
        <v>36</v>
      </c>
      <c r="H240" s="446" t="s">
        <v>675</v>
      </c>
      <c r="I240" s="127"/>
    </row>
    <row r="241" spans="7:9" x14ac:dyDescent="0.2">
      <c r="G241" s="447" t="s">
        <v>115</v>
      </c>
      <c r="H241" s="448">
        <v>3.5000000000000003E-2</v>
      </c>
      <c r="I241" s="127"/>
    </row>
    <row r="242" spans="7:9" x14ac:dyDescent="0.2">
      <c r="G242" s="447" t="s">
        <v>58</v>
      </c>
      <c r="H242" s="449">
        <v>0</v>
      </c>
      <c r="I242" s="127"/>
    </row>
    <row r="243" spans="7:9" x14ac:dyDescent="0.2">
      <c r="G243" s="450">
        <v>2.4400000000000002E-2</v>
      </c>
      <c r="H243" s="451">
        <f>(H$3)/(1-G243)-H$3</f>
        <v>0.10041615416154137</v>
      </c>
      <c r="I243" s="127"/>
    </row>
    <row r="244" spans="7:9" x14ac:dyDescent="0.2">
      <c r="G244" s="447"/>
      <c r="H244" s="452">
        <f>SUM(H241:H243)</f>
        <v>0.13541615416154137</v>
      </c>
      <c r="I244" s="127"/>
    </row>
    <row r="245" spans="7:9" x14ac:dyDescent="0.2">
      <c r="G245" s="454"/>
      <c r="H245" s="454"/>
      <c r="I245" s="127"/>
    </row>
    <row r="246" spans="7:9" x14ac:dyDescent="0.2">
      <c r="G246" s="445" t="s">
        <v>36</v>
      </c>
      <c r="H246" s="446" t="s">
        <v>680</v>
      </c>
      <c r="I246" s="127"/>
    </row>
    <row r="247" spans="7:9" x14ac:dyDescent="0.2">
      <c r="G247" s="447" t="s">
        <v>115</v>
      </c>
      <c r="H247" s="448">
        <v>3.5000000000000003E-2</v>
      </c>
      <c r="I247" s="127"/>
    </row>
    <row r="248" spans="7:9" x14ac:dyDescent="0.2">
      <c r="G248" s="447" t="s">
        <v>58</v>
      </c>
      <c r="H248" s="449">
        <v>0</v>
      </c>
      <c r="I248" s="127"/>
    </row>
    <row r="249" spans="7:9" x14ac:dyDescent="0.2">
      <c r="G249" s="450">
        <v>4.4299999999999999E-2</v>
      </c>
      <c r="H249" s="451">
        <f>(H$3)/(1-G249)-H$3</f>
        <v>0.18610913466569023</v>
      </c>
      <c r="I249" s="127"/>
    </row>
    <row r="250" spans="7:9" x14ac:dyDescent="0.2">
      <c r="G250" s="447"/>
      <c r="H250" s="452">
        <f>SUM(H247:H249)</f>
        <v>0.22110913466569024</v>
      </c>
      <c r="I250" s="127"/>
    </row>
    <row r="251" spans="7:9" x14ac:dyDescent="0.2">
      <c r="G251" s="454"/>
      <c r="H251" s="454"/>
      <c r="I251" s="127"/>
    </row>
    <row r="252" spans="7:9" x14ac:dyDescent="0.2">
      <c r="G252" s="445" t="s">
        <v>36</v>
      </c>
      <c r="H252" s="446" t="s">
        <v>681</v>
      </c>
      <c r="I252" s="127"/>
    </row>
    <row r="253" spans="7:9" x14ac:dyDescent="0.2">
      <c r="G253" s="447" t="s">
        <v>115</v>
      </c>
      <c r="H253" s="448">
        <v>3.5000000000000003E-2</v>
      </c>
      <c r="I253" s="127"/>
    </row>
    <row r="254" spans="7:9" x14ac:dyDescent="0.2">
      <c r="G254" s="447" t="s">
        <v>58</v>
      </c>
      <c r="H254" s="449">
        <v>0</v>
      </c>
      <c r="I254" s="127"/>
    </row>
    <row r="255" spans="7:9" x14ac:dyDescent="0.2">
      <c r="G255" s="450">
        <v>5.04E-2</v>
      </c>
      <c r="H255" s="451">
        <f>(H$3)/(1-G255)-H$3</f>
        <v>0.21309604043807884</v>
      </c>
      <c r="I255" s="127"/>
    </row>
    <row r="256" spans="7:9" x14ac:dyDescent="0.2">
      <c r="G256" s="447"/>
      <c r="H256" s="452">
        <f>SUM(H253:H255)</f>
        <v>0.24809604043807884</v>
      </c>
      <c r="I256" s="127"/>
    </row>
    <row r="257" spans="7:9" x14ac:dyDescent="0.2">
      <c r="G257" s="454"/>
      <c r="H257" s="454"/>
      <c r="I257" s="127"/>
    </row>
    <row r="258" spans="7:9" x14ac:dyDescent="0.2">
      <c r="G258" s="445" t="s">
        <v>36</v>
      </c>
      <c r="H258" s="446" t="s">
        <v>676</v>
      </c>
      <c r="I258" s="127"/>
    </row>
    <row r="259" spans="7:9" x14ac:dyDescent="0.2">
      <c r="G259" s="447" t="s">
        <v>115</v>
      </c>
      <c r="H259" s="448">
        <v>3.5000000000000003E-2</v>
      </c>
      <c r="I259" s="127"/>
    </row>
    <row r="260" spans="7:9" x14ac:dyDescent="0.2">
      <c r="G260" s="447" t="s">
        <v>58</v>
      </c>
      <c r="H260" s="449">
        <v>0</v>
      </c>
      <c r="I260" s="127"/>
    </row>
    <row r="261" spans="7:9" x14ac:dyDescent="0.2">
      <c r="G261" s="450">
        <v>9.4999999999999998E-3</v>
      </c>
      <c r="H261" s="451">
        <f>(H$4)/(1-G261)-H$4</f>
        <v>3.9035840484603845E-2</v>
      </c>
      <c r="I261" s="127"/>
    </row>
    <row r="262" spans="7:9" x14ac:dyDescent="0.2">
      <c r="G262" s="447"/>
      <c r="H262" s="452">
        <f>SUM(H259:H261)</f>
        <v>7.4035840484603849E-2</v>
      </c>
      <c r="I262" s="127"/>
    </row>
    <row r="263" spans="7:9" x14ac:dyDescent="0.2">
      <c r="G263" s="454"/>
      <c r="H263" s="454"/>
      <c r="I263" s="127"/>
    </row>
    <row r="264" spans="7:9" x14ac:dyDescent="0.2">
      <c r="G264" s="445" t="s">
        <v>36</v>
      </c>
      <c r="H264" s="446" t="s">
        <v>677</v>
      </c>
      <c r="I264" s="127"/>
    </row>
    <row r="265" spans="7:9" x14ac:dyDescent="0.2">
      <c r="G265" s="447" t="s">
        <v>115</v>
      </c>
      <c r="H265" s="448">
        <v>3.5000000000000003E-2</v>
      </c>
      <c r="I265" s="127"/>
    </row>
    <row r="266" spans="7:9" x14ac:dyDescent="0.2">
      <c r="G266" s="447" t="s">
        <v>58</v>
      </c>
      <c r="H266" s="449">
        <v>0</v>
      </c>
      <c r="I266" s="127"/>
    </row>
    <row r="267" spans="7:9" x14ac:dyDescent="0.2">
      <c r="G267" s="450">
        <v>1.7000000000000001E-2</v>
      </c>
      <c r="H267" s="451">
        <f>(H$4)/(1-G267)-H$4</f>
        <v>7.0386571719226687E-2</v>
      </c>
      <c r="I267" s="127"/>
    </row>
    <row r="268" spans="7:9" x14ac:dyDescent="0.2">
      <c r="G268" s="447"/>
      <c r="H268" s="452">
        <f>SUM(H265:H267)</f>
        <v>0.10538657171922669</v>
      </c>
      <c r="I268" s="127"/>
    </row>
    <row r="269" spans="7:9" x14ac:dyDescent="0.2">
      <c r="G269" s="454"/>
      <c r="H269" s="454"/>
      <c r="I269" s="127"/>
    </row>
    <row r="270" spans="7:9" x14ac:dyDescent="0.2">
      <c r="G270" s="445" t="s">
        <v>36</v>
      </c>
      <c r="H270" s="446" t="s">
        <v>678</v>
      </c>
      <c r="I270" s="127"/>
    </row>
    <row r="271" spans="7:9" x14ac:dyDescent="0.2">
      <c r="G271" s="447" t="s">
        <v>115</v>
      </c>
      <c r="H271" s="448">
        <v>3.5000000000000003E-2</v>
      </c>
      <c r="I271" s="127"/>
    </row>
    <row r="272" spans="7:9" x14ac:dyDescent="0.2">
      <c r="G272" s="447" t="s">
        <v>58</v>
      </c>
      <c r="H272" s="449">
        <v>0</v>
      </c>
      <c r="I272" s="127"/>
    </row>
    <row r="273" spans="7:9" x14ac:dyDescent="0.2">
      <c r="G273" s="450">
        <v>3.6900000000000002E-2</v>
      </c>
      <c r="H273" s="451">
        <f>(H$4)/(1-G273)-H$4</f>
        <v>0.155937078185028</v>
      </c>
      <c r="I273" s="127"/>
    </row>
    <row r="274" spans="7:9" x14ac:dyDescent="0.2">
      <c r="G274" s="447"/>
      <c r="H274" s="452">
        <f>SUM(H271:H273)</f>
        <v>0.190937078185028</v>
      </c>
      <c r="I274" s="127"/>
    </row>
    <row r="275" spans="7:9" x14ac:dyDescent="0.2">
      <c r="G275" s="454"/>
      <c r="H275" s="454"/>
      <c r="I275" s="127"/>
    </row>
    <row r="276" spans="7:9" x14ac:dyDescent="0.2">
      <c r="G276" s="445" t="s">
        <v>36</v>
      </c>
      <c r="H276" s="446" t="s">
        <v>679</v>
      </c>
      <c r="I276" s="127"/>
    </row>
    <row r="277" spans="7:9" x14ac:dyDescent="0.2">
      <c r="G277" s="447" t="s">
        <v>115</v>
      </c>
      <c r="H277" s="448">
        <v>3.5000000000000003E-2</v>
      </c>
      <c r="I277" s="127"/>
    </row>
    <row r="278" spans="7:9" x14ac:dyDescent="0.2">
      <c r="G278" s="447" t="s">
        <v>58</v>
      </c>
      <c r="H278" s="449">
        <v>0</v>
      </c>
      <c r="I278" s="127"/>
    </row>
    <row r="279" spans="7:9" x14ac:dyDescent="0.2">
      <c r="G279" s="450">
        <v>4.2900000000000001E-2</v>
      </c>
      <c r="H279" s="451">
        <f>(H$4)/(1-G279)-H$4</f>
        <v>0.18242921324835493</v>
      </c>
      <c r="I279" s="127"/>
    </row>
    <row r="280" spans="7:9" x14ac:dyDescent="0.2">
      <c r="G280" s="447"/>
      <c r="H280" s="452">
        <f>SUM(H277:H279)</f>
        <v>0.21742921324835493</v>
      </c>
      <c r="I280" s="127"/>
    </row>
  </sheetData>
  <phoneticPr fontId="0" type="noConversion"/>
  <pageMargins left="0.75" right="0.75" top="0.5" bottom="0.5" header="0.5" footer="0.5"/>
  <pageSetup paperSize="5" scale="98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4"/>
  <sheetViews>
    <sheetView workbookViewId="0">
      <selection activeCell="K10" sqref="K10"/>
    </sheetView>
  </sheetViews>
  <sheetFormatPr defaultRowHeight="12.75" x14ac:dyDescent="0.2"/>
  <cols>
    <col min="1" max="1" width="18.42578125" style="389" customWidth="1"/>
    <col min="3" max="4" width="8.85546875" style="389" customWidth="1"/>
    <col min="5" max="5" width="8.85546875" style="390" customWidth="1"/>
    <col min="6" max="6" width="8.85546875" style="389" customWidth="1"/>
    <col min="7" max="10" width="8.85546875" customWidth="1"/>
  </cols>
  <sheetData>
    <row r="1" spans="1:14" x14ac:dyDescent="0.2">
      <c r="A1" s="389" t="s">
        <v>686</v>
      </c>
      <c r="B1" t="s">
        <v>687</v>
      </c>
    </row>
    <row r="2" spans="1:14" x14ac:dyDescent="0.2">
      <c r="B2" t="s">
        <v>688</v>
      </c>
    </row>
    <row r="3" spans="1:14" x14ac:dyDescent="0.2">
      <c r="B3" t="s">
        <v>689</v>
      </c>
    </row>
    <row r="4" spans="1:14" x14ac:dyDescent="0.2">
      <c r="B4" t="s">
        <v>690</v>
      </c>
    </row>
    <row r="7" spans="1:14" x14ac:dyDescent="0.2">
      <c r="B7" s="153" t="s">
        <v>691</v>
      </c>
      <c r="C7" s="463"/>
      <c r="D7" s="463"/>
      <c r="E7" s="463"/>
      <c r="F7" s="463"/>
      <c r="G7" s="153"/>
      <c r="H7" s="153"/>
      <c r="I7" s="153"/>
      <c r="M7">
        <v>13973</v>
      </c>
      <c r="N7">
        <v>32603</v>
      </c>
    </row>
    <row r="8" spans="1:14" x14ac:dyDescent="0.2">
      <c r="B8" s="153"/>
      <c r="C8" s="463"/>
      <c r="D8" s="464" t="s">
        <v>693</v>
      </c>
      <c r="E8" s="465"/>
      <c r="F8" s="465"/>
      <c r="G8" s="465"/>
      <c r="H8" s="465"/>
      <c r="I8" s="466"/>
      <c r="M8">
        <v>14904</v>
      </c>
      <c r="N8">
        <v>34776</v>
      </c>
    </row>
    <row r="9" spans="1:14" x14ac:dyDescent="0.2">
      <c r="B9" s="153"/>
      <c r="C9" s="463"/>
      <c r="D9" s="467">
        <v>1</v>
      </c>
      <c r="E9" s="468">
        <v>2</v>
      </c>
      <c r="F9" s="467">
        <v>3</v>
      </c>
      <c r="G9" s="469">
        <v>4</v>
      </c>
      <c r="H9" s="469">
        <v>5</v>
      </c>
      <c r="I9" s="469">
        <v>6</v>
      </c>
      <c r="M9">
        <v>9559</v>
      </c>
      <c r="N9">
        <v>22304</v>
      </c>
    </row>
    <row r="10" spans="1:14" x14ac:dyDescent="0.2">
      <c r="B10" s="153"/>
      <c r="C10" s="463" t="s">
        <v>692</v>
      </c>
      <c r="D10" s="463"/>
      <c r="E10" s="470"/>
      <c r="F10" s="463"/>
      <c r="G10" s="153"/>
      <c r="H10" s="153"/>
      <c r="I10" s="153"/>
      <c r="M10">
        <v>14850</v>
      </c>
      <c r="N10">
        <v>34650</v>
      </c>
    </row>
    <row r="11" spans="1:14" x14ac:dyDescent="0.2">
      <c r="B11" s="153"/>
      <c r="C11" s="463">
        <v>1</v>
      </c>
      <c r="D11" s="471">
        <v>3.5999999999999999E-3</v>
      </c>
      <c r="E11" s="472">
        <v>8.2000000000000007E-3</v>
      </c>
      <c r="F11" s="471">
        <v>1.2699999999999999E-2</v>
      </c>
      <c r="G11" s="473">
        <v>3.2000000000000001E-2</v>
      </c>
      <c r="H11" s="473">
        <v>4.7500000000000001E-2</v>
      </c>
      <c r="I11" s="473">
        <v>5.6000000000000001E-2</v>
      </c>
      <c r="M11">
        <v>29700</v>
      </c>
      <c r="N11">
        <v>69300</v>
      </c>
    </row>
    <row r="12" spans="1:14" x14ac:dyDescent="0.2">
      <c r="B12" s="153"/>
      <c r="C12" s="463"/>
      <c r="D12" s="471"/>
      <c r="E12" s="472"/>
      <c r="F12" s="471"/>
      <c r="G12" s="473"/>
      <c r="H12" s="473"/>
      <c r="I12" s="473"/>
      <c r="M12">
        <v>6282</v>
      </c>
      <c r="N12">
        <v>14658</v>
      </c>
    </row>
    <row r="13" spans="1:14" x14ac:dyDescent="0.2">
      <c r="B13" s="153"/>
      <c r="C13" s="463">
        <v>2</v>
      </c>
      <c r="D13" s="471"/>
      <c r="E13" s="472">
        <v>4.5999999999999999E-3</v>
      </c>
      <c r="F13" s="471">
        <v>9.1000000000000004E-3</v>
      </c>
      <c r="G13" s="473">
        <v>2.8400000000000002E-2</v>
      </c>
      <c r="H13" s="473">
        <v>4.3900000000000002E-2</v>
      </c>
      <c r="I13" s="473">
        <v>5.2400000000000002E-2</v>
      </c>
      <c r="M13">
        <v>89</v>
      </c>
      <c r="N13">
        <v>209</v>
      </c>
    </row>
    <row r="14" spans="1:14" x14ac:dyDescent="0.2">
      <c r="B14" s="153"/>
      <c r="C14" s="463" t="s">
        <v>45</v>
      </c>
      <c r="D14" s="471"/>
      <c r="E14" s="472"/>
      <c r="F14" s="471"/>
      <c r="G14" s="473"/>
      <c r="H14" s="473"/>
      <c r="I14" s="473"/>
      <c r="M14">
        <f>SUM(M7:M13)</f>
        <v>89357</v>
      </c>
      <c r="N14">
        <f>SUM(N7:N13)</f>
        <v>208500</v>
      </c>
    </row>
    <row r="15" spans="1:14" x14ac:dyDescent="0.2">
      <c r="B15" s="153"/>
      <c r="C15" s="463">
        <v>3</v>
      </c>
      <c r="D15" s="471"/>
      <c r="E15" s="472"/>
      <c r="F15" s="471">
        <v>4.4999999999999997E-3</v>
      </c>
      <c r="G15" s="473">
        <v>2.3800000000000002E-2</v>
      </c>
      <c r="H15" s="473">
        <v>3.9300000000000002E-2</v>
      </c>
      <c r="I15" s="473">
        <v>4.7800000000000002E-2</v>
      </c>
      <c r="M15">
        <f>+M14+N14</f>
        <v>297857</v>
      </c>
    </row>
    <row r="16" spans="1:14" x14ac:dyDescent="0.2">
      <c r="B16" s="153"/>
      <c r="C16" s="463"/>
      <c r="D16" s="471"/>
      <c r="E16" s="472"/>
      <c r="F16" s="471"/>
      <c r="G16" s="473"/>
      <c r="H16" s="473"/>
      <c r="I16" s="473"/>
    </row>
    <row r="17" spans="2:9" x14ac:dyDescent="0.2">
      <c r="B17" s="153"/>
      <c r="C17" s="463">
        <v>4</v>
      </c>
      <c r="D17" s="471"/>
      <c r="E17" s="472"/>
      <c r="F17" s="471"/>
      <c r="G17" s="473">
        <v>1.9300000000000001E-2</v>
      </c>
      <c r="H17" s="473">
        <v>3.4799999999999998E-2</v>
      </c>
      <c r="I17" s="473">
        <v>4.3299999999999998E-2</v>
      </c>
    </row>
    <row r="18" spans="2:9" x14ac:dyDescent="0.2">
      <c r="B18" s="153"/>
      <c r="C18" s="463"/>
      <c r="D18" s="471"/>
      <c r="E18" s="472"/>
      <c r="F18" s="471"/>
      <c r="G18" s="473"/>
      <c r="H18" s="473"/>
      <c r="I18" s="473"/>
    </row>
    <row r="19" spans="2:9" x14ac:dyDescent="0.2">
      <c r="B19" s="153"/>
      <c r="C19" s="463">
        <v>5</v>
      </c>
      <c r="D19" s="471"/>
      <c r="E19" s="472"/>
      <c r="F19" s="471"/>
      <c r="G19" s="473"/>
      <c r="H19" s="473">
        <v>1.55E-2</v>
      </c>
      <c r="I19" s="473">
        <v>2.4E-2</v>
      </c>
    </row>
    <row r="20" spans="2:9" x14ac:dyDescent="0.2">
      <c r="B20" s="153"/>
      <c r="C20" s="463"/>
      <c r="D20" s="471"/>
      <c r="E20" s="472"/>
      <c r="F20" s="471"/>
      <c r="G20" s="473"/>
      <c r="H20" s="473"/>
      <c r="I20" s="473"/>
    </row>
    <row r="21" spans="2:9" x14ac:dyDescent="0.2">
      <c r="B21" s="153"/>
      <c r="C21" s="463">
        <v>6</v>
      </c>
      <c r="D21" s="471"/>
      <c r="E21" s="472"/>
      <c r="F21" s="471"/>
      <c r="G21" s="473"/>
      <c r="H21" s="473"/>
      <c r="I21" s="473">
        <v>8.5000000000000006E-3</v>
      </c>
    </row>
    <row r="22" spans="2:9" x14ac:dyDescent="0.2">
      <c r="B22" s="153"/>
      <c r="C22" s="463"/>
      <c r="D22" s="471"/>
      <c r="E22" s="472"/>
      <c r="F22" s="471"/>
      <c r="G22" s="473"/>
      <c r="H22" s="473"/>
      <c r="I22" s="473"/>
    </row>
    <row r="23" spans="2:9" x14ac:dyDescent="0.2">
      <c r="B23" s="153"/>
      <c r="C23" s="463"/>
      <c r="D23" s="463"/>
      <c r="E23" s="470"/>
      <c r="F23" s="463"/>
      <c r="G23" s="153"/>
      <c r="H23" s="153"/>
      <c r="I23" s="153"/>
    </row>
    <row r="24" spans="2:9" x14ac:dyDescent="0.2">
      <c r="B24" s="153"/>
      <c r="C24" s="470" t="s">
        <v>694</v>
      </c>
      <c r="D24" s="463"/>
      <c r="E24" s="470"/>
      <c r="F24" s="463"/>
      <c r="G24" s="153"/>
      <c r="H24" s="153"/>
      <c r="I24" s="153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280"/>
  <sheetViews>
    <sheetView topLeftCell="A2" workbookViewId="0">
      <selection activeCell="B13" sqref="B13"/>
    </sheetView>
  </sheetViews>
  <sheetFormatPr defaultRowHeight="12.75" x14ac:dyDescent="0.2"/>
  <cols>
    <col min="1" max="2" width="10.85546875" style="34" customWidth="1"/>
    <col min="3" max="3" width="2.85546875" style="34" customWidth="1"/>
    <col min="4" max="5" width="10.85546875" style="34" customWidth="1"/>
    <col min="6" max="6" width="2.85546875" style="34" customWidth="1"/>
    <col min="7" max="8" width="10.85546875" style="34" customWidth="1"/>
    <col min="9" max="9" width="2.85546875" style="34" customWidth="1"/>
    <col min="10" max="11" width="0" style="161" hidden="1" customWidth="1"/>
    <col min="12" max="12" width="3.42578125" style="34" hidden="1" customWidth="1"/>
    <col min="13" max="14" width="0" style="161" hidden="1" customWidth="1"/>
    <col min="15" max="15" width="3.42578125" style="34" hidden="1" customWidth="1"/>
    <col min="16" max="17" width="9.140625" style="34"/>
  </cols>
  <sheetData>
    <row r="1" spans="1:17" ht="13.5" thickBot="1" x14ac:dyDescent="0.25">
      <c r="M1" s="391"/>
      <c r="N1" s="391"/>
    </row>
    <row r="2" spans="1:17" ht="13.5" thickTop="1" x14ac:dyDescent="0.2">
      <c r="A2" s="82" t="s">
        <v>45</v>
      </c>
      <c r="B2" s="411"/>
      <c r="C2" s="82"/>
      <c r="D2" s="83"/>
      <c r="E2" s="127"/>
      <c r="F2" s="82"/>
      <c r="G2" s="82"/>
      <c r="H2" s="422" t="s">
        <v>87</v>
      </c>
      <c r="I2" s="82"/>
      <c r="M2" s="391"/>
      <c r="N2" s="391"/>
    </row>
    <row r="3" spans="1:17" x14ac:dyDescent="0.2">
      <c r="A3" s="101" t="s">
        <v>89</v>
      </c>
      <c r="B3" s="412">
        <v>5.0650000000000004</v>
      </c>
      <c r="C3" s="82"/>
      <c r="D3" s="83" t="s">
        <v>75</v>
      </c>
      <c r="E3" s="127">
        <v>5.0199999999999996</v>
      </c>
      <c r="F3" s="82"/>
      <c r="G3" s="83" t="s">
        <v>75</v>
      </c>
      <c r="H3" s="423">
        <f>+E3</f>
        <v>5.0199999999999996</v>
      </c>
      <c r="I3" s="82"/>
      <c r="J3" s="201" t="s">
        <v>255</v>
      </c>
      <c r="K3" s="247">
        <v>4.88</v>
      </c>
      <c r="M3" s="396" t="s">
        <v>91</v>
      </c>
      <c r="N3" s="397">
        <v>2.97</v>
      </c>
      <c r="P3" s="65" t="s">
        <v>255</v>
      </c>
      <c r="Q3" s="128">
        <v>5.1449999999999996</v>
      </c>
    </row>
    <row r="4" spans="1:17" x14ac:dyDescent="0.2">
      <c r="A4" s="101" t="s">
        <v>93</v>
      </c>
      <c r="B4" s="156">
        <v>5.1100000000000003</v>
      </c>
      <c r="C4" s="82"/>
      <c r="D4" s="83" t="s">
        <v>76</v>
      </c>
      <c r="E4" s="127">
        <v>5.03</v>
      </c>
      <c r="F4" s="82"/>
      <c r="G4" s="83" t="s">
        <v>76</v>
      </c>
      <c r="H4" s="423">
        <f>+E4</f>
        <v>5.03</v>
      </c>
      <c r="I4" s="82"/>
      <c r="J4" s="201" t="s">
        <v>256</v>
      </c>
      <c r="M4" s="401" t="s">
        <v>256</v>
      </c>
      <c r="N4" s="391"/>
      <c r="P4" s="65" t="s">
        <v>257</v>
      </c>
    </row>
    <row r="5" spans="1:17" x14ac:dyDescent="0.2">
      <c r="A5" s="101" t="s">
        <v>74</v>
      </c>
      <c r="B5" s="157">
        <v>5.59</v>
      </c>
      <c r="C5" s="82"/>
      <c r="D5" s="83" t="s">
        <v>95</v>
      </c>
      <c r="E5" s="413">
        <v>4.95</v>
      </c>
      <c r="F5" s="82"/>
      <c r="G5" s="83" t="s">
        <v>95</v>
      </c>
      <c r="H5" s="423">
        <f>+E5</f>
        <v>4.95</v>
      </c>
      <c r="I5" s="82"/>
      <c r="M5" s="391"/>
      <c r="N5" s="391"/>
    </row>
    <row r="6" spans="1:17" x14ac:dyDescent="0.2">
      <c r="A6" s="75"/>
      <c r="B6" s="75"/>
      <c r="C6" s="114"/>
      <c r="D6" s="101" t="s">
        <v>97</v>
      </c>
      <c r="E6" s="405">
        <v>5.0999999999999996</v>
      </c>
      <c r="F6" s="114"/>
      <c r="G6" s="101" t="s">
        <v>97</v>
      </c>
      <c r="H6" s="423">
        <f>+E6</f>
        <v>5.0999999999999996</v>
      </c>
      <c r="I6" s="114"/>
      <c r="J6" s="196"/>
      <c r="K6" s="196"/>
      <c r="L6" s="75"/>
      <c r="M6" s="394"/>
      <c r="N6" s="394"/>
      <c r="O6" s="75"/>
      <c r="P6" s="75"/>
      <c r="Q6" s="75"/>
    </row>
    <row r="7" spans="1:17" x14ac:dyDescent="0.2">
      <c r="A7" s="67"/>
      <c r="B7" s="67"/>
      <c r="C7" s="116"/>
      <c r="D7" s="115" t="s">
        <v>91</v>
      </c>
      <c r="E7" s="414">
        <v>5.6950000000000003</v>
      </c>
      <c r="F7" s="116"/>
      <c r="G7" s="115" t="s">
        <v>91</v>
      </c>
      <c r="H7" s="423">
        <f>+E7</f>
        <v>5.6950000000000003</v>
      </c>
      <c r="I7" s="116"/>
      <c r="J7" s="202"/>
      <c r="K7" s="202"/>
      <c r="L7" s="134"/>
      <c r="M7" s="402"/>
      <c r="N7" s="402"/>
      <c r="O7" s="134"/>
      <c r="P7" s="134"/>
      <c r="Q7" s="134"/>
    </row>
    <row r="8" spans="1:17" x14ac:dyDescent="0.2">
      <c r="A8" s="415" t="s">
        <v>619</v>
      </c>
      <c r="B8" s="67"/>
      <c r="C8" s="135"/>
      <c r="D8" s="101" t="s">
        <v>399</v>
      </c>
      <c r="E8" s="405"/>
      <c r="F8" s="82"/>
      <c r="G8" s="101" t="s">
        <v>399</v>
      </c>
      <c r="H8" s="405"/>
      <c r="I8" s="82"/>
      <c r="J8" s="161" t="s">
        <v>254</v>
      </c>
      <c r="M8" s="161" t="s">
        <v>503</v>
      </c>
      <c r="P8" s="34" t="s">
        <v>618</v>
      </c>
    </row>
    <row r="9" spans="1:17" x14ac:dyDescent="0.2">
      <c r="A9" s="67" t="s">
        <v>663</v>
      </c>
      <c r="B9" s="67"/>
      <c r="C9" s="136"/>
      <c r="D9" s="47" t="s">
        <v>238</v>
      </c>
      <c r="E9" s="405"/>
      <c r="F9" s="82"/>
      <c r="G9" s="47" t="s">
        <v>417</v>
      </c>
      <c r="H9" s="405"/>
      <c r="I9" s="82"/>
      <c r="J9" s="161" t="s">
        <v>258</v>
      </c>
      <c r="M9" s="161" t="s">
        <v>405</v>
      </c>
      <c r="P9" s="34" t="s">
        <v>617</v>
      </c>
    </row>
    <row r="10" spans="1:17" x14ac:dyDescent="0.2">
      <c r="A10" s="67" t="s">
        <v>260</v>
      </c>
      <c r="B10" s="67"/>
      <c r="C10" s="136"/>
      <c r="D10" s="135" t="s">
        <v>259</v>
      </c>
      <c r="E10" s="405"/>
      <c r="F10" s="82"/>
      <c r="G10" s="135" t="s">
        <v>259</v>
      </c>
      <c r="H10" s="405"/>
      <c r="I10" s="82"/>
      <c r="J10" s="161" t="s">
        <v>251</v>
      </c>
      <c r="M10" s="161" t="s">
        <v>404</v>
      </c>
      <c r="P10" s="34" t="s">
        <v>251</v>
      </c>
    </row>
    <row r="11" spans="1:17" x14ac:dyDescent="0.2">
      <c r="A11" s="47" t="s">
        <v>613</v>
      </c>
      <c r="B11" s="67"/>
      <c r="C11" s="136"/>
      <c r="D11" s="135" t="s">
        <v>685</v>
      </c>
      <c r="E11" s="405"/>
      <c r="F11" s="82"/>
      <c r="G11" s="135" t="s">
        <v>685</v>
      </c>
      <c r="H11" s="405"/>
      <c r="I11" s="82"/>
      <c r="J11" s="161" t="s">
        <v>252</v>
      </c>
      <c r="P11" s="34" t="s">
        <v>252</v>
      </c>
    </row>
    <row r="12" spans="1:17" x14ac:dyDescent="0.2">
      <c r="A12" s="427"/>
      <c r="B12" s="428"/>
      <c r="C12" s="82"/>
      <c r="D12" s="135" t="s">
        <v>504</v>
      </c>
      <c r="E12" s="127"/>
      <c r="F12" s="82"/>
      <c r="G12" s="83" t="s">
        <v>282</v>
      </c>
      <c r="H12" s="127"/>
      <c r="I12" s="82"/>
      <c r="J12" s="153" t="s">
        <v>507</v>
      </c>
      <c r="M12" s="161" t="s">
        <v>504</v>
      </c>
      <c r="P12" s="34" t="s">
        <v>713</v>
      </c>
    </row>
    <row r="13" spans="1:17" x14ac:dyDescent="0.2">
      <c r="A13" s="192" t="s">
        <v>36</v>
      </c>
      <c r="B13" s="193" t="s">
        <v>522</v>
      </c>
      <c r="C13" s="99"/>
      <c r="D13" s="176" t="s">
        <v>104</v>
      </c>
      <c r="E13" s="177" t="s">
        <v>105</v>
      </c>
      <c r="F13" s="99"/>
      <c r="G13" s="140" t="s">
        <v>602</v>
      </c>
      <c r="H13" s="85" t="s">
        <v>105</v>
      </c>
      <c r="I13" s="99"/>
      <c r="J13" s="161" t="s">
        <v>110</v>
      </c>
      <c r="M13" s="197" t="s">
        <v>113</v>
      </c>
      <c r="N13" s="198" t="s">
        <v>114</v>
      </c>
      <c r="P13" s="34" t="s">
        <v>110</v>
      </c>
    </row>
    <row r="14" spans="1:17" x14ac:dyDescent="0.2">
      <c r="A14" s="194" t="s">
        <v>115</v>
      </c>
      <c r="B14" s="179">
        <v>4.3900000000000002E-2</v>
      </c>
      <c r="C14" s="89"/>
      <c r="D14" s="178" t="s">
        <v>115</v>
      </c>
      <c r="E14" s="179">
        <v>8.8000000000000005E-3</v>
      </c>
      <c r="F14" s="89"/>
      <c r="G14" s="406" t="s">
        <v>115</v>
      </c>
      <c r="H14" s="88">
        <v>0.1895</v>
      </c>
      <c r="I14" s="89"/>
      <c r="J14" s="199" t="s">
        <v>115</v>
      </c>
      <c r="K14" s="162">
        <f>0.005+0.002</f>
        <v>7.0000000000000001E-3</v>
      </c>
      <c r="M14" s="199" t="s">
        <v>115</v>
      </c>
      <c r="N14" s="162">
        <v>1.12E-2</v>
      </c>
      <c r="P14" s="87" t="s">
        <v>115</v>
      </c>
      <c r="Q14" s="88">
        <f>0.004</f>
        <v>4.0000000000000001E-3</v>
      </c>
    </row>
    <row r="15" spans="1:17" x14ac:dyDescent="0.2">
      <c r="A15" s="194" t="s">
        <v>58</v>
      </c>
      <c r="B15" s="179">
        <f>0.0022+0.007+0.0225</f>
        <v>3.1699999999999999E-2</v>
      </c>
      <c r="C15" s="89"/>
      <c r="D15" s="178" t="s">
        <v>58</v>
      </c>
      <c r="E15" s="179">
        <f>0.0022+0.007</f>
        <v>9.1999999999999998E-3</v>
      </c>
      <c r="F15" s="89"/>
      <c r="G15" s="406" t="s">
        <v>58</v>
      </c>
      <c r="H15" s="88">
        <f>0.0022+0.007</f>
        <v>9.1999999999999998E-3</v>
      </c>
      <c r="I15" s="89"/>
      <c r="J15" s="199" t="s">
        <v>58</v>
      </c>
      <c r="K15" s="162">
        <f>0.0022+0.0072</f>
        <v>9.4000000000000004E-3</v>
      </c>
      <c r="M15" s="199" t="s">
        <v>58</v>
      </c>
      <c r="N15" s="162">
        <f>0.0022+0.0072</f>
        <v>9.4000000000000004E-3</v>
      </c>
      <c r="P15" s="87" t="s">
        <v>58</v>
      </c>
      <c r="Q15" s="88">
        <f>0.0022+0.007</f>
        <v>9.1999999999999998E-3</v>
      </c>
    </row>
    <row r="16" spans="1:17" x14ac:dyDescent="0.2">
      <c r="A16" s="429">
        <v>8.8999999999999999E-3</v>
      </c>
      <c r="B16" s="403">
        <f>(B$3)/(1-A16)-B$3</f>
        <v>4.5483301382302166E-2</v>
      </c>
      <c r="C16" s="91"/>
      <c r="D16" s="429">
        <v>3.0300000000000001E-2</v>
      </c>
      <c r="E16" s="180">
        <f>(E$5)/(1-D16)-E$5</f>
        <v>0.15467154790141269</v>
      </c>
      <c r="F16" s="91"/>
      <c r="G16" s="290">
        <v>3.0300000000000001E-2</v>
      </c>
      <c r="H16" s="90">
        <f>(H$5)/(1-G16)-H$5</f>
        <v>0.15467154790141269</v>
      </c>
      <c r="I16" s="91"/>
      <c r="J16" s="199" t="s">
        <v>401</v>
      </c>
      <c r="K16" s="163">
        <f>+K3/(1-0.0022)-K3</f>
        <v>1.0759671276808547E-2</v>
      </c>
      <c r="M16" s="199" t="s">
        <v>505</v>
      </c>
      <c r="N16" s="163">
        <f>+N3/(1-0.0058)-N3</f>
        <v>1.73264936632469E-2</v>
      </c>
      <c r="P16" s="290">
        <v>4.4999999999999997E-3</v>
      </c>
      <c r="Q16" s="90">
        <f>+Q$3/(1-P16)-Q$3</f>
        <v>2.3257157207432932E-2</v>
      </c>
    </row>
    <row r="17" spans="1:17" x14ac:dyDescent="0.2">
      <c r="A17" s="195"/>
      <c r="B17" s="181">
        <f>SUM(B14:B16)</f>
        <v>0.12108330138230217</v>
      </c>
      <c r="C17" s="94"/>
      <c r="D17" s="178"/>
      <c r="E17" s="181">
        <f>SUM(E14:E16)</f>
        <v>0.1726715479014127</v>
      </c>
      <c r="F17" s="94"/>
      <c r="G17" s="290"/>
      <c r="H17" s="90">
        <f>SUM(H14:H16)</f>
        <v>0.35337154790141267</v>
      </c>
      <c r="I17" s="94"/>
      <c r="J17" s="200"/>
      <c r="K17" s="164">
        <f>SUM(K14:K16)</f>
        <v>2.7159671276808548E-2</v>
      </c>
      <c r="M17" s="200"/>
      <c r="N17" s="164">
        <f>SUM(N14:N16)</f>
        <v>3.79264936632469E-2</v>
      </c>
      <c r="P17" s="92"/>
      <c r="Q17" s="93">
        <f>SUM(Q14:Q16)</f>
        <v>3.6457157207432936E-2</v>
      </c>
    </row>
    <row r="18" spans="1:17" x14ac:dyDescent="0.2">
      <c r="A18" s="424" t="s">
        <v>36</v>
      </c>
      <c r="B18" s="430" t="s">
        <v>523</v>
      </c>
      <c r="C18" s="99"/>
      <c r="D18" s="176" t="s">
        <v>104</v>
      </c>
      <c r="E18" s="177" t="s">
        <v>118</v>
      </c>
      <c r="F18" s="99"/>
      <c r="G18" s="140" t="s">
        <v>602</v>
      </c>
      <c r="H18" s="85" t="s">
        <v>118</v>
      </c>
      <c r="I18" s="99"/>
    </row>
    <row r="19" spans="1:17" x14ac:dyDescent="0.2">
      <c r="A19" s="194" t="s">
        <v>115</v>
      </c>
      <c r="B19" s="179">
        <v>6.6900000000000001E-2</v>
      </c>
      <c r="C19" s="89"/>
      <c r="D19" s="178" t="s">
        <v>115</v>
      </c>
      <c r="E19" s="179">
        <v>9.5999999999999992E-3</v>
      </c>
      <c r="F19" s="89"/>
      <c r="G19" s="406" t="s">
        <v>115</v>
      </c>
      <c r="H19" s="88">
        <v>0.1953</v>
      </c>
      <c r="I19" s="89"/>
      <c r="J19" s="161" t="s">
        <v>123</v>
      </c>
      <c r="M19" s="197" t="s">
        <v>113</v>
      </c>
      <c r="N19" s="198" t="s">
        <v>122</v>
      </c>
      <c r="P19" s="34" t="s">
        <v>123</v>
      </c>
    </row>
    <row r="20" spans="1:17" x14ac:dyDescent="0.2">
      <c r="A20" s="194" t="s">
        <v>58</v>
      </c>
      <c r="B20" s="179">
        <f>0.0022+0.007+0.0225</f>
        <v>3.1699999999999999E-2</v>
      </c>
      <c r="C20" s="89"/>
      <c r="D20" s="178" t="s">
        <v>58</v>
      </c>
      <c r="E20" s="179">
        <f>0.0022</f>
        <v>2.2000000000000001E-3</v>
      </c>
      <c r="F20" s="89"/>
      <c r="G20" s="406" t="s">
        <v>58</v>
      </c>
      <c r="H20" s="88">
        <f>0.0022+0.007</f>
        <v>9.1999999999999998E-3</v>
      </c>
      <c r="I20" s="89"/>
      <c r="J20" s="199" t="s">
        <v>115</v>
      </c>
      <c r="K20" s="162">
        <f>0.0303+0.002</f>
        <v>3.2300000000000002E-2</v>
      </c>
      <c r="M20" s="199" t="s">
        <v>115</v>
      </c>
      <c r="N20" s="162">
        <v>0</v>
      </c>
      <c r="P20" s="87" t="s">
        <v>115</v>
      </c>
      <c r="Q20" s="88">
        <f>0.022</f>
        <v>2.1999999999999999E-2</v>
      </c>
    </row>
    <row r="21" spans="1:17" x14ac:dyDescent="0.2">
      <c r="A21" s="429">
        <v>2.7900000000000001E-2</v>
      </c>
      <c r="B21" s="403">
        <f>(B$3)/(1-A21)-B$3</f>
        <v>0.14536930356959221</v>
      </c>
      <c r="C21" s="91"/>
      <c r="D21" s="429">
        <v>3.2800000000000003E-2</v>
      </c>
      <c r="E21" s="180">
        <f>(E$5)/(1-D21)-E$5</f>
        <v>0.16786600496277959</v>
      </c>
      <c r="F21" s="91"/>
      <c r="G21" s="290">
        <v>3.2800000000000003E-2</v>
      </c>
      <c r="H21" s="90">
        <f>(H$5)/(1-G21)-H$5</f>
        <v>0.16786600496277959</v>
      </c>
      <c r="I21" s="91"/>
      <c r="J21" s="199" t="s">
        <v>58</v>
      </c>
      <c r="K21" s="162">
        <f>0.0072+0.0022</f>
        <v>9.4000000000000004E-3</v>
      </c>
      <c r="M21" s="199" t="s">
        <v>58</v>
      </c>
      <c r="N21" s="162">
        <f>0.0022+0.0072</f>
        <v>9.4000000000000004E-3</v>
      </c>
      <c r="P21" s="87" t="s">
        <v>58</v>
      </c>
      <c r="Q21" s="88">
        <f>0.007+0.0022</f>
        <v>9.1999999999999998E-3</v>
      </c>
    </row>
    <row r="22" spans="1:17" x14ac:dyDescent="0.2">
      <c r="A22" s="195"/>
      <c r="B22" s="181">
        <f>SUM(B19:B21)</f>
        <v>0.24396930356959221</v>
      </c>
      <c r="C22" s="94"/>
      <c r="D22" s="178"/>
      <c r="E22" s="181">
        <f>SUM(E19:E21)</f>
        <v>0.1796660049627796</v>
      </c>
      <c r="F22" s="94"/>
      <c r="G22" s="406"/>
      <c r="H22" s="93">
        <f>SUM(H19:H21)</f>
        <v>0.37236600496277961</v>
      </c>
      <c r="I22" s="94"/>
      <c r="J22" s="199" t="s">
        <v>402</v>
      </c>
      <c r="K22" s="163">
        <f>+K3/(1-0.0268)-K3</f>
        <v>0.13438553226469363</v>
      </c>
      <c r="M22" s="199" t="s">
        <v>505</v>
      </c>
      <c r="N22" s="163">
        <f>+N3/(1-0.0058)-N3</f>
        <v>1.73264936632469E-2</v>
      </c>
      <c r="P22" s="290">
        <v>3.27E-2</v>
      </c>
      <c r="Q22" s="90">
        <f>+Q$3/(1-P22)-Q$3</f>
        <v>0.17392897756642167</v>
      </c>
    </row>
    <row r="23" spans="1:17" x14ac:dyDescent="0.2">
      <c r="A23" s="424" t="s">
        <v>36</v>
      </c>
      <c r="B23" s="430" t="s">
        <v>524</v>
      </c>
      <c r="C23" s="94"/>
      <c r="D23" s="182" t="s">
        <v>104</v>
      </c>
      <c r="E23" s="183" t="s">
        <v>126</v>
      </c>
      <c r="F23" s="94"/>
      <c r="G23" s="140" t="s">
        <v>602</v>
      </c>
      <c r="H23" s="85" t="s">
        <v>126</v>
      </c>
      <c r="I23" s="94"/>
      <c r="J23" s="200"/>
      <c r="K23" s="164">
        <f>SUM(K20:K22)</f>
        <v>0.17608553226469364</v>
      </c>
      <c r="M23" s="200"/>
      <c r="N23" s="164">
        <f>SUM(N20:N22)</f>
        <v>2.6726493663246899E-2</v>
      </c>
      <c r="P23" s="92"/>
      <c r="Q23" s="93">
        <f>SUM(Q20:Q22)</f>
        <v>0.20512897756642168</v>
      </c>
    </row>
    <row r="24" spans="1:17" x14ac:dyDescent="0.2">
      <c r="A24" s="194" t="s">
        <v>115</v>
      </c>
      <c r="B24" s="179">
        <v>8.7999999999999995E-2</v>
      </c>
      <c r="C24" s="96"/>
      <c r="D24" s="178" t="s">
        <v>115</v>
      </c>
      <c r="E24" s="179">
        <v>1.4E-2</v>
      </c>
      <c r="F24" s="96"/>
      <c r="G24" s="406" t="s">
        <v>115</v>
      </c>
      <c r="H24" s="88">
        <v>0.22969999999999999</v>
      </c>
      <c r="I24" s="96"/>
    </row>
    <row r="25" spans="1:17" x14ac:dyDescent="0.2">
      <c r="A25" s="194" t="s">
        <v>58</v>
      </c>
      <c r="B25" s="179">
        <f>0.0022+0.007</f>
        <v>9.1999999999999998E-3</v>
      </c>
      <c r="C25" s="96"/>
      <c r="D25" s="178" t="s">
        <v>58</v>
      </c>
      <c r="E25" s="179">
        <f>0.0022+0.007</f>
        <v>9.1999999999999998E-3</v>
      </c>
      <c r="F25" s="96"/>
      <c r="G25" s="406" t="s">
        <v>58</v>
      </c>
      <c r="H25" s="88">
        <f>0.0022+0.007</f>
        <v>9.1999999999999998E-3</v>
      </c>
      <c r="I25" s="96"/>
      <c r="J25" s="161" t="s">
        <v>133</v>
      </c>
      <c r="P25" s="34" t="s">
        <v>133</v>
      </c>
    </row>
    <row r="26" spans="1:17" x14ac:dyDescent="0.2">
      <c r="A26" s="429">
        <v>5.16E-2</v>
      </c>
      <c r="B26" s="403">
        <f>(B$3)/(1-A26)-B$3</f>
        <v>0.27557359763812705</v>
      </c>
      <c r="C26" s="91"/>
      <c r="D26" s="429">
        <v>4.5999999999999999E-2</v>
      </c>
      <c r="E26" s="180">
        <f>(E$5)/(1-D26)-E$5</f>
        <v>0.23867924528301909</v>
      </c>
      <c r="F26" s="91"/>
      <c r="G26" s="290">
        <v>4.5999999999999999E-2</v>
      </c>
      <c r="H26" s="90">
        <f>(H$5)/(1-G26)-H$5</f>
        <v>0.23867924528301909</v>
      </c>
      <c r="I26" s="91"/>
      <c r="J26" s="199" t="s">
        <v>115</v>
      </c>
      <c r="K26" s="162">
        <f>0.0275+0.002</f>
        <v>2.9499999999999998E-2</v>
      </c>
      <c r="P26" s="87" t="s">
        <v>115</v>
      </c>
      <c r="Q26" s="88">
        <v>2.0199999999999999E-2</v>
      </c>
    </row>
    <row r="27" spans="1:17" x14ac:dyDescent="0.2">
      <c r="A27" s="195"/>
      <c r="B27" s="181">
        <f>SUM(B24:B26)</f>
        <v>0.37277359763812706</v>
      </c>
      <c r="C27" s="94"/>
      <c r="D27" s="178"/>
      <c r="E27" s="181">
        <f>SUM(E24:E26)</f>
        <v>0.26187924528301909</v>
      </c>
      <c r="F27" s="94"/>
      <c r="G27" s="406"/>
      <c r="H27" s="93">
        <f>SUM(H24:H26)</f>
        <v>0.47757924528301909</v>
      </c>
      <c r="I27" s="94"/>
      <c r="J27" s="199" t="s">
        <v>58</v>
      </c>
      <c r="K27" s="162">
        <f>0.0072+0.0022</f>
        <v>9.4000000000000004E-3</v>
      </c>
      <c r="P27" s="87" t="s">
        <v>58</v>
      </c>
      <c r="Q27" s="88">
        <f>0.007+0.0022</f>
        <v>9.1999999999999998E-3</v>
      </c>
    </row>
    <row r="28" spans="1:17" x14ac:dyDescent="0.2">
      <c r="A28" s="424" t="s">
        <v>36</v>
      </c>
      <c r="B28" s="431" t="s">
        <v>525</v>
      </c>
      <c r="C28" s="86"/>
      <c r="D28" s="176" t="s">
        <v>104</v>
      </c>
      <c r="E28" s="177" t="s">
        <v>130</v>
      </c>
      <c r="F28" s="86"/>
      <c r="G28" s="140" t="s">
        <v>602</v>
      </c>
      <c r="H28" s="85" t="s">
        <v>136</v>
      </c>
      <c r="I28" s="86"/>
      <c r="J28" s="199" t="s">
        <v>402</v>
      </c>
      <c r="K28" s="163">
        <f>+K3/(1-0.0268)-K3</f>
        <v>0.13438553226469363</v>
      </c>
      <c r="P28" s="290">
        <v>3.27E-2</v>
      </c>
      <c r="Q28" s="90">
        <f>+Q$3/(1-P28)-Q$3</f>
        <v>0.17392897756642167</v>
      </c>
    </row>
    <row r="29" spans="1:17" x14ac:dyDescent="0.2">
      <c r="A29" s="195" t="s">
        <v>115</v>
      </c>
      <c r="B29" s="179">
        <v>9.7799999999999998E-2</v>
      </c>
      <c r="C29" s="89"/>
      <c r="D29" s="178" t="s">
        <v>115</v>
      </c>
      <c r="E29" s="179">
        <v>2.81E-2</v>
      </c>
      <c r="F29" s="89"/>
      <c r="G29" s="406" t="s">
        <v>115</v>
      </c>
      <c r="H29" s="88">
        <v>0.5242</v>
      </c>
      <c r="I29" s="89"/>
      <c r="J29" s="200"/>
      <c r="K29" s="164">
        <f>SUM(K26:K28)</f>
        <v>0.17328553226469362</v>
      </c>
      <c r="P29" s="92"/>
      <c r="Q29" s="93">
        <f>SUM(Q26:Q28)</f>
        <v>0.20332897756642168</v>
      </c>
    </row>
    <row r="30" spans="1:17" x14ac:dyDescent="0.2">
      <c r="A30" s="195" t="s">
        <v>58</v>
      </c>
      <c r="B30" s="179">
        <f>0.0022</f>
        <v>2.2000000000000001E-3</v>
      </c>
      <c r="C30" s="89"/>
      <c r="D30" s="178" t="s">
        <v>58</v>
      </c>
      <c r="E30" s="179">
        <f>0.0022+0.007</f>
        <v>9.1999999999999998E-3</v>
      </c>
      <c r="F30" s="89"/>
      <c r="G30" s="406" t="s">
        <v>58</v>
      </c>
      <c r="H30" s="88">
        <f>0.0022+0.007</f>
        <v>9.1999999999999998E-3</v>
      </c>
      <c r="I30" s="89"/>
    </row>
    <row r="31" spans="1:17" x14ac:dyDescent="0.2">
      <c r="A31" s="429">
        <v>5.8799999999999998E-2</v>
      </c>
      <c r="B31" s="403">
        <f>(B$3)/(1-A31)-B$3</f>
        <v>0.31642796430089248</v>
      </c>
      <c r="C31" s="91"/>
      <c r="D31" s="429">
        <v>7.4399999999999994E-2</v>
      </c>
      <c r="E31" s="180">
        <f>(E$5)/(1-D31)-E$5</f>
        <v>0.39788245462402738</v>
      </c>
      <c r="F31" s="91"/>
      <c r="G31" s="290">
        <v>9.8799999999999999E-2</v>
      </c>
      <c r="H31" s="90">
        <f>(H$5)/(1-G31)-H$5</f>
        <v>0.54267643142476718</v>
      </c>
      <c r="I31" s="91"/>
      <c r="J31" s="161" t="s">
        <v>138</v>
      </c>
      <c r="P31" s="34" t="s">
        <v>138</v>
      </c>
    </row>
    <row r="32" spans="1:17" x14ac:dyDescent="0.2">
      <c r="A32" s="195"/>
      <c r="B32" s="181">
        <f>SUM(B29:B31)</f>
        <v>0.41642796430089246</v>
      </c>
      <c r="C32" s="94"/>
      <c r="D32" s="178"/>
      <c r="E32" s="181">
        <f>SUM(E29:E31)</f>
        <v>0.43518245462402738</v>
      </c>
      <c r="F32" s="94"/>
      <c r="G32" s="406"/>
      <c r="H32" s="93">
        <f>SUM(H29:H31)</f>
        <v>1.0760764314247671</v>
      </c>
      <c r="I32" s="94"/>
      <c r="J32" s="199" t="s">
        <v>115</v>
      </c>
      <c r="K32" s="162">
        <f>0.0152+0.002</f>
        <v>1.72E-2</v>
      </c>
      <c r="P32" s="87" t="s">
        <v>115</v>
      </c>
      <c r="Q32" s="88">
        <v>1.17E-2</v>
      </c>
    </row>
    <row r="33" spans="1:17" x14ac:dyDescent="0.2">
      <c r="A33" s="424" t="s">
        <v>36</v>
      </c>
      <c r="B33" s="431" t="s">
        <v>526</v>
      </c>
      <c r="C33" s="86"/>
      <c r="D33" s="176" t="s">
        <v>104</v>
      </c>
      <c r="E33" s="177" t="s">
        <v>136</v>
      </c>
      <c r="F33" s="86"/>
      <c r="G33" s="140" t="s">
        <v>602</v>
      </c>
      <c r="H33" s="85" t="s">
        <v>141</v>
      </c>
      <c r="I33" s="86"/>
      <c r="J33" s="199" t="s">
        <v>58</v>
      </c>
      <c r="K33" s="162">
        <f>0.002+0.0072+0.0022</f>
        <v>1.14E-2</v>
      </c>
      <c r="P33" s="87" t="s">
        <v>58</v>
      </c>
      <c r="Q33" s="88">
        <f>0.007+0.0022</f>
        <v>9.1999999999999998E-3</v>
      </c>
    </row>
    <row r="34" spans="1:17" x14ac:dyDescent="0.2">
      <c r="A34" s="195" t="s">
        <v>115</v>
      </c>
      <c r="B34" s="179">
        <v>0.1118</v>
      </c>
      <c r="C34" s="89"/>
      <c r="D34" s="178" t="s">
        <v>115</v>
      </c>
      <c r="E34" s="179">
        <v>4.8399999999999999E-2</v>
      </c>
      <c r="F34" s="89"/>
      <c r="G34" s="406" t="s">
        <v>115</v>
      </c>
      <c r="H34" s="88">
        <v>0.62129999999999996</v>
      </c>
      <c r="I34" s="89"/>
      <c r="J34" s="199" t="s">
        <v>403</v>
      </c>
      <c r="K34" s="163">
        <f>+K3/(1-0.0169)-K3</f>
        <v>8.3889736547655858E-2</v>
      </c>
      <c r="P34" s="290">
        <v>2.0299999999999999E-2</v>
      </c>
      <c r="Q34" s="90">
        <f>+Q$3/(1-P34)-Q$3</f>
        <v>0.10660763499030335</v>
      </c>
    </row>
    <row r="35" spans="1:17" x14ac:dyDescent="0.2">
      <c r="A35" s="195" t="s">
        <v>58</v>
      </c>
      <c r="B35" s="179">
        <f>0.0022+0.007</f>
        <v>9.1999999999999998E-3</v>
      </c>
      <c r="C35" s="89"/>
      <c r="D35" s="178" t="s">
        <v>58</v>
      </c>
      <c r="E35" s="179">
        <f>0.0022+0.007</f>
        <v>9.1999999999999998E-3</v>
      </c>
      <c r="F35" s="89"/>
      <c r="G35" s="406" t="s">
        <v>58</v>
      </c>
      <c r="H35" s="88">
        <f>0.0022+0.007</f>
        <v>9.1999999999999998E-3</v>
      </c>
      <c r="I35" s="89"/>
      <c r="J35" s="200"/>
      <c r="K35" s="164">
        <f>SUM(K32:K34)</f>
        <v>0.11248973654765586</v>
      </c>
      <c r="P35" s="92"/>
      <c r="Q35" s="93">
        <f>SUM(Q32:Q34)</f>
        <v>0.12750763499030335</v>
      </c>
    </row>
    <row r="36" spans="1:17" x14ac:dyDescent="0.2">
      <c r="A36" s="429">
        <v>6.7900000000000002E-2</v>
      </c>
      <c r="B36" s="403">
        <f>(B$3)/(1-A36)-B$3</f>
        <v>0.36896631262739987</v>
      </c>
      <c r="C36" s="91"/>
      <c r="D36" s="429">
        <v>9.8799999999999999E-2</v>
      </c>
      <c r="E36" s="180">
        <f>(E$5)/(1-D36)-E$5</f>
        <v>0.54267643142476718</v>
      </c>
      <c r="F36" s="91"/>
      <c r="G36" s="290">
        <v>0.1148</v>
      </c>
      <c r="H36" s="90">
        <f>(H$5)/(1-G36)-H$5</f>
        <v>0.64195661997288767</v>
      </c>
      <c r="I36" s="91"/>
    </row>
    <row r="37" spans="1:17" x14ac:dyDescent="0.2">
      <c r="A37" s="195"/>
      <c r="B37" s="181">
        <f>SUM(B34:B36)</f>
        <v>0.48996631262739987</v>
      </c>
      <c r="C37" s="94"/>
      <c r="D37" s="178"/>
      <c r="E37" s="181">
        <f>SUM(E34:E36)</f>
        <v>0.60027643142476717</v>
      </c>
      <c r="F37" s="94"/>
      <c r="G37" s="406"/>
      <c r="H37" s="93">
        <f>SUM(H34:H36)</f>
        <v>1.2724566199728877</v>
      </c>
      <c r="I37" s="94"/>
      <c r="J37" s="161" t="s">
        <v>318</v>
      </c>
      <c r="P37" s="34" t="s">
        <v>318</v>
      </c>
    </row>
    <row r="38" spans="1:17" x14ac:dyDescent="0.2">
      <c r="A38" s="424" t="s">
        <v>36</v>
      </c>
      <c r="B38" s="431" t="s">
        <v>527</v>
      </c>
      <c r="C38" s="86"/>
      <c r="D38" s="176" t="s">
        <v>104</v>
      </c>
      <c r="E38" s="177" t="s">
        <v>141</v>
      </c>
      <c r="F38" s="86"/>
      <c r="G38" s="140" t="s">
        <v>602</v>
      </c>
      <c r="H38" s="85" t="s">
        <v>144</v>
      </c>
      <c r="I38" s="86"/>
      <c r="J38" s="199" t="s">
        <v>115</v>
      </c>
      <c r="K38" s="162">
        <f>0.0152+0.002</f>
        <v>1.72E-2</v>
      </c>
      <c r="P38" s="87" t="s">
        <v>115</v>
      </c>
      <c r="Q38" s="88">
        <v>1.17E-2</v>
      </c>
    </row>
    <row r="39" spans="1:17" x14ac:dyDescent="0.2">
      <c r="A39" s="195" t="s">
        <v>115</v>
      </c>
      <c r="B39" s="179">
        <v>0.1231</v>
      </c>
      <c r="C39" s="89"/>
      <c r="D39" s="178" t="s">
        <v>115</v>
      </c>
      <c r="E39" s="179">
        <v>6.2300000000000001E-2</v>
      </c>
      <c r="F39" s="89"/>
      <c r="G39" s="406" t="s">
        <v>115</v>
      </c>
      <c r="H39" s="88">
        <v>6.5799999999999997E-2</v>
      </c>
      <c r="I39" s="89"/>
      <c r="J39" s="199" t="s">
        <v>58</v>
      </c>
      <c r="K39" s="162">
        <f>0.0072+0.0022</f>
        <v>9.4000000000000004E-3</v>
      </c>
      <c r="P39" s="87" t="s">
        <v>58</v>
      </c>
      <c r="Q39" s="88">
        <f>0.007+0.0022</f>
        <v>9.1999999999999998E-3</v>
      </c>
    </row>
    <row r="40" spans="1:17" x14ac:dyDescent="0.2">
      <c r="A40" s="195" t="s">
        <v>58</v>
      </c>
      <c r="B40" s="179">
        <f>0.0022+0.007</f>
        <v>9.1999999999999998E-3</v>
      </c>
      <c r="C40" s="89"/>
      <c r="D40" s="178" t="s">
        <v>58</v>
      </c>
      <c r="E40" s="179">
        <f>0.0022+0.007</f>
        <v>9.1999999999999998E-3</v>
      </c>
      <c r="F40" s="89"/>
      <c r="G40" s="406" t="s">
        <v>58</v>
      </c>
      <c r="H40" s="88">
        <f>0.0022</f>
        <v>2.2000000000000001E-3</v>
      </c>
      <c r="I40" s="89"/>
      <c r="J40" s="199" t="s">
        <v>167</v>
      </c>
      <c r="K40" s="163">
        <v>0</v>
      </c>
      <c r="P40" s="290">
        <v>5.7999999999999996E-3</v>
      </c>
      <c r="Q40" s="90">
        <f>+Q$3/(1-P40)-Q$3</f>
        <v>3.0015087507544003E-2</v>
      </c>
    </row>
    <row r="41" spans="1:17" x14ac:dyDescent="0.2">
      <c r="A41" s="429">
        <v>7.8799999999999995E-2</v>
      </c>
      <c r="B41" s="403">
        <f>(B$3)/(1-A41)-B$3</f>
        <v>0.43326313504125036</v>
      </c>
      <c r="C41" s="91"/>
      <c r="D41" s="429">
        <v>0.1148</v>
      </c>
      <c r="E41" s="180">
        <f>(E$5)/(1-D41)-E$5</f>
        <v>0.64195661997288767</v>
      </c>
      <c r="F41" s="91"/>
      <c r="G41" s="290">
        <v>2.12E-2</v>
      </c>
      <c r="H41" s="90">
        <f>(H$4)/(1-G41)-H$4</f>
        <v>0.1089456477319164</v>
      </c>
      <c r="I41" s="91"/>
      <c r="J41" s="200"/>
      <c r="K41" s="164">
        <f>SUM(K38:K40)</f>
        <v>2.6599999999999999E-2</v>
      </c>
      <c r="P41" s="92"/>
      <c r="Q41" s="93">
        <f>SUM(Q38:Q40)</f>
        <v>5.0915087507544005E-2</v>
      </c>
    </row>
    <row r="42" spans="1:17" x14ac:dyDescent="0.2">
      <c r="A42" s="195"/>
      <c r="B42" s="181">
        <f>SUM(B39:B41)</f>
        <v>0.56556313504125033</v>
      </c>
      <c r="C42" s="94"/>
      <c r="D42" s="178"/>
      <c r="E42" s="181">
        <f>SUM(E39:E41)</f>
        <v>0.71345661997288767</v>
      </c>
      <c r="F42" s="94"/>
      <c r="G42" s="406"/>
      <c r="H42" s="93">
        <f>SUM(H39:H41)</f>
        <v>0.1769456477319164</v>
      </c>
      <c r="I42" s="94"/>
    </row>
    <row r="43" spans="1:17" x14ac:dyDescent="0.2">
      <c r="A43" s="424" t="s">
        <v>36</v>
      </c>
      <c r="B43" s="431" t="s">
        <v>528</v>
      </c>
      <c r="C43" s="86"/>
      <c r="D43" s="176" t="s">
        <v>104</v>
      </c>
      <c r="E43" s="177" t="s">
        <v>144</v>
      </c>
      <c r="F43" s="86"/>
      <c r="G43" s="140" t="s">
        <v>602</v>
      </c>
      <c r="H43" s="85" t="s">
        <v>150</v>
      </c>
      <c r="I43" s="86"/>
    </row>
    <row r="44" spans="1:17" x14ac:dyDescent="0.2">
      <c r="A44" s="195" t="s">
        <v>115</v>
      </c>
      <c r="B44" s="179">
        <v>0.1608</v>
      </c>
      <c r="C44" s="89"/>
      <c r="D44" s="178" t="s">
        <v>115</v>
      </c>
      <c r="E44" s="179">
        <v>5.8999999999999999E-3</v>
      </c>
      <c r="F44" s="89"/>
      <c r="G44" s="406" t="s">
        <v>115</v>
      </c>
      <c r="H44" s="88">
        <v>0.2477</v>
      </c>
      <c r="I44" s="89"/>
    </row>
    <row r="45" spans="1:17" x14ac:dyDescent="0.2">
      <c r="A45" s="195" t="s">
        <v>58</v>
      </c>
      <c r="B45" s="179">
        <f>0.0022+0.007</f>
        <v>9.1999999999999998E-3</v>
      </c>
      <c r="C45" s="89"/>
      <c r="D45" s="178" t="s">
        <v>58</v>
      </c>
      <c r="E45" s="179">
        <f>0.0022</f>
        <v>2.2000000000000001E-3</v>
      </c>
      <c r="F45" s="89"/>
      <c r="G45" s="406" t="s">
        <v>58</v>
      </c>
      <c r="H45" s="88">
        <f>0.0022+0.007</f>
        <v>9.1999999999999998E-3</v>
      </c>
      <c r="I45" s="89"/>
    </row>
    <row r="46" spans="1:17" x14ac:dyDescent="0.2">
      <c r="A46" s="429">
        <v>8.7099999999999997E-2</v>
      </c>
      <c r="B46" s="403">
        <f>(B$3)/(1-A46)-B$3</f>
        <v>0.48325282068134534</v>
      </c>
      <c r="C46" s="91"/>
      <c r="D46" s="429">
        <v>2.12E-2</v>
      </c>
      <c r="E46" s="180">
        <f>(E$4)/(1-D46)-E$4</f>
        <v>0.1089456477319164</v>
      </c>
      <c r="F46" s="91"/>
      <c r="G46" s="290">
        <v>6.3100000000000003E-2</v>
      </c>
      <c r="H46" s="90">
        <f>(H$4)/(1-G46)-H$4</f>
        <v>0.33876934571459127</v>
      </c>
      <c r="I46" s="91"/>
    </row>
    <row r="47" spans="1:17" x14ac:dyDescent="0.2">
      <c r="A47" s="195"/>
      <c r="B47" s="181">
        <f>SUM(B44:B46)</f>
        <v>0.65325282068134527</v>
      </c>
      <c r="C47" s="94"/>
      <c r="D47" s="178"/>
      <c r="E47" s="181">
        <f>SUM(E44:E46)</f>
        <v>0.11704564773191639</v>
      </c>
      <c r="F47" s="94"/>
      <c r="G47" s="406"/>
      <c r="H47" s="93">
        <f>SUM(H44:H46)</f>
        <v>0.59566934571459129</v>
      </c>
      <c r="I47" s="94"/>
    </row>
    <row r="48" spans="1:17" x14ac:dyDescent="0.2">
      <c r="A48" s="424" t="s">
        <v>36</v>
      </c>
      <c r="B48" s="430" t="s">
        <v>529</v>
      </c>
      <c r="C48" s="97"/>
      <c r="D48" s="176" t="s">
        <v>104</v>
      </c>
      <c r="E48" s="177" t="s">
        <v>147</v>
      </c>
      <c r="F48" s="97"/>
      <c r="G48" s="140" t="s">
        <v>602</v>
      </c>
      <c r="H48" s="85" t="s">
        <v>154</v>
      </c>
      <c r="I48" s="97"/>
    </row>
    <row r="49" spans="1:9" x14ac:dyDescent="0.2">
      <c r="A49" s="194" t="s">
        <v>115</v>
      </c>
      <c r="B49" s="179">
        <v>2.86E-2</v>
      </c>
      <c r="C49" s="89"/>
      <c r="D49" s="178" t="s">
        <v>115</v>
      </c>
      <c r="E49" s="179">
        <v>1.03E-2</v>
      </c>
      <c r="F49" s="89"/>
      <c r="G49" s="406" t="s">
        <v>115</v>
      </c>
      <c r="H49" s="88">
        <v>0.38979999999999998</v>
      </c>
      <c r="I49" s="89"/>
    </row>
    <row r="50" spans="1:9" x14ac:dyDescent="0.2">
      <c r="A50" s="194" t="s">
        <v>58</v>
      </c>
      <c r="B50" s="179">
        <f>0.0022+0.007+0.0225</f>
        <v>3.1699999999999999E-2</v>
      </c>
      <c r="C50" s="89"/>
      <c r="D50" s="178" t="s">
        <v>58</v>
      </c>
      <c r="E50" s="179">
        <f>0.0022+0.007</f>
        <v>9.1999999999999998E-3</v>
      </c>
      <c r="F50" s="89"/>
      <c r="G50" s="406" t="s">
        <v>58</v>
      </c>
      <c r="H50" s="88">
        <f>0.0022+0.007</f>
        <v>9.1999999999999998E-3</v>
      </c>
      <c r="I50" s="89"/>
    </row>
    <row r="51" spans="1:9" x14ac:dyDescent="0.2">
      <c r="A51" s="429">
        <v>1.01E-2</v>
      </c>
      <c r="B51" s="180">
        <f>(B$4)/(1-A51)-B$4</f>
        <v>5.2137589655520955E-2</v>
      </c>
      <c r="C51" s="91"/>
      <c r="D51" s="429">
        <v>3.4700000000000002E-2</v>
      </c>
      <c r="E51" s="180">
        <f>(E$4)/(1-D51)-E$4</f>
        <v>0.18081529058323831</v>
      </c>
      <c r="F51" s="91"/>
      <c r="G51" s="290">
        <v>8.7499999999999994E-2</v>
      </c>
      <c r="H51" s="90">
        <f>(H$4)/(1-G51)-H$4</f>
        <v>0.48232876712328743</v>
      </c>
      <c r="I51" s="91"/>
    </row>
    <row r="52" spans="1:9" x14ac:dyDescent="0.2">
      <c r="A52" s="195"/>
      <c r="B52" s="181">
        <f>SUM(B49:B51)</f>
        <v>0.11243758965552095</v>
      </c>
      <c r="C52" s="94"/>
      <c r="D52" s="178"/>
      <c r="E52" s="181">
        <f>SUM(E49:E51)</f>
        <v>0.2003152905832383</v>
      </c>
      <c r="F52" s="94"/>
      <c r="G52" s="406"/>
      <c r="H52" s="93">
        <f>SUM(H49:H51)</f>
        <v>0.88132876712328745</v>
      </c>
      <c r="I52" s="94"/>
    </row>
    <row r="53" spans="1:9" x14ac:dyDescent="0.2">
      <c r="A53" s="424" t="s">
        <v>36</v>
      </c>
      <c r="B53" s="430" t="s">
        <v>530</v>
      </c>
      <c r="C53" s="97"/>
      <c r="D53" s="176" t="s">
        <v>104</v>
      </c>
      <c r="E53" s="177" t="s">
        <v>150</v>
      </c>
      <c r="F53" s="97"/>
      <c r="G53" s="140" t="s">
        <v>602</v>
      </c>
      <c r="H53" s="85" t="s">
        <v>158</v>
      </c>
      <c r="I53" s="97"/>
    </row>
    <row r="54" spans="1:9" x14ac:dyDescent="0.2">
      <c r="A54" s="194" t="s">
        <v>115</v>
      </c>
      <c r="B54" s="179">
        <v>5.7200000000000001E-2</v>
      </c>
      <c r="C54" s="89"/>
      <c r="D54" s="178" t="s">
        <v>115</v>
      </c>
      <c r="E54" s="179">
        <v>2.4400000000000002E-2</v>
      </c>
      <c r="F54" s="89"/>
      <c r="G54" s="406" t="s">
        <v>115</v>
      </c>
      <c r="H54" s="88">
        <v>0.4869</v>
      </c>
      <c r="I54" s="89"/>
    </row>
    <row r="55" spans="1:9" x14ac:dyDescent="0.2">
      <c r="A55" s="194" t="s">
        <v>58</v>
      </c>
      <c r="B55" s="179">
        <f>0.0022+0.007+0.0225</f>
        <v>3.1699999999999999E-2</v>
      </c>
      <c r="C55" s="89"/>
      <c r="D55" s="178" t="s">
        <v>58</v>
      </c>
      <c r="E55" s="179">
        <f>0.0022+0.007</f>
        <v>9.1999999999999998E-3</v>
      </c>
      <c r="F55" s="89"/>
      <c r="G55" s="406" t="s">
        <v>58</v>
      </c>
      <c r="H55" s="88">
        <f>0.0022+0.007</f>
        <v>9.1999999999999998E-3</v>
      </c>
      <c r="I55" s="89"/>
    </row>
    <row r="56" spans="1:9" x14ac:dyDescent="0.2">
      <c r="A56" s="429">
        <v>1.9099999999999999E-2</v>
      </c>
      <c r="B56" s="180">
        <f>(B$4)/(1-A56)-B$4</f>
        <v>9.9501478234274465E-2</v>
      </c>
      <c r="C56" s="91"/>
      <c r="D56" s="429">
        <v>6.3100000000000003E-2</v>
      </c>
      <c r="E56" s="180">
        <f>(E$4)/(1-D56)-E$4</f>
        <v>0.33876934571459127</v>
      </c>
      <c r="F56" s="91"/>
      <c r="G56" s="290">
        <v>0.10349999999999999</v>
      </c>
      <c r="H56" s="90">
        <f>(H$4)/(1-G56)-H$4</f>
        <v>0.58070831009481338</v>
      </c>
      <c r="I56" s="91"/>
    </row>
    <row r="57" spans="1:9" x14ac:dyDescent="0.2">
      <c r="A57" s="195"/>
      <c r="B57" s="181">
        <f>SUM(B54:B56)</f>
        <v>0.18840147823427447</v>
      </c>
      <c r="C57" s="94"/>
      <c r="D57" s="178"/>
      <c r="E57" s="181">
        <f>SUM(E54:E56)</f>
        <v>0.37236934571459129</v>
      </c>
      <c r="F57" s="94"/>
      <c r="G57" s="406"/>
      <c r="H57" s="93">
        <f>SUM(H54:H56)</f>
        <v>1.0768083100948134</v>
      </c>
      <c r="I57" s="94"/>
    </row>
    <row r="58" spans="1:9" x14ac:dyDescent="0.2">
      <c r="A58" s="424" t="s">
        <v>36</v>
      </c>
      <c r="B58" s="430" t="s">
        <v>531</v>
      </c>
      <c r="C58" s="86"/>
      <c r="D58" s="176" t="s">
        <v>104</v>
      </c>
      <c r="E58" s="177" t="s">
        <v>154</v>
      </c>
      <c r="F58" s="86"/>
      <c r="G58" s="140" t="s">
        <v>602</v>
      </c>
      <c r="H58" s="85" t="s">
        <v>190</v>
      </c>
      <c r="I58" s="86"/>
    </row>
    <row r="59" spans="1:9" x14ac:dyDescent="0.2">
      <c r="A59" s="194" t="s">
        <v>115</v>
      </c>
      <c r="B59" s="179">
        <v>7.7600000000000002E-2</v>
      </c>
      <c r="C59" s="89"/>
      <c r="D59" s="178" t="s">
        <v>115</v>
      </c>
      <c r="E59" s="179">
        <v>4.4699999999999997E-2</v>
      </c>
      <c r="F59" s="89"/>
      <c r="G59" s="406" t="s">
        <v>115</v>
      </c>
      <c r="H59" s="88">
        <v>9.5299999999999996E-2</v>
      </c>
      <c r="I59" s="89"/>
    </row>
    <row r="60" spans="1:9" x14ac:dyDescent="0.2">
      <c r="A60" s="194" t="s">
        <v>58</v>
      </c>
      <c r="B60" s="179">
        <f>0.0022+0.007</f>
        <v>9.1999999999999998E-3</v>
      </c>
      <c r="C60" s="89"/>
      <c r="D60" s="178" t="s">
        <v>58</v>
      </c>
      <c r="E60" s="179">
        <f>0.0022+0.007</f>
        <v>9.1999999999999998E-3</v>
      </c>
      <c r="F60" s="89"/>
      <c r="G60" s="406" t="s">
        <v>58</v>
      </c>
      <c r="H60" s="88">
        <f>0.0022+0.007</f>
        <v>9.1999999999999998E-3</v>
      </c>
      <c r="I60" s="89"/>
    </row>
    <row r="61" spans="1:9" x14ac:dyDescent="0.2">
      <c r="A61" s="429">
        <v>4.2799999999999998E-2</v>
      </c>
      <c r="B61" s="180">
        <f>(B$4)/(1-A61)-B$4</f>
        <v>0.22848725449226848</v>
      </c>
      <c r="C61" s="91"/>
      <c r="D61" s="429">
        <v>8.7499999999999994E-2</v>
      </c>
      <c r="E61" s="180">
        <f>(E$4)/(1-D61)-E$4</f>
        <v>0.48232876712328743</v>
      </c>
      <c r="F61" s="91"/>
      <c r="G61" s="290">
        <v>2.98E-2</v>
      </c>
      <c r="H61" s="90">
        <f>(H$3)/(1-G61)-H$3</f>
        <v>0.15419088847660323</v>
      </c>
      <c r="I61" s="91"/>
    </row>
    <row r="62" spans="1:9" x14ac:dyDescent="0.2">
      <c r="A62" s="195"/>
      <c r="B62" s="181">
        <f>SUM(B59:B61)</f>
        <v>0.31528725449226847</v>
      </c>
      <c r="C62" s="94"/>
      <c r="D62" s="178"/>
      <c r="E62" s="181">
        <f>SUM(E59:E61)</f>
        <v>0.53622876712328738</v>
      </c>
      <c r="F62" s="94"/>
      <c r="G62" s="406"/>
      <c r="H62" s="93">
        <f>SUM(H59:H61)</f>
        <v>0.25869088847660321</v>
      </c>
      <c r="I62" s="94"/>
    </row>
    <row r="63" spans="1:9" x14ac:dyDescent="0.2">
      <c r="A63" s="424" t="s">
        <v>36</v>
      </c>
      <c r="B63" s="430" t="s">
        <v>532</v>
      </c>
      <c r="C63" s="86"/>
      <c r="D63" s="176" t="s">
        <v>104</v>
      </c>
      <c r="E63" s="177" t="s">
        <v>158</v>
      </c>
      <c r="F63" s="86"/>
      <c r="G63" s="140" t="s">
        <v>602</v>
      </c>
      <c r="H63" s="85" t="s">
        <v>168</v>
      </c>
      <c r="I63" s="86"/>
    </row>
    <row r="64" spans="1:9" x14ac:dyDescent="0.2">
      <c r="A64" s="194" t="s">
        <v>115</v>
      </c>
      <c r="B64" s="179">
        <v>8.7400000000000005E-2</v>
      </c>
      <c r="C64" s="89"/>
      <c r="D64" s="178" t="s">
        <v>115</v>
      </c>
      <c r="E64" s="179">
        <v>5.8599999999999999E-2</v>
      </c>
      <c r="F64" s="89"/>
      <c r="G64" s="406" t="s">
        <v>115</v>
      </c>
      <c r="H64" s="88">
        <v>7.9100000000000004E-2</v>
      </c>
      <c r="I64" s="89"/>
    </row>
    <row r="65" spans="1:9" x14ac:dyDescent="0.2">
      <c r="A65" s="194" t="s">
        <v>58</v>
      </c>
      <c r="B65" s="179">
        <f>0.0022</f>
        <v>2.2000000000000001E-3</v>
      </c>
      <c r="C65" s="89"/>
      <c r="D65" s="178" t="s">
        <v>58</v>
      </c>
      <c r="E65" s="179">
        <f>0.0022+0.007</f>
        <v>9.1999999999999998E-3</v>
      </c>
      <c r="F65" s="89"/>
      <c r="G65" s="406" t="s">
        <v>58</v>
      </c>
      <c r="H65" s="88">
        <f>0.0022+0.007</f>
        <v>9.1999999999999998E-3</v>
      </c>
      <c r="I65" s="89"/>
    </row>
    <row r="66" spans="1:9" x14ac:dyDescent="0.2">
      <c r="A66" s="429">
        <v>4.99E-2</v>
      </c>
      <c r="B66" s="180">
        <f>(B$4)/(1-A66)-B$4</f>
        <v>0.2683812230291549</v>
      </c>
      <c r="C66" s="91"/>
      <c r="D66" s="429">
        <v>0.10349999999999999</v>
      </c>
      <c r="E66" s="180">
        <f>(E$4)/(1-D66)-E$4</f>
        <v>0.58070831009481338</v>
      </c>
      <c r="F66" s="91"/>
      <c r="G66" s="290">
        <v>2.98E-2</v>
      </c>
      <c r="H66" s="90">
        <f>(H$3)/(1-G66)-H$3</f>
        <v>0.15419088847660323</v>
      </c>
      <c r="I66" s="91"/>
    </row>
    <row r="67" spans="1:9" x14ac:dyDescent="0.2">
      <c r="A67" s="195"/>
      <c r="B67" s="181">
        <f>SUM(B64:B66)</f>
        <v>0.35798122302915492</v>
      </c>
      <c r="C67" s="94"/>
      <c r="D67" s="178"/>
      <c r="E67" s="181">
        <f>SUM(E64:E66)</f>
        <v>0.64850831009481336</v>
      </c>
      <c r="F67" s="94"/>
      <c r="G67" s="406"/>
      <c r="H67" s="93">
        <f>SUM(H64:H66)</f>
        <v>0.24249088847660322</v>
      </c>
      <c r="I67" s="94"/>
    </row>
    <row r="68" spans="1:9" x14ac:dyDescent="0.2">
      <c r="A68" s="424" t="s">
        <v>36</v>
      </c>
      <c r="B68" s="430" t="s">
        <v>533</v>
      </c>
      <c r="C68" s="99"/>
      <c r="D68" s="176" t="s">
        <v>104</v>
      </c>
      <c r="E68" s="177" t="s">
        <v>191</v>
      </c>
      <c r="F68" s="99"/>
      <c r="G68" s="140" t="s">
        <v>602</v>
      </c>
      <c r="H68" s="85" t="s">
        <v>170</v>
      </c>
      <c r="I68" s="99"/>
    </row>
    <row r="69" spans="1:9" x14ac:dyDescent="0.2">
      <c r="A69" s="194" t="s">
        <v>115</v>
      </c>
      <c r="B69" s="179">
        <v>0.1014</v>
      </c>
      <c r="C69" s="89"/>
      <c r="D69" s="178" t="s">
        <v>115</v>
      </c>
      <c r="E69" s="179">
        <v>1.4E-2</v>
      </c>
      <c r="F69" s="89"/>
      <c r="G69" s="406" t="s">
        <v>115</v>
      </c>
      <c r="H69" s="88">
        <v>0.23150000000000001</v>
      </c>
      <c r="I69" s="89"/>
    </row>
    <row r="70" spans="1:9" x14ac:dyDescent="0.2">
      <c r="A70" s="194" t="s">
        <v>58</v>
      </c>
      <c r="B70" s="179">
        <f>0.0022+0.007</f>
        <v>9.1999999999999998E-3</v>
      </c>
      <c r="C70" s="89"/>
      <c r="D70" s="178" t="s">
        <v>58</v>
      </c>
      <c r="E70" s="179">
        <f>0.0022+0.007</f>
        <v>9.1999999999999998E-3</v>
      </c>
      <c r="F70" s="89"/>
      <c r="G70" s="406" t="s">
        <v>58</v>
      </c>
      <c r="H70" s="88">
        <f>0.0022+0.007</f>
        <v>9.1999999999999998E-3</v>
      </c>
      <c r="I70" s="89"/>
    </row>
    <row r="71" spans="1:9" x14ac:dyDescent="0.2">
      <c r="A71" s="429">
        <v>5.8999999999999997E-2</v>
      </c>
      <c r="B71" s="180">
        <f>(B$4)/(1-A71)-B$4</f>
        <v>0.32039319872476035</v>
      </c>
      <c r="C71" s="91"/>
      <c r="D71" s="429">
        <v>3.0300000000000001E-2</v>
      </c>
      <c r="E71" s="180">
        <f>(E$3)/(1-D71)-E$3</f>
        <v>0.1568588223161802</v>
      </c>
      <c r="F71" s="91"/>
      <c r="G71" s="290">
        <v>5.8200000000000002E-2</v>
      </c>
      <c r="H71" s="90">
        <f>(H$3)/(1-G71)-H$3</f>
        <v>0.3102187300913144</v>
      </c>
      <c r="I71" s="91"/>
    </row>
    <row r="72" spans="1:9" x14ac:dyDescent="0.2">
      <c r="A72" s="195"/>
      <c r="B72" s="181">
        <f>SUM(B69:B71)</f>
        <v>0.43099319872476038</v>
      </c>
      <c r="C72" s="94"/>
      <c r="D72" s="178"/>
      <c r="E72" s="181">
        <f>SUM(E69:E71)</f>
        <v>0.1800588223161802</v>
      </c>
      <c r="F72" s="94"/>
      <c r="G72" s="406"/>
      <c r="H72" s="93">
        <f>SUM(H69:H71)</f>
        <v>0.55091873009131442</v>
      </c>
      <c r="I72" s="94"/>
    </row>
    <row r="73" spans="1:9" x14ac:dyDescent="0.2">
      <c r="A73" s="424" t="s">
        <v>36</v>
      </c>
      <c r="B73" s="430" t="s">
        <v>534</v>
      </c>
      <c r="C73" s="99"/>
      <c r="D73" s="176" t="s">
        <v>104</v>
      </c>
      <c r="E73" s="177" t="s">
        <v>190</v>
      </c>
      <c r="F73" s="99"/>
      <c r="G73" s="140" t="s">
        <v>602</v>
      </c>
      <c r="H73" s="85" t="s">
        <v>172</v>
      </c>
      <c r="I73" s="99"/>
    </row>
    <row r="74" spans="1:9" x14ac:dyDescent="0.2">
      <c r="A74" s="194" t="s">
        <v>115</v>
      </c>
      <c r="B74" s="179">
        <v>0.11260000000000001</v>
      </c>
      <c r="C74" s="89"/>
      <c r="D74" s="178" t="s">
        <v>115</v>
      </c>
      <c r="E74" s="179">
        <v>1.03E-2</v>
      </c>
      <c r="F74" s="89"/>
      <c r="G74" s="406" t="s">
        <v>115</v>
      </c>
      <c r="H74" s="88">
        <v>0.37359999999999999</v>
      </c>
      <c r="I74" s="89"/>
    </row>
    <row r="75" spans="1:9" x14ac:dyDescent="0.2">
      <c r="A75" s="194" t="s">
        <v>58</v>
      </c>
      <c r="B75" s="179">
        <f>0.0022+0.007</f>
        <v>9.1999999999999998E-3</v>
      </c>
      <c r="C75" s="89"/>
      <c r="D75" s="178" t="s">
        <v>58</v>
      </c>
      <c r="E75" s="179">
        <f>0.0022</f>
        <v>2.2000000000000001E-3</v>
      </c>
      <c r="F75" s="89"/>
      <c r="G75" s="406" t="s">
        <v>58</v>
      </c>
      <c r="H75" s="88">
        <f>0.0022+0.007</f>
        <v>9.1999999999999998E-3</v>
      </c>
      <c r="I75" s="89"/>
    </row>
    <row r="76" spans="1:9" x14ac:dyDescent="0.2">
      <c r="A76" s="429">
        <v>6.9900000000000004E-2</v>
      </c>
      <c r="B76" s="180">
        <f>(B$4)/(1-A76)-B$4</f>
        <v>0.3840328996882052</v>
      </c>
      <c r="C76" s="91"/>
      <c r="D76" s="429">
        <v>2.98E-2</v>
      </c>
      <c r="E76" s="180">
        <f>(E$3)/(1-D76)-E$3</f>
        <v>0.15419088847660323</v>
      </c>
      <c r="F76" s="91"/>
      <c r="G76" s="290">
        <v>8.2600000000000007E-2</v>
      </c>
      <c r="H76" s="90">
        <f>(H$3)/(1-G76)-H$3</f>
        <v>0.45198604752561611</v>
      </c>
      <c r="I76" s="91"/>
    </row>
    <row r="77" spans="1:9" x14ac:dyDescent="0.2">
      <c r="A77" s="195"/>
      <c r="B77" s="181">
        <f>SUM(B74:B76)</f>
        <v>0.50583289968820522</v>
      </c>
      <c r="C77" s="94"/>
      <c r="D77" s="178"/>
      <c r="E77" s="181">
        <f>SUM(E74:E76)</f>
        <v>0.16669088847660324</v>
      </c>
      <c r="F77" s="94"/>
      <c r="G77" s="406"/>
      <c r="H77" s="93">
        <f>SUM(H74:H76)</f>
        <v>0.83478604752561614</v>
      </c>
      <c r="I77" s="94"/>
    </row>
    <row r="78" spans="1:9" x14ac:dyDescent="0.2">
      <c r="A78" s="424" t="s">
        <v>36</v>
      </c>
      <c r="B78" s="430" t="s">
        <v>535</v>
      </c>
      <c r="C78" s="99"/>
      <c r="D78" s="176" t="s">
        <v>104</v>
      </c>
      <c r="E78" s="177" t="s">
        <v>161</v>
      </c>
      <c r="F78" s="99"/>
      <c r="G78" s="140" t="s">
        <v>602</v>
      </c>
      <c r="H78" s="85" t="s">
        <v>174</v>
      </c>
      <c r="I78" s="99"/>
    </row>
    <row r="79" spans="1:9" x14ac:dyDescent="0.2">
      <c r="A79" s="194" t="s">
        <v>115</v>
      </c>
      <c r="B79" s="179">
        <v>0.15029999999999999</v>
      </c>
      <c r="C79" s="89"/>
      <c r="D79" s="178" t="s">
        <v>115</v>
      </c>
      <c r="E79" s="179">
        <v>8.6999999999999994E-3</v>
      </c>
      <c r="F79" s="89"/>
      <c r="G79" s="406" t="s">
        <v>115</v>
      </c>
      <c r="H79" s="88">
        <v>0.47070000000000001</v>
      </c>
      <c r="I79" s="89"/>
    </row>
    <row r="80" spans="1:9" x14ac:dyDescent="0.2">
      <c r="A80" s="194" t="s">
        <v>58</v>
      </c>
      <c r="B80" s="179">
        <f>0.0022+0.007</f>
        <v>9.1999999999999998E-3</v>
      </c>
      <c r="C80" s="89"/>
      <c r="D80" s="178" t="s">
        <v>58</v>
      </c>
      <c r="E80" s="179">
        <f>0.0022+0.007</f>
        <v>9.1999999999999998E-3</v>
      </c>
      <c r="F80" s="89"/>
      <c r="G80" s="406" t="s">
        <v>58</v>
      </c>
      <c r="H80" s="88">
        <f>0.0022+0.007</f>
        <v>9.1999999999999998E-3</v>
      </c>
      <c r="I80" s="89"/>
    </row>
    <row r="81" spans="1:9" x14ac:dyDescent="0.2">
      <c r="A81" s="429">
        <v>7.8200000000000006E-2</v>
      </c>
      <c r="B81" s="180">
        <f>(B$4)/(1-A81)-B$4</f>
        <v>0.43350184421783489</v>
      </c>
      <c r="C81" s="91"/>
      <c r="D81" s="429">
        <v>2.98E-2</v>
      </c>
      <c r="E81" s="180">
        <f>(E$3)/(1-D81)-E$3</f>
        <v>0.15419088847660323</v>
      </c>
      <c r="F81" s="91"/>
      <c r="G81" s="290">
        <v>9.8599999999999993E-2</v>
      </c>
      <c r="H81" s="90">
        <f>(H$3)/(1-G81)-H$3</f>
        <v>0.54911471045041083</v>
      </c>
      <c r="I81" s="91"/>
    </row>
    <row r="82" spans="1:9" x14ac:dyDescent="0.2">
      <c r="A82" s="195"/>
      <c r="B82" s="181">
        <f>SUM(B79:B81)</f>
        <v>0.59300184421783486</v>
      </c>
      <c r="C82" s="94"/>
      <c r="D82" s="178"/>
      <c r="E82" s="181">
        <f>SUM(E79:E81)</f>
        <v>0.17209088847660323</v>
      </c>
      <c r="F82" s="94"/>
      <c r="G82" s="406"/>
      <c r="H82" s="93">
        <f>SUM(H79:H81)</f>
        <v>1.0290147104504108</v>
      </c>
      <c r="I82" s="94"/>
    </row>
    <row r="83" spans="1:9" x14ac:dyDescent="0.2">
      <c r="A83" s="424" t="s">
        <v>36</v>
      </c>
      <c r="B83" s="430" t="s">
        <v>536</v>
      </c>
      <c r="C83" s="99"/>
      <c r="D83" s="176" t="s">
        <v>104</v>
      </c>
      <c r="E83" s="177" t="s">
        <v>165</v>
      </c>
      <c r="F83" s="99"/>
      <c r="G83" s="140" t="s">
        <v>602</v>
      </c>
      <c r="H83" s="85" t="s">
        <v>179</v>
      </c>
      <c r="I83" s="99"/>
    </row>
    <row r="84" spans="1:9" x14ac:dyDescent="0.2">
      <c r="A84" s="194" t="s">
        <v>115</v>
      </c>
      <c r="B84" s="179">
        <v>7.8299999999999995E-2</v>
      </c>
      <c r="C84" s="89"/>
      <c r="D84" s="178" t="s">
        <v>115</v>
      </c>
      <c r="E84" s="179">
        <v>8.6999999999999994E-3</v>
      </c>
      <c r="F84" s="89"/>
      <c r="G84" s="406" t="s">
        <v>115</v>
      </c>
      <c r="H84" s="88">
        <v>0.29449999999999998</v>
      </c>
      <c r="I84" s="89"/>
    </row>
    <row r="85" spans="1:9" x14ac:dyDescent="0.2">
      <c r="A85" s="194" t="s">
        <v>58</v>
      </c>
      <c r="B85" s="179">
        <f>0.0022+0.007</f>
        <v>9.1999999999999998E-3</v>
      </c>
      <c r="C85" s="89"/>
      <c r="D85" s="178" t="s">
        <v>58</v>
      </c>
      <c r="E85" s="179">
        <f>0.0022+0.007</f>
        <v>9.1999999999999998E-3</v>
      </c>
      <c r="F85" s="89"/>
      <c r="G85" s="406" t="s">
        <v>58</v>
      </c>
      <c r="H85" s="88">
        <f>0.0022+0.007</f>
        <v>9.1999999999999998E-3</v>
      </c>
      <c r="I85" s="89"/>
    </row>
    <row r="86" spans="1:9" x14ac:dyDescent="0.2">
      <c r="A86" s="429">
        <v>4.1500000000000002E-2</v>
      </c>
      <c r="B86" s="382">
        <f>(B4)/(1-A86)-B4</f>
        <v>0.22124673969744357</v>
      </c>
      <c r="C86" s="91"/>
      <c r="D86" s="429">
        <v>2.98E-2</v>
      </c>
      <c r="E86" s="180">
        <f>(E$3)/(1-D86)-E$3</f>
        <v>0.15419088847660323</v>
      </c>
      <c r="F86" s="91"/>
      <c r="G86" s="290">
        <v>5.28E-2</v>
      </c>
      <c r="H86" s="90">
        <f>(H$6)/(1-G86)-(H$6)</f>
        <v>0.2842905405405407</v>
      </c>
      <c r="I86" s="91"/>
    </row>
    <row r="87" spans="1:9" x14ac:dyDescent="0.2">
      <c r="A87" s="195"/>
      <c r="B87" s="181">
        <f>SUM(B84:B86)</f>
        <v>0.3087467396974436</v>
      </c>
      <c r="C87" s="94"/>
      <c r="D87" s="178"/>
      <c r="E87" s="181">
        <f>SUM(E84:E86)</f>
        <v>0.17209088847660323</v>
      </c>
      <c r="F87" s="94"/>
      <c r="G87" s="406"/>
      <c r="H87" s="93">
        <f>SUM(H84:H86)</f>
        <v>0.58799054054054067</v>
      </c>
      <c r="I87" s="94"/>
    </row>
    <row r="88" spans="1:9" x14ac:dyDescent="0.2">
      <c r="A88" s="424" t="s">
        <v>36</v>
      </c>
      <c r="B88" s="430" t="s">
        <v>537</v>
      </c>
      <c r="C88" s="99"/>
      <c r="D88" s="176" t="s">
        <v>104</v>
      </c>
      <c r="E88" s="177" t="s">
        <v>168</v>
      </c>
      <c r="F88" s="99"/>
      <c r="G88" s="140" t="s">
        <v>602</v>
      </c>
      <c r="H88" s="85" t="s">
        <v>181</v>
      </c>
      <c r="I88" s="99"/>
    </row>
    <row r="89" spans="1:9" x14ac:dyDescent="0.2">
      <c r="A89" s="194" t="s">
        <v>115</v>
      </c>
      <c r="B89" s="179">
        <f>0.0511-0.0022-0.0088</f>
        <v>4.0099999999999997E-2</v>
      </c>
      <c r="C89" s="89"/>
      <c r="D89" s="178" t="s">
        <v>115</v>
      </c>
      <c r="E89" s="179">
        <v>8.6999999999999994E-3</v>
      </c>
      <c r="F89" s="89"/>
      <c r="G89" s="406" t="s">
        <v>115</v>
      </c>
      <c r="H89" s="88">
        <v>0.3916</v>
      </c>
      <c r="I89" s="89"/>
    </row>
    <row r="90" spans="1:9" x14ac:dyDescent="0.2">
      <c r="A90" s="194" t="s">
        <v>58</v>
      </c>
      <c r="B90" s="179">
        <f>0.0022+0.007</f>
        <v>9.1999999999999998E-3</v>
      </c>
      <c r="C90" s="89"/>
      <c r="D90" s="178" t="s">
        <v>58</v>
      </c>
      <c r="E90" s="179">
        <f>0.0022+0.007</f>
        <v>9.1999999999999998E-3</v>
      </c>
      <c r="F90" s="89"/>
      <c r="G90" s="406" t="s">
        <v>58</v>
      </c>
      <c r="H90" s="88">
        <f>0.0022+0.007</f>
        <v>9.1999999999999998E-3</v>
      </c>
      <c r="I90" s="89"/>
    </row>
    <row r="91" spans="1:9" x14ac:dyDescent="0.2">
      <c r="A91" s="429">
        <v>1.09E-2</v>
      </c>
      <c r="B91" s="382">
        <f>(B5)/(1-A91)-B5</f>
        <v>6.1602466889091545E-2</v>
      </c>
      <c r="C91" s="91"/>
      <c r="D91" s="429">
        <v>2.98E-2</v>
      </c>
      <c r="E91" s="180">
        <f>(E$3)/(1-D91)-E$3</f>
        <v>0.15419088847660323</v>
      </c>
      <c r="F91" s="91"/>
      <c r="G91" s="290">
        <v>6.88E-2</v>
      </c>
      <c r="H91" s="90">
        <f>(H$6)/(1-G91)-(H$6)</f>
        <v>0.37680412371133976</v>
      </c>
      <c r="I91" s="91"/>
    </row>
    <row r="92" spans="1:9" x14ac:dyDescent="0.2">
      <c r="A92" s="195"/>
      <c r="B92" s="181">
        <f>SUM(B89:B91)</f>
        <v>0.11090246688909154</v>
      </c>
      <c r="C92" s="94"/>
      <c r="D92" s="178"/>
      <c r="E92" s="181">
        <f>SUM(E89:E91)</f>
        <v>0.17209088847660323</v>
      </c>
      <c r="F92" s="94"/>
      <c r="G92" s="406"/>
      <c r="H92" s="93">
        <f>SUM(H89:H91)</f>
        <v>0.7776041237113398</v>
      </c>
      <c r="I92" s="94"/>
    </row>
    <row r="93" spans="1:9" x14ac:dyDescent="0.2">
      <c r="A93" s="424" t="s">
        <v>36</v>
      </c>
      <c r="B93" s="430" t="s">
        <v>538</v>
      </c>
      <c r="C93" s="94"/>
      <c r="D93" s="176" t="s">
        <v>104</v>
      </c>
      <c r="E93" s="177" t="s">
        <v>170</v>
      </c>
      <c r="F93" s="94"/>
      <c r="G93" s="140" t="s">
        <v>602</v>
      </c>
      <c r="H93" s="93" t="s">
        <v>183</v>
      </c>
      <c r="I93" s="94"/>
    </row>
    <row r="94" spans="1:9" x14ac:dyDescent="0.2">
      <c r="A94" s="194" t="s">
        <v>115</v>
      </c>
      <c r="B94" s="179">
        <v>8.3400000000000002E-2</v>
      </c>
      <c r="C94" s="96"/>
      <c r="D94" s="178" t="s">
        <v>115</v>
      </c>
      <c r="E94" s="179">
        <v>2.2800000000000001E-2</v>
      </c>
      <c r="F94" s="96"/>
      <c r="G94" s="406" t="s">
        <v>115</v>
      </c>
      <c r="H94" s="98">
        <v>0.22559999999999999</v>
      </c>
      <c r="I94" s="96"/>
    </row>
    <row r="95" spans="1:9" x14ac:dyDescent="0.2">
      <c r="A95" s="194" t="s">
        <v>58</v>
      </c>
      <c r="B95" s="179">
        <f>0.0022+0.007</f>
        <v>9.1999999999999998E-3</v>
      </c>
      <c r="C95" s="96" t="s">
        <v>45</v>
      </c>
      <c r="D95" s="178" t="s">
        <v>58</v>
      </c>
      <c r="E95" s="179">
        <f>0.0022+0.007</f>
        <v>9.1999999999999998E-3</v>
      </c>
      <c r="F95" s="96"/>
      <c r="G95" s="406" t="s">
        <v>58</v>
      </c>
      <c r="H95" s="88">
        <f>0.0022+0.007</f>
        <v>9.1999999999999998E-3</v>
      </c>
      <c r="I95" s="96"/>
    </row>
    <row r="96" spans="1:9" x14ac:dyDescent="0.2">
      <c r="A96" s="429">
        <v>2.1700000000000001E-2</v>
      </c>
      <c r="B96" s="382">
        <f>(B5)/(1-A96)-B5</f>
        <v>0.12399366247572363</v>
      </c>
      <c r="C96" s="91"/>
      <c r="D96" s="429">
        <v>5.8200000000000002E-2</v>
      </c>
      <c r="E96" s="180">
        <f>(E$3)/(1-D96)-E$3</f>
        <v>0.3102187300913144</v>
      </c>
      <c r="F96" s="91"/>
      <c r="G96" s="290">
        <v>4.1099999999999998E-2</v>
      </c>
      <c r="H96" s="90">
        <f>(H$6)/(1-G96)-(H$6)</f>
        <v>0.2185942225466686</v>
      </c>
      <c r="I96" s="91"/>
    </row>
    <row r="97" spans="1:9" x14ac:dyDescent="0.2">
      <c r="A97" s="195"/>
      <c r="B97" s="181">
        <f>SUM(B94:B96)</f>
        <v>0.21659366247572365</v>
      </c>
      <c r="C97" s="94"/>
      <c r="D97" s="178"/>
      <c r="E97" s="181">
        <f>SUM(E94:E96)</f>
        <v>0.34221873009131443</v>
      </c>
      <c r="F97" s="94"/>
      <c r="G97" s="406"/>
      <c r="H97" s="93">
        <f>SUM(H94:H96)</f>
        <v>0.45339422254666861</v>
      </c>
      <c r="I97" s="94"/>
    </row>
    <row r="98" spans="1:9" x14ac:dyDescent="0.2">
      <c r="A98" s="424" t="s">
        <v>36</v>
      </c>
      <c r="B98" s="431" t="s">
        <v>539</v>
      </c>
      <c r="C98" s="99"/>
      <c r="D98" s="176" t="s">
        <v>104</v>
      </c>
      <c r="E98" s="177" t="s">
        <v>172</v>
      </c>
      <c r="F98" s="99"/>
      <c r="G98" s="140" t="s">
        <v>602</v>
      </c>
      <c r="H98" s="93" t="s">
        <v>185</v>
      </c>
      <c r="I98" s="99"/>
    </row>
    <row r="99" spans="1:9" x14ac:dyDescent="0.2">
      <c r="A99" s="195" t="s">
        <v>115</v>
      </c>
      <c r="B99" s="179">
        <v>4.2700000000000002E-2</v>
      </c>
      <c r="C99" s="89"/>
      <c r="D99" s="178" t="s">
        <v>115</v>
      </c>
      <c r="E99" s="179">
        <v>4.3099999999999999E-2</v>
      </c>
      <c r="F99" s="89"/>
      <c r="G99" s="406" t="s">
        <v>115</v>
      </c>
      <c r="H99" s="98">
        <v>0.32729999999999998</v>
      </c>
      <c r="I99" s="89"/>
    </row>
    <row r="100" spans="1:9" x14ac:dyDescent="0.2">
      <c r="A100" s="195" t="s">
        <v>58</v>
      </c>
      <c r="B100" s="179">
        <f>0.0022+0.007</f>
        <v>9.1999999999999998E-3</v>
      </c>
      <c r="C100" s="89"/>
      <c r="D100" s="178" t="s">
        <v>58</v>
      </c>
      <c r="E100" s="179">
        <f>0.0022+0.007</f>
        <v>9.1999999999999998E-3</v>
      </c>
      <c r="F100" s="89"/>
      <c r="G100" s="406" t="s">
        <v>58</v>
      </c>
      <c r="H100" s="88">
        <f>0.0022+0.007</f>
        <v>9.1999999999999998E-3</v>
      </c>
      <c r="I100" s="89"/>
    </row>
    <row r="101" spans="1:9" x14ac:dyDescent="0.2">
      <c r="A101" s="429">
        <v>1.2800000000000001E-2</v>
      </c>
      <c r="B101" s="403">
        <f>(+B5)/(1-A101)-B5</f>
        <v>7.2479740680713611E-2</v>
      </c>
      <c r="C101" s="89"/>
      <c r="D101" s="429">
        <v>8.2600000000000007E-2</v>
      </c>
      <c r="E101" s="180">
        <f>(E$3)/(1-D101)-E$3</f>
        <v>0.45198604752561611</v>
      </c>
      <c r="F101" s="89"/>
      <c r="G101" s="290">
        <v>5.7500000000000002E-2</v>
      </c>
      <c r="H101" s="90">
        <f>(H$6)/(1-G101)-(H$6)</f>
        <v>0.31114058355437635</v>
      </c>
      <c r="I101" s="89"/>
    </row>
    <row r="102" spans="1:9" x14ac:dyDescent="0.2">
      <c r="A102" s="195"/>
      <c r="B102" s="181">
        <f>SUM(B99:B101)</f>
        <v>0.12437974068071361</v>
      </c>
      <c r="C102" s="91"/>
      <c r="D102" s="178"/>
      <c r="E102" s="181">
        <f>SUM(E99:E101)</f>
        <v>0.50428604752561612</v>
      </c>
      <c r="F102" s="91"/>
      <c r="G102" s="406"/>
      <c r="H102" s="93">
        <f>SUM(H99:H101)</f>
        <v>0.64764058355437637</v>
      </c>
      <c r="I102" s="91"/>
    </row>
    <row r="103" spans="1:9" x14ac:dyDescent="0.2">
      <c r="A103" s="432" t="s">
        <v>561</v>
      </c>
      <c r="B103" s="431" t="s">
        <v>560</v>
      </c>
      <c r="C103" s="94"/>
      <c r="D103" s="176" t="s">
        <v>104</v>
      </c>
      <c r="E103" s="177" t="s">
        <v>174</v>
      </c>
      <c r="F103" s="94"/>
      <c r="G103" s="140" t="s">
        <v>602</v>
      </c>
      <c r="H103" s="93" t="s">
        <v>186</v>
      </c>
      <c r="I103" s="94"/>
    </row>
    <row r="104" spans="1:9" x14ac:dyDescent="0.2">
      <c r="A104" s="195" t="s">
        <v>115</v>
      </c>
      <c r="B104" s="179">
        <v>4.2700000000000002E-2</v>
      </c>
      <c r="D104" s="178" t="s">
        <v>115</v>
      </c>
      <c r="E104" s="179">
        <v>5.7000000000000002E-2</v>
      </c>
      <c r="G104" s="406" t="s">
        <v>115</v>
      </c>
      <c r="H104" s="98">
        <v>0.18060000000000001</v>
      </c>
    </row>
    <row r="105" spans="1:9" x14ac:dyDescent="0.2">
      <c r="A105" s="195" t="s">
        <v>58</v>
      </c>
      <c r="B105" s="179">
        <f>0.0022+0.007</f>
        <v>9.1999999999999998E-3</v>
      </c>
      <c r="C105" s="99"/>
      <c r="D105" s="178" t="s">
        <v>58</v>
      </c>
      <c r="E105" s="179">
        <f>0.0022+0.007</f>
        <v>9.1999999999999998E-3</v>
      </c>
      <c r="F105" s="99"/>
      <c r="G105" s="406" t="s">
        <v>58</v>
      </c>
      <c r="H105" s="88">
        <f>0.0022+0.007</f>
        <v>9.1999999999999998E-3</v>
      </c>
      <c r="I105" s="99"/>
    </row>
    <row r="106" spans="1:9" x14ac:dyDescent="0.2">
      <c r="A106" s="195" t="s">
        <v>562</v>
      </c>
      <c r="B106" s="180">
        <f>(+B5)/(1-0.005)-B5</f>
        <v>2.8090452261306353E-2</v>
      </c>
      <c r="C106" s="89"/>
      <c r="D106" s="429">
        <v>9.8599999999999993E-2</v>
      </c>
      <c r="E106" s="180">
        <f>(E$3)/(1-D106)-E$3</f>
        <v>0.54911471045041083</v>
      </c>
      <c r="F106" s="89"/>
      <c r="G106" s="290">
        <v>3.3300000000000003E-2</v>
      </c>
      <c r="H106" s="90">
        <f>(H$7)/(1-G106)-H$7</f>
        <v>0.19617616633909218</v>
      </c>
      <c r="I106" s="89"/>
    </row>
    <row r="107" spans="1:9" x14ac:dyDescent="0.2">
      <c r="A107" s="195"/>
      <c r="B107" s="181">
        <f>SUM(B104:B106)</f>
        <v>7.9990452261306355E-2</v>
      </c>
      <c r="C107" s="89"/>
      <c r="D107" s="178"/>
      <c r="E107" s="181">
        <f>SUM(E104:E106)</f>
        <v>0.61531471045041086</v>
      </c>
      <c r="F107" s="89"/>
      <c r="G107" s="406"/>
      <c r="H107" s="93">
        <f>SUM(H104:H106)</f>
        <v>0.38597616633909221</v>
      </c>
      <c r="I107" s="89"/>
    </row>
    <row r="108" spans="1:9" x14ac:dyDescent="0.2">
      <c r="A108" s="424" t="s">
        <v>36</v>
      </c>
      <c r="B108" s="431" t="s">
        <v>540</v>
      </c>
      <c r="C108" s="91"/>
      <c r="D108" s="176" t="s">
        <v>104</v>
      </c>
      <c r="E108" s="177" t="s">
        <v>176</v>
      </c>
      <c r="F108" s="91"/>
      <c r="G108" s="421"/>
      <c r="H108" s="94"/>
      <c r="I108" s="91"/>
    </row>
    <row r="109" spans="1:9" x14ac:dyDescent="0.2">
      <c r="A109" s="195" t="s">
        <v>115</v>
      </c>
      <c r="B109" s="179">
        <v>7.6499999999999999E-2</v>
      </c>
      <c r="C109" s="94"/>
      <c r="D109" s="178" t="s">
        <v>115</v>
      </c>
      <c r="E109" s="179">
        <v>1.41E-2</v>
      </c>
      <c r="F109" s="94"/>
      <c r="G109" s="89"/>
      <c r="H109" s="96"/>
      <c r="I109" s="94"/>
    </row>
    <row r="110" spans="1:9" x14ac:dyDescent="0.2">
      <c r="A110" s="195" t="s">
        <v>58</v>
      </c>
      <c r="B110" s="179">
        <f>0.0022+0.007</f>
        <v>9.1999999999999998E-3</v>
      </c>
      <c r="C110" s="99"/>
      <c r="D110" s="178" t="s">
        <v>58</v>
      </c>
      <c r="E110" s="179">
        <f>0.0022+0.007</f>
        <v>9.1999999999999998E-3</v>
      </c>
      <c r="F110" s="99"/>
      <c r="G110" s="89"/>
      <c r="H110" s="89"/>
      <c r="I110" s="99"/>
    </row>
    <row r="111" spans="1:9" x14ac:dyDescent="0.2">
      <c r="A111" s="433">
        <v>2.0899999999999998E-2</v>
      </c>
      <c r="B111" s="180">
        <f>(+B5)/(1-A111)-B5</f>
        <v>0.11932489020529058</v>
      </c>
      <c r="C111" s="89"/>
      <c r="D111" s="429">
        <v>2.8400000000000002E-2</v>
      </c>
      <c r="E111" s="180">
        <f>(E$6)/(1-D111)-E$6</f>
        <v>0.1490736928777272</v>
      </c>
      <c r="F111" s="89"/>
      <c r="G111" s="89"/>
      <c r="H111" s="91"/>
      <c r="I111" s="89"/>
    </row>
    <row r="112" spans="1:9" x14ac:dyDescent="0.2">
      <c r="A112" s="195"/>
      <c r="B112" s="181">
        <f>SUM(B109:B111)</f>
        <v>0.20502489020529058</v>
      </c>
      <c r="C112" s="89"/>
      <c r="D112" s="178"/>
      <c r="E112" s="181">
        <f>SUM(E109:E111)</f>
        <v>0.17237369287772719</v>
      </c>
      <c r="F112" s="89"/>
      <c r="G112" s="89"/>
      <c r="H112" s="94"/>
      <c r="I112" s="89"/>
    </row>
    <row r="113" spans="1:9" x14ac:dyDescent="0.2">
      <c r="A113" s="424" t="s">
        <v>36</v>
      </c>
      <c r="B113" s="431" t="s">
        <v>646</v>
      </c>
      <c r="C113" s="91"/>
      <c r="D113" s="176" t="s">
        <v>104</v>
      </c>
      <c r="E113" s="177" t="s">
        <v>179</v>
      </c>
      <c r="F113" s="91"/>
      <c r="G113" s="89"/>
      <c r="H113" s="89"/>
      <c r="I113" s="91"/>
    </row>
    <row r="114" spans="1:9" x14ac:dyDescent="0.2">
      <c r="A114" s="195" t="s">
        <v>115</v>
      </c>
      <c r="B114" s="179">
        <v>0.31919999999999998</v>
      </c>
      <c r="C114" s="94"/>
      <c r="D114" s="178" t="s">
        <v>115</v>
      </c>
      <c r="E114" s="179">
        <v>3.44E-2</v>
      </c>
      <c r="F114" s="94"/>
      <c r="G114" s="89"/>
      <c r="H114" s="89"/>
      <c r="I114" s="94"/>
    </row>
    <row r="115" spans="1:9" x14ac:dyDescent="0.2">
      <c r="A115" s="195" t="s">
        <v>58</v>
      </c>
      <c r="B115" s="179">
        <f>0.0022+0.007</f>
        <v>9.1999999999999998E-3</v>
      </c>
      <c r="D115" s="178" t="s">
        <v>58</v>
      </c>
      <c r="E115" s="179">
        <f>0.0022+0.007</f>
        <v>9.1999999999999998E-3</v>
      </c>
      <c r="G115" s="91"/>
      <c r="H115" s="91"/>
    </row>
    <row r="116" spans="1:9" x14ac:dyDescent="0.2">
      <c r="A116" s="434">
        <v>2.5000000000000001E-2</v>
      </c>
      <c r="B116" s="180">
        <f>(+B$5)/(1-A116)-B$5</f>
        <v>0.14333333333333353</v>
      </c>
      <c r="D116" s="429">
        <v>5.28E-2</v>
      </c>
      <c r="E116" s="180">
        <f>(E$6)/(1-D116)-E$6</f>
        <v>0.2842905405405407</v>
      </c>
      <c r="G116" s="94"/>
      <c r="H116" s="94"/>
    </row>
    <row r="117" spans="1:9" x14ac:dyDescent="0.2">
      <c r="A117" s="195"/>
      <c r="B117" s="181">
        <f>SUM(B114:B116)</f>
        <v>0.4717333333333335</v>
      </c>
      <c r="D117" s="178"/>
      <c r="E117" s="181">
        <f>SUM(E114:E116)</f>
        <v>0.32789054054054068</v>
      </c>
      <c r="G117" s="99"/>
      <c r="H117" s="99"/>
    </row>
    <row r="118" spans="1:9" x14ac:dyDescent="0.2">
      <c r="A118" s="424" t="s">
        <v>36</v>
      </c>
      <c r="B118" s="431" t="s">
        <v>579</v>
      </c>
      <c r="D118" s="176" t="s">
        <v>104</v>
      </c>
      <c r="E118" s="177" t="s">
        <v>181</v>
      </c>
      <c r="G118" s="89"/>
      <c r="H118" s="89"/>
    </row>
    <row r="119" spans="1:9" x14ac:dyDescent="0.2">
      <c r="A119" s="195" t="s">
        <v>115</v>
      </c>
      <c r="B119" s="179">
        <v>7.6499999999999999E-2</v>
      </c>
      <c r="D119" s="178" t="s">
        <v>115</v>
      </c>
      <c r="E119" s="179">
        <v>4.8300000000000003E-2</v>
      </c>
      <c r="G119" s="89"/>
      <c r="H119" s="89"/>
    </row>
    <row r="120" spans="1:9" x14ac:dyDescent="0.2">
      <c r="A120" s="195" t="s">
        <v>58</v>
      </c>
      <c r="B120" s="179">
        <f>0.0022+0.007</f>
        <v>9.1999999999999998E-3</v>
      </c>
      <c r="D120" s="178" t="s">
        <v>58</v>
      </c>
      <c r="E120" s="179">
        <f>0.0022+0.007</f>
        <v>9.1999999999999998E-3</v>
      </c>
      <c r="G120" s="91"/>
      <c r="H120" s="91"/>
    </row>
    <row r="121" spans="1:9" x14ac:dyDescent="0.2">
      <c r="A121" s="434">
        <v>1.4E-2</v>
      </c>
      <c r="B121" s="180">
        <f>(+B$5)/(1-A121)-B$5</f>
        <v>7.9371196754563833E-2</v>
      </c>
      <c r="D121" s="429">
        <v>6.88E-2</v>
      </c>
      <c r="E121" s="180">
        <f>(E$6)/(1-D121)-E$6</f>
        <v>0.37680412371133976</v>
      </c>
      <c r="G121" s="94"/>
      <c r="H121" s="94"/>
    </row>
    <row r="122" spans="1:9" x14ac:dyDescent="0.2">
      <c r="A122" s="195"/>
      <c r="B122" s="181">
        <f>SUM(B119:B121)</f>
        <v>0.16507119675456383</v>
      </c>
      <c r="D122" s="178"/>
      <c r="E122" s="181">
        <f>SUM(E119:E121)</f>
        <v>0.43430412371133975</v>
      </c>
      <c r="G122" s="94"/>
      <c r="H122" s="94"/>
    </row>
    <row r="123" spans="1:9" x14ac:dyDescent="0.2">
      <c r="A123" s="424" t="s">
        <v>36</v>
      </c>
      <c r="B123" s="431" t="s">
        <v>547</v>
      </c>
      <c r="D123" s="176" t="s">
        <v>104</v>
      </c>
      <c r="E123" s="181" t="s">
        <v>183</v>
      </c>
      <c r="G123" s="96"/>
      <c r="H123" s="96"/>
    </row>
    <row r="124" spans="1:9" x14ac:dyDescent="0.2">
      <c r="A124" s="195" t="s">
        <v>115</v>
      </c>
      <c r="B124" s="179">
        <v>6.4199999999999993E-2</v>
      </c>
      <c r="D124" s="178" t="s">
        <v>115</v>
      </c>
      <c r="E124" s="184">
        <v>2.4500000000000001E-2</v>
      </c>
      <c r="G124" s="96"/>
      <c r="H124" s="96"/>
    </row>
    <row r="125" spans="1:9" x14ac:dyDescent="0.2">
      <c r="A125" s="195" t="s">
        <v>58</v>
      </c>
      <c r="B125" s="179">
        <f>0.0022+0.007</f>
        <v>9.1999999999999998E-3</v>
      </c>
      <c r="D125" s="178" t="s">
        <v>58</v>
      </c>
      <c r="E125" s="179">
        <f>0.0022</f>
        <v>2.2000000000000001E-3</v>
      </c>
      <c r="G125" s="96"/>
      <c r="H125" s="96"/>
    </row>
    <row r="126" spans="1:9" x14ac:dyDescent="0.2">
      <c r="A126" s="429">
        <v>8.8999999999999999E-3</v>
      </c>
      <c r="B126" s="180">
        <f>(+B4)/(1-A126)-B4</f>
        <v>4.5887397840782995E-2</v>
      </c>
      <c r="D126" s="429">
        <v>4.1099999999999998E-2</v>
      </c>
      <c r="E126" s="180">
        <f>(E$7)/(1-D126)-E$7</f>
        <v>0.2440968818437792</v>
      </c>
      <c r="G126" s="91"/>
      <c r="H126" s="91"/>
    </row>
    <row r="127" spans="1:9" x14ac:dyDescent="0.2">
      <c r="A127" s="195"/>
      <c r="B127" s="181">
        <f>SUM(B124:B126)</f>
        <v>0.11928739784078299</v>
      </c>
      <c r="D127" s="178"/>
      <c r="E127" s="181">
        <f>SUM(E124:E126)</f>
        <v>0.2707968818437792</v>
      </c>
      <c r="G127" s="94"/>
      <c r="H127" s="94"/>
    </row>
    <row r="128" spans="1:9" x14ac:dyDescent="0.2">
      <c r="A128" s="424" t="s">
        <v>518</v>
      </c>
      <c r="B128" s="430"/>
      <c r="D128" s="176" t="s">
        <v>104</v>
      </c>
      <c r="E128" s="181" t="s">
        <v>185</v>
      </c>
      <c r="G128" s="99"/>
      <c r="H128" s="99"/>
    </row>
    <row r="129" spans="1:8" x14ac:dyDescent="0.2">
      <c r="A129" s="194" t="s">
        <v>115</v>
      </c>
      <c r="B129" s="179">
        <v>9.4000000000000004E-3</v>
      </c>
      <c r="D129" s="178" t="s">
        <v>115</v>
      </c>
      <c r="E129" s="184">
        <v>3.85E-2</v>
      </c>
      <c r="G129" s="89"/>
      <c r="H129" s="89"/>
    </row>
    <row r="130" spans="1:8" x14ac:dyDescent="0.2">
      <c r="A130" s="194" t="s">
        <v>58</v>
      </c>
      <c r="B130" s="179">
        <v>2.2000000000000001E-3</v>
      </c>
      <c r="D130" s="178" t="s">
        <v>58</v>
      </c>
      <c r="E130" s="179">
        <f>0.0022+0.007</f>
        <v>9.1999999999999998E-3</v>
      </c>
      <c r="G130" s="89"/>
      <c r="H130" s="89"/>
    </row>
    <row r="131" spans="1:8" x14ac:dyDescent="0.2">
      <c r="A131" s="194" t="s">
        <v>499</v>
      </c>
      <c r="B131" s="180">
        <f>(+AC3+AC17)/(1-0.0131)-(+AC3+AC17)</f>
        <v>0</v>
      </c>
      <c r="D131" s="429">
        <v>5.7500000000000002E-2</v>
      </c>
      <c r="E131" s="180">
        <f>(E$7)/(1-D131)-E$7</f>
        <v>0.34744031830238686</v>
      </c>
      <c r="G131" s="91"/>
      <c r="H131" s="91"/>
    </row>
    <row r="132" spans="1:8" x14ac:dyDescent="0.2">
      <c r="A132" s="195"/>
      <c r="B132" s="181">
        <f>SUM(B129:B131)</f>
        <v>1.1600000000000001E-2</v>
      </c>
      <c r="D132" s="178"/>
      <c r="E132" s="181">
        <f>SUM(E129:E131)</f>
        <v>0.39514031830238688</v>
      </c>
      <c r="G132" s="94"/>
      <c r="H132" s="94"/>
    </row>
    <row r="133" spans="1:8" x14ac:dyDescent="0.2">
      <c r="A133" s="424" t="s">
        <v>36</v>
      </c>
      <c r="B133" s="430" t="s">
        <v>178</v>
      </c>
      <c r="D133" s="176" t="s">
        <v>104</v>
      </c>
      <c r="E133" s="181" t="s">
        <v>186</v>
      </c>
    </row>
    <row r="134" spans="1:8" x14ac:dyDescent="0.2">
      <c r="A134" s="194" t="s">
        <v>115</v>
      </c>
      <c r="B134" s="179">
        <v>4.5900000000000003E-2</v>
      </c>
      <c r="D134" s="178" t="s">
        <v>115</v>
      </c>
      <c r="E134" s="184">
        <v>1.8200000000000001E-2</v>
      </c>
      <c r="G134" s="99"/>
      <c r="H134" s="99"/>
    </row>
    <row r="135" spans="1:8" x14ac:dyDescent="0.2">
      <c r="A135" s="194" t="s">
        <v>58</v>
      </c>
      <c r="B135" s="179">
        <f>0.0022+0.007</f>
        <v>9.1999999999999998E-3</v>
      </c>
      <c r="D135" s="178" t="s">
        <v>58</v>
      </c>
      <c r="E135" s="179">
        <f>0.0022+0.007</f>
        <v>9.1999999999999998E-3</v>
      </c>
      <c r="G135" s="89"/>
      <c r="H135" s="89"/>
    </row>
    <row r="136" spans="1:8" x14ac:dyDescent="0.2">
      <c r="A136" s="433">
        <v>1.1599999999999999E-2</v>
      </c>
      <c r="B136" s="180">
        <f>(+B5)/(1-A136)-B5</f>
        <v>6.5605018211250865E-2</v>
      </c>
      <c r="D136" s="429">
        <v>3.3300000000000003E-2</v>
      </c>
      <c r="E136" s="180">
        <f>(E$7)/(1-D136)-E$7</f>
        <v>0.19617616633909218</v>
      </c>
      <c r="G136" s="89"/>
      <c r="H136" s="89"/>
    </row>
    <row r="137" spans="1:8" x14ac:dyDescent="0.2">
      <c r="A137" s="195"/>
      <c r="B137" s="181">
        <f>SUM(B134:B136)</f>
        <v>0.12070501821125088</v>
      </c>
      <c r="D137" s="178"/>
      <c r="E137" s="181">
        <f>SUM(E134:E136)</f>
        <v>0.22357616633909219</v>
      </c>
      <c r="G137" s="91"/>
      <c r="H137" s="91"/>
    </row>
    <row r="138" spans="1:8" x14ac:dyDescent="0.2">
      <c r="A138" s="95" t="s">
        <v>36</v>
      </c>
      <c r="B138" s="141" t="s">
        <v>180</v>
      </c>
      <c r="C138" s="46"/>
      <c r="D138" s="89"/>
      <c r="E138" s="89"/>
      <c r="F138" s="46"/>
      <c r="G138" s="94"/>
      <c r="H138" s="94"/>
    </row>
    <row r="139" spans="1:8" x14ac:dyDescent="0.2">
      <c r="A139" s="87" t="s">
        <v>115</v>
      </c>
      <c r="B139" s="289">
        <f>0.1599-0.0022</f>
        <v>0.15769999999999998</v>
      </c>
      <c r="C139" s="46"/>
      <c r="D139" s="89"/>
      <c r="E139" s="96"/>
      <c r="F139" s="46"/>
      <c r="G139" s="99"/>
      <c r="H139" s="99"/>
    </row>
    <row r="140" spans="1:8" x14ac:dyDescent="0.2">
      <c r="A140" s="87" t="s">
        <v>58</v>
      </c>
      <c r="B140" s="88">
        <f>0.0022+0+0.0225+0.007</f>
        <v>3.1699999999999999E-2</v>
      </c>
      <c r="C140" s="46"/>
      <c r="D140" s="89"/>
      <c r="E140" s="89"/>
      <c r="F140" s="46"/>
      <c r="G140" s="89"/>
      <c r="H140" s="89"/>
    </row>
    <row r="141" spans="1:8" x14ac:dyDescent="0.2">
      <c r="A141" s="373">
        <v>1.01E-2</v>
      </c>
      <c r="B141" s="417">
        <f>(B4)/(1-A141)-B4</f>
        <v>5.2137589655520955E-2</v>
      </c>
      <c r="C141" s="46"/>
      <c r="D141" s="89"/>
      <c r="E141" s="91"/>
      <c r="F141" s="46"/>
      <c r="G141" s="89"/>
      <c r="H141" s="89"/>
    </row>
    <row r="142" spans="1:8" x14ac:dyDescent="0.2">
      <c r="A142" s="92"/>
      <c r="B142" s="93">
        <f>SUM(B139:B141)</f>
        <v>0.24153758965552094</v>
      </c>
      <c r="C142" s="46"/>
      <c r="D142" s="89"/>
      <c r="E142" s="94"/>
      <c r="F142" s="46"/>
      <c r="G142" s="91"/>
      <c r="H142" s="91"/>
    </row>
    <row r="143" spans="1:8" x14ac:dyDescent="0.2">
      <c r="A143" s="95" t="s">
        <v>36</v>
      </c>
      <c r="B143" s="141" t="s">
        <v>182</v>
      </c>
      <c r="C143" s="46"/>
      <c r="D143" s="89"/>
      <c r="E143" s="89"/>
      <c r="F143" s="46"/>
      <c r="G143" s="94"/>
      <c r="H143" s="94"/>
    </row>
    <row r="144" spans="1:8" x14ac:dyDescent="0.2">
      <c r="A144" s="87" t="s">
        <v>115</v>
      </c>
      <c r="B144" s="289">
        <f>0.3212-0.0022</f>
        <v>0.31900000000000001</v>
      </c>
      <c r="C144" s="46"/>
      <c r="D144" s="89"/>
      <c r="E144" s="89"/>
      <c r="F144" s="46"/>
    </row>
    <row r="145" spans="1:6" x14ac:dyDescent="0.2">
      <c r="A145" s="87" t="s">
        <v>58</v>
      </c>
      <c r="B145" s="88">
        <f>0.0022+0+0.0225+0.007</f>
        <v>3.1699999999999999E-2</v>
      </c>
      <c r="C145" s="46"/>
      <c r="D145" s="91"/>
      <c r="E145" s="91"/>
      <c r="F145" s="46"/>
    </row>
    <row r="146" spans="1:6" x14ac:dyDescent="0.2">
      <c r="A146" s="373">
        <v>2.7900000000000001E-2</v>
      </c>
      <c r="B146" s="90">
        <f>(B3)/(1-A146)-B3</f>
        <v>0.14536930356959221</v>
      </c>
      <c r="D146" s="94"/>
      <c r="E146" s="94"/>
    </row>
    <row r="147" spans="1:6" x14ac:dyDescent="0.2">
      <c r="A147" s="92"/>
      <c r="B147" s="93">
        <f>SUM(B144:B146)</f>
        <v>0.49606930356959222</v>
      </c>
      <c r="D147" s="99"/>
      <c r="E147" s="99"/>
    </row>
    <row r="148" spans="1:6" x14ac:dyDescent="0.2">
      <c r="A148" s="95" t="s">
        <v>36</v>
      </c>
      <c r="B148" s="141" t="s">
        <v>640</v>
      </c>
      <c r="D148" s="89"/>
      <c r="E148" s="89"/>
    </row>
    <row r="149" spans="1:6" x14ac:dyDescent="0.2">
      <c r="A149" s="87" t="s">
        <v>115</v>
      </c>
      <c r="B149" s="289">
        <v>0.48620000000000002</v>
      </c>
      <c r="D149" s="89"/>
      <c r="E149" s="89"/>
    </row>
    <row r="150" spans="1:6" x14ac:dyDescent="0.2">
      <c r="A150" s="87" t="s">
        <v>58</v>
      </c>
      <c r="B150" s="88">
        <f>0.0022</f>
        <v>2.2000000000000001E-3</v>
      </c>
      <c r="D150" s="91"/>
      <c r="E150" s="91"/>
    </row>
    <row r="151" spans="1:6" x14ac:dyDescent="0.2">
      <c r="A151" s="373">
        <v>5.8799999999999998E-2</v>
      </c>
      <c r="B151" s="418">
        <f>(B3)/(1-A151)-B3</f>
        <v>0.31642796430089248</v>
      </c>
      <c r="D151" s="94"/>
      <c r="E151" s="94"/>
    </row>
    <row r="152" spans="1:6" x14ac:dyDescent="0.2">
      <c r="A152" s="92"/>
      <c r="B152" s="93">
        <f>SUM(B149:B151)</f>
        <v>0.80482796430089243</v>
      </c>
      <c r="D152" s="94"/>
      <c r="E152" s="94"/>
    </row>
    <row r="153" spans="1:6" x14ac:dyDescent="0.2">
      <c r="A153" s="95" t="s">
        <v>36</v>
      </c>
      <c r="B153" s="141" t="s">
        <v>645</v>
      </c>
      <c r="D153" s="96"/>
      <c r="E153" s="96"/>
    </row>
    <row r="154" spans="1:6" x14ac:dyDescent="0.2">
      <c r="A154" s="87" t="s">
        <v>115</v>
      </c>
      <c r="B154" s="289">
        <v>0.55579999999999996</v>
      </c>
      <c r="D154" s="96"/>
      <c r="E154" s="96"/>
    </row>
    <row r="155" spans="1:6" x14ac:dyDescent="0.2">
      <c r="A155" s="87" t="s">
        <v>58</v>
      </c>
      <c r="B155" s="88">
        <f>0.0022</f>
        <v>2.2000000000000001E-3</v>
      </c>
      <c r="D155" s="96"/>
      <c r="E155" s="96"/>
    </row>
    <row r="156" spans="1:6" x14ac:dyDescent="0.2">
      <c r="A156" s="373">
        <v>6.7900000000000002E-2</v>
      </c>
      <c r="B156" s="418">
        <f>(B3)/(1-A156)-B3</f>
        <v>0.36896631262739987</v>
      </c>
      <c r="D156" s="91"/>
      <c r="E156" s="91"/>
    </row>
    <row r="157" spans="1:6" x14ac:dyDescent="0.2">
      <c r="A157" s="92"/>
      <c r="B157" s="93">
        <f>SUM(B154:B156)</f>
        <v>0.92696631262739981</v>
      </c>
      <c r="D157" s="94"/>
      <c r="E157" s="94"/>
    </row>
    <row r="158" spans="1:6" x14ac:dyDescent="0.2">
      <c r="A158" s="95" t="s">
        <v>36</v>
      </c>
      <c r="B158" s="141" t="s">
        <v>664</v>
      </c>
      <c r="D158" s="99"/>
      <c r="E158" s="99"/>
    </row>
    <row r="159" spans="1:6" x14ac:dyDescent="0.2">
      <c r="A159" s="87" t="s">
        <v>115</v>
      </c>
      <c r="B159" s="289">
        <v>0.62849999999999995</v>
      </c>
      <c r="D159" s="89"/>
      <c r="E159" s="89"/>
    </row>
    <row r="160" spans="1:6" x14ac:dyDescent="0.2">
      <c r="A160" s="87" t="s">
        <v>58</v>
      </c>
      <c r="B160" s="88">
        <f>0.0022+0.007</f>
        <v>9.1999999999999998E-3</v>
      </c>
      <c r="D160" s="89"/>
      <c r="E160" s="89"/>
    </row>
    <row r="161" spans="1:5" x14ac:dyDescent="0.2">
      <c r="A161" s="373">
        <v>8.7099999999999997E-2</v>
      </c>
      <c r="B161" s="418">
        <f>(B3)/(1-A161)-B3</f>
        <v>0.48325282068134534</v>
      </c>
      <c r="D161" s="91"/>
      <c r="E161" s="91"/>
    </row>
    <row r="162" spans="1:5" x14ac:dyDescent="0.2">
      <c r="A162" s="92"/>
      <c r="B162" s="93">
        <f>SUM(B159:B161)</f>
        <v>1.1209528206813453</v>
      </c>
      <c r="D162" s="94"/>
      <c r="E162" s="94"/>
    </row>
    <row r="163" spans="1:5" x14ac:dyDescent="0.2">
      <c r="A163" s="95" t="s">
        <v>36</v>
      </c>
      <c r="B163" s="141" t="s">
        <v>184</v>
      </c>
    </row>
    <row r="164" spans="1:5" x14ac:dyDescent="0.2">
      <c r="A164" s="87" t="s">
        <v>115</v>
      </c>
      <c r="B164" s="289">
        <f>0.3703-0.0022</f>
        <v>0.36810000000000004</v>
      </c>
      <c r="D164" s="99"/>
      <c r="E164" s="99"/>
    </row>
    <row r="165" spans="1:5" x14ac:dyDescent="0.2">
      <c r="A165" s="87" t="s">
        <v>58</v>
      </c>
      <c r="B165" s="88">
        <f>0.0022+0+0.0225+0.007</f>
        <v>3.1699999999999999E-2</v>
      </c>
      <c r="D165" s="89"/>
      <c r="E165" s="89"/>
    </row>
    <row r="166" spans="1:5" x14ac:dyDescent="0.2">
      <c r="A166" s="373">
        <v>4.2799999999999998E-2</v>
      </c>
      <c r="B166" s="418">
        <f>(B4)/(1-A166)-B4</f>
        <v>0.22848725449226848</v>
      </c>
      <c r="D166" s="89"/>
      <c r="E166" s="89"/>
    </row>
    <row r="167" spans="1:5" x14ac:dyDescent="0.2">
      <c r="A167" s="92"/>
      <c r="B167" s="93">
        <f>SUM(B164:B166)</f>
        <v>0.62828725449226852</v>
      </c>
      <c r="D167" s="91"/>
      <c r="E167" s="91"/>
    </row>
    <row r="168" spans="1:5" x14ac:dyDescent="0.2">
      <c r="A168" s="95" t="s">
        <v>36</v>
      </c>
      <c r="B168" s="416" t="s">
        <v>635</v>
      </c>
      <c r="D168" s="94"/>
      <c r="E168" s="94"/>
    </row>
    <row r="169" spans="1:5" x14ac:dyDescent="0.2">
      <c r="A169" s="92" t="s">
        <v>115</v>
      </c>
      <c r="B169" s="289">
        <v>0.42809999999999998</v>
      </c>
      <c r="D169" s="99"/>
      <c r="E169" s="99"/>
    </row>
    <row r="170" spans="1:5" x14ac:dyDescent="0.2">
      <c r="A170" s="92" t="s">
        <v>58</v>
      </c>
      <c r="B170" s="88">
        <f>0.0022</f>
        <v>2.2000000000000001E-3</v>
      </c>
      <c r="D170" s="89"/>
      <c r="E170" s="89"/>
    </row>
    <row r="171" spans="1:5" x14ac:dyDescent="0.2">
      <c r="A171" s="290">
        <v>4.99E-2</v>
      </c>
      <c r="B171" s="90">
        <f>(B4)/(1-A171)-B4</f>
        <v>0.2683812230291549</v>
      </c>
      <c r="D171" s="89"/>
      <c r="E171" s="89"/>
    </row>
    <row r="172" spans="1:5" x14ac:dyDescent="0.2">
      <c r="A172" s="92"/>
      <c r="B172" s="93">
        <f>SUM(B169:B171)</f>
        <v>0.69868122302915481</v>
      </c>
      <c r="D172" s="91"/>
      <c r="E172" s="91"/>
    </row>
    <row r="173" spans="1:5" x14ac:dyDescent="0.2">
      <c r="A173" s="95" t="s">
        <v>36</v>
      </c>
      <c r="B173" s="416" t="s">
        <v>639</v>
      </c>
      <c r="D173" s="94"/>
      <c r="E173" s="94"/>
    </row>
    <row r="174" spans="1:5" x14ac:dyDescent="0.2">
      <c r="A174" s="92" t="s">
        <v>115</v>
      </c>
      <c r="B174" s="289">
        <v>0.4955</v>
      </c>
    </row>
    <row r="175" spans="1:5" x14ac:dyDescent="0.2">
      <c r="A175" s="92" t="s">
        <v>58</v>
      </c>
      <c r="B175" s="88">
        <f>0.0022</f>
        <v>2.2000000000000001E-3</v>
      </c>
    </row>
    <row r="176" spans="1:5" x14ac:dyDescent="0.2">
      <c r="A176" s="290">
        <v>5.8999999999999997E-2</v>
      </c>
      <c r="B176" s="90">
        <f>(B4)/(1-A176)-B4</f>
        <v>0.32039319872476035</v>
      </c>
    </row>
    <row r="177" spans="1:5" x14ac:dyDescent="0.2">
      <c r="A177" s="92"/>
      <c r="B177" s="93">
        <f>SUM(B174:B176)</f>
        <v>0.81809319872476038</v>
      </c>
    </row>
    <row r="178" spans="1:5" x14ac:dyDescent="0.2">
      <c r="A178" s="95" t="s">
        <v>36</v>
      </c>
      <c r="B178" s="416" t="s">
        <v>642</v>
      </c>
    </row>
    <row r="179" spans="1:5" x14ac:dyDescent="0.2">
      <c r="A179" s="92" t="s">
        <v>115</v>
      </c>
      <c r="B179" s="289">
        <v>0.57010000000000005</v>
      </c>
    </row>
    <row r="180" spans="1:5" x14ac:dyDescent="0.2">
      <c r="A180" s="92" t="s">
        <v>58</v>
      </c>
      <c r="B180" s="88">
        <f>0.0022+0.007</f>
        <v>9.1999999999999998E-3</v>
      </c>
    </row>
    <row r="181" spans="1:5" x14ac:dyDescent="0.2">
      <c r="A181" s="290">
        <v>6.9900000000000004E-2</v>
      </c>
      <c r="B181" s="90">
        <f>(B4)/(1-A181)-B4</f>
        <v>0.3840328996882052</v>
      </c>
    </row>
    <row r="182" spans="1:5" x14ac:dyDescent="0.2">
      <c r="A182" s="92"/>
      <c r="B182" s="93">
        <f>SUM(B179:B181)</f>
        <v>0.96333289968820524</v>
      </c>
    </row>
    <row r="183" spans="1:5" x14ac:dyDescent="0.2">
      <c r="A183" s="95" t="s">
        <v>36</v>
      </c>
      <c r="B183" s="416" t="s">
        <v>665</v>
      </c>
    </row>
    <row r="184" spans="1:5" x14ac:dyDescent="0.2">
      <c r="A184" s="92" t="s">
        <v>115</v>
      </c>
      <c r="B184" s="289">
        <v>0.69059999999999999</v>
      </c>
    </row>
    <row r="185" spans="1:5" x14ac:dyDescent="0.2">
      <c r="A185" s="92" t="s">
        <v>58</v>
      </c>
      <c r="B185" s="88">
        <f>0.0022+0.007</f>
        <v>9.1999999999999998E-3</v>
      </c>
    </row>
    <row r="186" spans="1:5" x14ac:dyDescent="0.2">
      <c r="A186" s="290">
        <v>7.8200000000000006E-2</v>
      </c>
      <c r="B186" s="90">
        <f>(B3)/(1-A186)-B3</f>
        <v>0.42968431330006585</v>
      </c>
    </row>
    <row r="187" spans="1:5" x14ac:dyDescent="0.2">
      <c r="A187" s="92"/>
      <c r="B187" s="93">
        <f>SUM(B184:B186)</f>
        <v>1.1294843133000658</v>
      </c>
      <c r="E187" s="120"/>
    </row>
    <row r="188" spans="1:5" x14ac:dyDescent="0.2">
      <c r="A188" s="95" t="s">
        <v>36</v>
      </c>
      <c r="B188" s="416" t="s">
        <v>666</v>
      </c>
      <c r="E188" s="120"/>
    </row>
    <row r="189" spans="1:5" x14ac:dyDescent="0.2">
      <c r="A189" s="92" t="s">
        <v>115</v>
      </c>
      <c r="B189" s="289">
        <v>0.31919999999999998</v>
      </c>
      <c r="E189" s="120"/>
    </row>
    <row r="190" spans="1:5" x14ac:dyDescent="0.2">
      <c r="A190" s="92" t="s">
        <v>58</v>
      </c>
      <c r="B190" s="88">
        <f>0.0022+0.007</f>
        <v>9.1999999999999998E-3</v>
      </c>
    </row>
    <row r="191" spans="1:5" x14ac:dyDescent="0.2">
      <c r="A191" s="290">
        <v>2.1700000000000001E-2</v>
      </c>
      <c r="B191" s="90">
        <f>(B5)/(1-A191)-B5</f>
        <v>0.12399366247572363</v>
      </c>
      <c r="E191" s="120"/>
    </row>
    <row r="192" spans="1:5" x14ac:dyDescent="0.2">
      <c r="A192" s="92"/>
      <c r="B192" s="93">
        <f>SUM(B189:B191)</f>
        <v>0.4523936624757236</v>
      </c>
      <c r="E192" s="120"/>
    </row>
    <row r="193" spans="1:11" x14ac:dyDescent="0.2">
      <c r="A193" s="95" t="s">
        <v>36</v>
      </c>
      <c r="B193" s="416" t="s">
        <v>661</v>
      </c>
      <c r="E193" s="120"/>
    </row>
    <row r="194" spans="1:11" x14ac:dyDescent="0.2">
      <c r="A194" s="92" t="s">
        <v>115</v>
      </c>
      <c r="B194" s="289">
        <v>0.36990000000000001</v>
      </c>
    </row>
    <row r="195" spans="1:11" x14ac:dyDescent="0.2">
      <c r="A195" s="92" t="s">
        <v>58</v>
      </c>
      <c r="B195" s="88">
        <f>0.0022+0.007</f>
        <v>9.1999999999999998E-3</v>
      </c>
    </row>
    <row r="196" spans="1:11" x14ac:dyDescent="0.2">
      <c r="A196" s="290">
        <v>3.1399999999999997E-2</v>
      </c>
      <c r="B196" s="90" t="e">
        <f>(#REF!)/(1-A196)-#REF!</f>
        <v>#REF!</v>
      </c>
    </row>
    <row r="197" spans="1:11" x14ac:dyDescent="0.2">
      <c r="A197" s="92"/>
      <c r="B197" s="93" t="e">
        <f>SUM(B194:B196)</f>
        <v>#REF!</v>
      </c>
    </row>
    <row r="198" spans="1:11" x14ac:dyDescent="0.2">
      <c r="A198" s="95" t="s">
        <v>36</v>
      </c>
      <c r="B198" s="416" t="s">
        <v>638</v>
      </c>
    </row>
    <row r="199" spans="1:11" x14ac:dyDescent="0.2">
      <c r="A199" s="92" t="s">
        <v>115</v>
      </c>
      <c r="B199" s="289">
        <v>0.19700000000000001</v>
      </c>
    </row>
    <row r="200" spans="1:11" x14ac:dyDescent="0.2">
      <c r="A200" s="92" t="s">
        <v>58</v>
      </c>
      <c r="B200" s="88">
        <f>0.0022+0.007</f>
        <v>9.1999999999999998E-3</v>
      </c>
      <c r="J200" s="384"/>
      <c r="K200" s="384"/>
    </row>
    <row r="201" spans="1:11" x14ac:dyDescent="0.2">
      <c r="A201" s="290">
        <v>1.1599999999999999E-2</v>
      </c>
      <c r="B201" s="90">
        <f>(B5)/(1-A201)-B5</f>
        <v>6.5605018211250865E-2</v>
      </c>
    </row>
    <row r="202" spans="1:11" x14ac:dyDescent="0.2">
      <c r="A202" s="92"/>
      <c r="B202" s="93">
        <f>SUM(B199:B201)</f>
        <v>0.27180501821125086</v>
      </c>
    </row>
    <row r="203" spans="1:11" x14ac:dyDescent="0.2">
      <c r="A203" s="95" t="s">
        <v>36</v>
      </c>
      <c r="B203" s="416" t="s">
        <v>187</v>
      </c>
    </row>
    <row r="204" spans="1:11" x14ac:dyDescent="0.2">
      <c r="A204" s="92" t="s">
        <v>115</v>
      </c>
      <c r="B204" s="289">
        <f>0.1786-0.0022</f>
        <v>0.1764</v>
      </c>
    </row>
    <row r="205" spans="1:11" x14ac:dyDescent="0.2">
      <c r="A205" s="92" t="s">
        <v>58</v>
      </c>
      <c r="B205" s="88">
        <f>0.0022+0.007</f>
        <v>9.1999999999999998E-3</v>
      </c>
    </row>
    <row r="206" spans="1:11" x14ac:dyDescent="0.2">
      <c r="A206" s="290">
        <v>1.2800000000000001E-2</v>
      </c>
      <c r="B206" s="90">
        <f>(B5)/(1-A206)-B5</f>
        <v>7.2479740680713611E-2</v>
      </c>
    </row>
    <row r="207" spans="1:11" x14ac:dyDescent="0.2">
      <c r="A207" s="92"/>
      <c r="B207" s="93">
        <f>SUM(B204:B206)</f>
        <v>0.2580797406807136</v>
      </c>
    </row>
    <row r="208" spans="1:11" x14ac:dyDescent="0.2">
      <c r="A208" s="95" t="s">
        <v>36</v>
      </c>
      <c r="B208" s="416" t="s">
        <v>643</v>
      </c>
    </row>
    <row r="209" spans="1:2" x14ac:dyDescent="0.2">
      <c r="A209" s="92" t="s">
        <v>115</v>
      </c>
      <c r="B209" s="289">
        <v>0.28079999999999999</v>
      </c>
    </row>
    <row r="210" spans="1:2" x14ac:dyDescent="0.2">
      <c r="A210" s="92" t="s">
        <v>58</v>
      </c>
      <c r="B210" s="88">
        <f>0.0022+0.007</f>
        <v>9.1999999999999998E-3</v>
      </c>
    </row>
    <row r="211" spans="1:2" x14ac:dyDescent="0.2">
      <c r="A211" s="290">
        <v>2.0899999999999998E-2</v>
      </c>
      <c r="B211" s="90">
        <f>(B5)/(1-A211)-B5</f>
        <v>0.11932489020529058</v>
      </c>
    </row>
    <row r="212" spans="1:2" x14ac:dyDescent="0.2">
      <c r="A212" s="92"/>
      <c r="B212" s="93">
        <f>SUM(B209:B211)</f>
        <v>0.40932489020529056</v>
      </c>
    </row>
    <row r="213" spans="1:2" x14ac:dyDescent="0.2">
      <c r="A213" s="95" t="s">
        <v>36</v>
      </c>
      <c r="B213" s="416" t="s">
        <v>655</v>
      </c>
    </row>
    <row r="214" spans="1:2" x14ac:dyDescent="0.2">
      <c r="A214" s="92" t="s">
        <v>115</v>
      </c>
      <c r="B214" s="289">
        <v>0.48980000000000001</v>
      </c>
    </row>
    <row r="215" spans="1:2" x14ac:dyDescent="0.2">
      <c r="A215" s="92" t="s">
        <v>58</v>
      </c>
      <c r="B215" s="88">
        <f>0.0022+0.007</f>
        <v>9.1999999999999998E-3</v>
      </c>
    </row>
    <row r="216" spans="1:2" x14ac:dyDescent="0.2">
      <c r="A216" s="290">
        <v>4.5600000000000002E-2</v>
      </c>
      <c r="B216" s="90">
        <f>(B5)/(1-A216)-B5</f>
        <v>0.26708298407376319</v>
      </c>
    </row>
    <row r="217" spans="1:2" x14ac:dyDescent="0.2">
      <c r="A217" s="92"/>
      <c r="B217" s="93">
        <f>SUM(B214:B216)</f>
        <v>0.76608298407376318</v>
      </c>
    </row>
    <row r="218" spans="1:2" x14ac:dyDescent="0.2">
      <c r="A218" s="95" t="s">
        <v>36</v>
      </c>
      <c r="B218" s="416" t="s">
        <v>654</v>
      </c>
    </row>
    <row r="219" spans="1:2" x14ac:dyDescent="0.2">
      <c r="A219" s="92" t="s">
        <v>115</v>
      </c>
      <c r="B219" s="289">
        <v>0.31919999999999998</v>
      </c>
    </row>
    <row r="220" spans="1:2" x14ac:dyDescent="0.2">
      <c r="A220" s="92" t="s">
        <v>58</v>
      </c>
      <c r="B220" s="88">
        <f>0.0022+0.007</f>
        <v>9.1999999999999998E-3</v>
      </c>
    </row>
    <row r="221" spans="1:2" x14ac:dyDescent="0.2">
      <c r="A221" s="290">
        <v>2.5000000000000001E-2</v>
      </c>
      <c r="B221" s="90">
        <f>(B5)/(1-A221)-B5</f>
        <v>0.14333333333333353</v>
      </c>
    </row>
    <row r="222" spans="1:2" x14ac:dyDescent="0.2">
      <c r="A222" s="92"/>
      <c r="B222" s="93">
        <f>SUM(B219:B221)</f>
        <v>0.4717333333333335</v>
      </c>
    </row>
    <row r="223" spans="1:2" x14ac:dyDescent="0.2">
      <c r="A223" s="95" t="s">
        <v>36</v>
      </c>
      <c r="B223" s="416" t="s">
        <v>641</v>
      </c>
    </row>
    <row r="224" spans="1:2" x14ac:dyDescent="0.2">
      <c r="A224" s="92" t="s">
        <v>115</v>
      </c>
      <c r="B224" s="289">
        <v>0.28079999999999999</v>
      </c>
    </row>
    <row r="225" spans="1:5" x14ac:dyDescent="0.2">
      <c r="A225" s="92" t="s">
        <v>58</v>
      </c>
      <c r="B225" s="88">
        <f>0.0022+0.007</f>
        <v>9.1999999999999998E-3</v>
      </c>
    </row>
    <row r="226" spans="1:5" x14ac:dyDescent="0.2">
      <c r="A226" s="290">
        <v>1.4E-2</v>
      </c>
      <c r="B226" s="90">
        <f>(B5)/(1-A226)-B5</f>
        <v>7.9371196754563833E-2</v>
      </c>
    </row>
    <row r="227" spans="1:5" x14ac:dyDescent="0.2">
      <c r="A227" s="92"/>
      <c r="B227" s="93">
        <f>SUM(B224:B226)</f>
        <v>0.36937119675456381</v>
      </c>
    </row>
    <row r="228" spans="1:5" x14ac:dyDescent="0.2">
      <c r="A228" s="95" t="s">
        <v>36</v>
      </c>
      <c r="B228" s="416" t="s">
        <v>644</v>
      </c>
      <c r="D228" s="474">
        <f>+E228/(1-A243)</f>
        <v>20574.015019030965</v>
      </c>
      <c r="E228" s="34">
        <v>20000</v>
      </c>
    </row>
    <row r="229" spans="1:5" x14ac:dyDescent="0.2">
      <c r="A229" s="92" t="s">
        <v>115</v>
      </c>
      <c r="B229" s="289">
        <v>0.21029999999999999</v>
      </c>
    </row>
    <row r="230" spans="1:5" x14ac:dyDescent="0.2">
      <c r="A230" s="92" t="s">
        <v>58</v>
      </c>
      <c r="B230" s="88">
        <f>0.0022+0.007</f>
        <v>9.1999999999999998E-3</v>
      </c>
    </row>
    <row r="231" spans="1:5" x14ac:dyDescent="0.2">
      <c r="A231" s="290">
        <v>8.8999999999999999E-3</v>
      </c>
      <c r="B231" s="90">
        <f>(B5)/(1-A231)-B5</f>
        <v>5.0197760064574659E-2</v>
      </c>
    </row>
    <row r="232" spans="1:5" x14ac:dyDescent="0.2">
      <c r="A232" s="92"/>
      <c r="B232" s="93">
        <f>SUM(B229:B231)</f>
        <v>0.26969776006457463</v>
      </c>
    </row>
    <row r="233" spans="1:5" x14ac:dyDescent="0.2">
      <c r="A233" s="46" t="s">
        <v>682</v>
      </c>
      <c r="B233" s="46"/>
    </row>
    <row r="234" spans="1:5" x14ac:dyDescent="0.2">
      <c r="A234" s="445" t="s">
        <v>36</v>
      </c>
      <c r="B234" s="446" t="s">
        <v>674</v>
      </c>
      <c r="C234" s="127"/>
    </row>
    <row r="235" spans="1:5" x14ac:dyDescent="0.2">
      <c r="A235" s="447" t="s">
        <v>115</v>
      </c>
      <c r="B235" s="448">
        <v>2.1299999999999999E-2</v>
      </c>
      <c r="C235" s="127"/>
    </row>
    <row r="236" spans="1:5" x14ac:dyDescent="0.2">
      <c r="A236" s="447" t="s">
        <v>58</v>
      </c>
      <c r="B236" s="449">
        <v>0</v>
      </c>
      <c r="C236" s="127"/>
    </row>
    <row r="237" spans="1:5" x14ac:dyDescent="0.2">
      <c r="A237" s="450">
        <v>8.8999999999999999E-3</v>
      </c>
      <c r="B237" s="451">
        <f>(B$3)/(1-A237)-B$3</f>
        <v>4.5483301382302166E-2</v>
      </c>
      <c r="C237" s="127"/>
    </row>
    <row r="238" spans="1:5" x14ac:dyDescent="0.2">
      <c r="A238" s="447"/>
      <c r="B238" s="452">
        <f>SUM(B235:B237)</f>
        <v>6.6783301382302165E-2</v>
      </c>
      <c r="C238" s="127"/>
    </row>
    <row r="239" spans="1:5" x14ac:dyDescent="0.2">
      <c r="A239" s="453"/>
      <c r="B239" s="453"/>
      <c r="C239" s="127"/>
    </row>
    <row r="240" spans="1:5" x14ac:dyDescent="0.2">
      <c r="A240" s="445" t="s">
        <v>36</v>
      </c>
      <c r="B240" s="446" t="s">
        <v>675</v>
      </c>
      <c r="C240" s="127"/>
      <c r="D240" s="474">
        <f>+E240/(1-A255)</f>
        <v>10624.734381640459</v>
      </c>
      <c r="E240" s="34">
        <v>10000</v>
      </c>
    </row>
    <row r="241" spans="1:4" x14ac:dyDescent="0.2">
      <c r="A241" s="447" t="s">
        <v>115</v>
      </c>
      <c r="B241" s="448">
        <v>2.5000000000000001E-2</v>
      </c>
      <c r="C241" s="127"/>
      <c r="D241" s="154">
        <f>+B256+B3</f>
        <v>5.4064279643008932</v>
      </c>
    </row>
    <row r="242" spans="1:4" x14ac:dyDescent="0.2">
      <c r="A242" s="447" t="s">
        <v>58</v>
      </c>
      <c r="B242" s="449">
        <v>0</v>
      </c>
      <c r="C242" s="127"/>
    </row>
    <row r="243" spans="1:4" x14ac:dyDescent="0.2">
      <c r="A243" s="450">
        <v>2.7900000000000001E-2</v>
      </c>
      <c r="B243" s="451">
        <f>(B$3)/(1-A243)-B$3</f>
        <v>0.14536930356959221</v>
      </c>
      <c r="C243" s="127"/>
    </row>
    <row r="244" spans="1:4" x14ac:dyDescent="0.2">
      <c r="A244" s="447"/>
      <c r="B244" s="452">
        <f>SUM(B241:B243)</f>
        <v>0.17036930356959221</v>
      </c>
      <c r="C244" s="127"/>
    </row>
    <row r="245" spans="1:4" x14ac:dyDescent="0.2">
      <c r="A245" s="454"/>
      <c r="B245" s="454"/>
      <c r="C245" s="127"/>
    </row>
    <row r="246" spans="1:4" x14ac:dyDescent="0.2">
      <c r="A246" s="445" t="s">
        <v>36</v>
      </c>
      <c r="B246" s="446" t="s">
        <v>680</v>
      </c>
      <c r="C246" s="127"/>
    </row>
    <row r="247" spans="1:4" x14ac:dyDescent="0.2">
      <c r="A247" s="447" t="s">
        <v>115</v>
      </c>
      <c r="B247" s="448">
        <v>2.5000000000000001E-2</v>
      </c>
      <c r="C247" s="127"/>
    </row>
    <row r="248" spans="1:4" x14ac:dyDescent="0.2">
      <c r="A248" s="447" t="s">
        <v>58</v>
      </c>
      <c r="B248" s="449">
        <v>0</v>
      </c>
      <c r="C248" s="127"/>
    </row>
    <row r="249" spans="1:4" x14ac:dyDescent="0.2">
      <c r="A249" s="450">
        <v>5.16E-2</v>
      </c>
      <c r="B249" s="451">
        <f>(B$3)/(1-A249)-B$3</f>
        <v>0.27557359763812705</v>
      </c>
      <c r="C249" s="127"/>
    </row>
    <row r="250" spans="1:4" x14ac:dyDescent="0.2">
      <c r="A250" s="447"/>
      <c r="B250" s="452">
        <f>SUM(B247:B249)</f>
        <v>0.30057359763812708</v>
      </c>
      <c r="C250" s="127"/>
    </row>
    <row r="251" spans="1:4" x14ac:dyDescent="0.2">
      <c r="A251" s="454"/>
      <c r="B251" s="454"/>
      <c r="C251" s="127"/>
    </row>
    <row r="252" spans="1:4" x14ac:dyDescent="0.2">
      <c r="A252" s="445" t="s">
        <v>36</v>
      </c>
      <c r="B252" s="446" t="s">
        <v>681</v>
      </c>
      <c r="C252" s="127"/>
    </row>
    <row r="253" spans="1:4" x14ac:dyDescent="0.2">
      <c r="A253" s="447" t="s">
        <v>115</v>
      </c>
      <c r="B253" s="448">
        <v>2.5000000000000001E-2</v>
      </c>
      <c r="C253" s="127"/>
    </row>
    <row r="254" spans="1:4" x14ac:dyDescent="0.2">
      <c r="A254" s="447" t="s">
        <v>58</v>
      </c>
      <c r="B254" s="449">
        <v>0</v>
      </c>
      <c r="C254" s="127"/>
    </row>
    <row r="255" spans="1:4" x14ac:dyDescent="0.2">
      <c r="A255" s="450">
        <v>5.8799999999999998E-2</v>
      </c>
      <c r="B255" s="451">
        <f>(B$3)/(1-A255)-B$3</f>
        <v>0.31642796430089248</v>
      </c>
      <c r="C255" s="127"/>
    </row>
    <row r="256" spans="1:4" x14ac:dyDescent="0.2">
      <c r="A256" s="447"/>
      <c r="B256" s="452">
        <f>SUM(B253:B255)</f>
        <v>0.34142796430089251</v>
      </c>
      <c r="C256" s="127"/>
    </row>
    <row r="257" spans="1:4" x14ac:dyDescent="0.2">
      <c r="A257" s="454"/>
      <c r="B257" s="454"/>
      <c r="C257" s="127"/>
    </row>
    <row r="258" spans="1:4" x14ac:dyDescent="0.2">
      <c r="A258" s="445" t="s">
        <v>36</v>
      </c>
      <c r="B258" s="446" t="s">
        <v>676</v>
      </c>
      <c r="C258" s="127"/>
    </row>
    <row r="259" spans="1:4" x14ac:dyDescent="0.2">
      <c r="A259" s="447" t="s">
        <v>115</v>
      </c>
      <c r="B259" s="448">
        <v>2.5000000000000001E-2</v>
      </c>
      <c r="C259" s="127"/>
    </row>
    <row r="260" spans="1:4" x14ac:dyDescent="0.2">
      <c r="A260" s="447" t="s">
        <v>58</v>
      </c>
      <c r="B260" s="449">
        <v>0</v>
      </c>
      <c r="C260" s="127"/>
    </row>
    <row r="261" spans="1:4" x14ac:dyDescent="0.2">
      <c r="A261" s="450">
        <v>1.01E-2</v>
      </c>
      <c r="B261" s="451">
        <f>(B$4)/(1-A261)-B$4</f>
        <v>5.2137589655520955E-2</v>
      </c>
      <c r="C261" s="127"/>
    </row>
    <row r="262" spans="1:4" x14ac:dyDescent="0.2">
      <c r="A262" s="447"/>
      <c r="B262" s="452">
        <f>SUM(B259:B261)</f>
        <v>7.7137589655520949E-2</v>
      </c>
      <c r="C262" s="127"/>
    </row>
    <row r="263" spans="1:4" x14ac:dyDescent="0.2">
      <c r="A263" s="454"/>
      <c r="B263" s="454"/>
      <c r="C263" s="127"/>
    </row>
    <row r="264" spans="1:4" x14ac:dyDescent="0.2">
      <c r="A264" s="445" t="s">
        <v>36</v>
      </c>
      <c r="B264" s="446" t="s">
        <v>677</v>
      </c>
      <c r="C264" s="127"/>
    </row>
    <row r="265" spans="1:4" x14ac:dyDescent="0.2">
      <c r="A265" s="447" t="s">
        <v>115</v>
      </c>
      <c r="B265" s="448">
        <v>2.5000000000000001E-2</v>
      </c>
      <c r="C265" s="127"/>
      <c r="D265" s="475">
        <f>+B280+B4</f>
        <v>5.4033812230291556</v>
      </c>
    </row>
    <row r="266" spans="1:4" x14ac:dyDescent="0.2">
      <c r="A266" s="447" t="s">
        <v>58</v>
      </c>
      <c r="B266" s="449">
        <v>0</v>
      </c>
      <c r="C266" s="127"/>
    </row>
    <row r="267" spans="1:4" x14ac:dyDescent="0.2">
      <c r="A267" s="450">
        <v>1.9099999999999999E-2</v>
      </c>
      <c r="B267" s="451">
        <f>(B$4)/(1-A267)-B$4</f>
        <v>9.9501478234274465E-2</v>
      </c>
      <c r="C267" s="127"/>
    </row>
    <row r="268" spans="1:4" x14ac:dyDescent="0.2">
      <c r="A268" s="447"/>
      <c r="B268" s="452">
        <f>SUM(B265:B267)</f>
        <v>0.12450147823427446</v>
      </c>
      <c r="C268" s="127"/>
    </row>
    <row r="269" spans="1:4" x14ac:dyDescent="0.2">
      <c r="A269" s="454"/>
      <c r="B269" s="454"/>
      <c r="C269" s="127"/>
    </row>
    <row r="270" spans="1:4" x14ac:dyDescent="0.2">
      <c r="A270" s="445" t="s">
        <v>36</v>
      </c>
      <c r="B270" s="446" t="s">
        <v>678</v>
      </c>
      <c r="C270" s="127"/>
    </row>
    <row r="271" spans="1:4" x14ac:dyDescent="0.2">
      <c r="A271" s="447" t="s">
        <v>115</v>
      </c>
      <c r="B271" s="448">
        <v>2.5000000000000001E-2</v>
      </c>
      <c r="C271" s="127"/>
    </row>
    <row r="272" spans="1:4" x14ac:dyDescent="0.2">
      <c r="A272" s="447" t="s">
        <v>58</v>
      </c>
      <c r="B272" s="449">
        <v>0</v>
      </c>
      <c r="C272" s="127"/>
    </row>
    <row r="273" spans="1:3" x14ac:dyDescent="0.2">
      <c r="A273" s="450">
        <v>4.2799999999999998E-2</v>
      </c>
      <c r="B273" s="451">
        <f>(B$4)/(1-A273)-B$4</f>
        <v>0.22848725449226848</v>
      </c>
      <c r="C273" s="127"/>
    </row>
    <row r="274" spans="1:3" x14ac:dyDescent="0.2">
      <c r="A274" s="447"/>
      <c r="B274" s="452">
        <f>SUM(B271:B273)</f>
        <v>0.2534872544922685</v>
      </c>
      <c r="C274" s="127"/>
    </row>
    <row r="275" spans="1:3" x14ac:dyDescent="0.2">
      <c r="A275" s="454"/>
      <c r="B275" s="454"/>
      <c r="C275" s="127"/>
    </row>
    <row r="276" spans="1:3" x14ac:dyDescent="0.2">
      <c r="A276" s="445" t="s">
        <v>36</v>
      </c>
      <c r="B276" s="446" t="s">
        <v>679</v>
      </c>
      <c r="C276" s="127"/>
    </row>
    <row r="277" spans="1:3" x14ac:dyDescent="0.2">
      <c r="A277" s="447" t="s">
        <v>115</v>
      </c>
      <c r="B277" s="448">
        <v>2.5000000000000001E-2</v>
      </c>
      <c r="C277" s="127"/>
    </row>
    <row r="278" spans="1:3" x14ac:dyDescent="0.2">
      <c r="A278" s="447" t="s">
        <v>58</v>
      </c>
      <c r="B278" s="449">
        <v>0</v>
      </c>
      <c r="C278" s="127"/>
    </row>
    <row r="279" spans="1:3" x14ac:dyDescent="0.2">
      <c r="A279" s="450">
        <v>4.99E-2</v>
      </c>
      <c r="B279" s="451">
        <f>(B$4)/(1-A279)-B$4</f>
        <v>0.2683812230291549</v>
      </c>
      <c r="C279" s="127"/>
    </row>
    <row r="280" spans="1:3" x14ac:dyDescent="0.2">
      <c r="A280" s="447"/>
      <c r="B280" s="452">
        <f>SUM(B277:B279)</f>
        <v>0.29338122302915493</v>
      </c>
      <c r="C280" s="127"/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167"/>
  <sheetViews>
    <sheetView topLeftCell="A125" workbookViewId="0">
      <selection activeCell="G37" sqref="G37"/>
    </sheetView>
  </sheetViews>
  <sheetFormatPr defaultRowHeight="12.75" x14ac:dyDescent="0.2"/>
  <cols>
    <col min="3" max="3" width="4.85546875" customWidth="1"/>
    <col min="6" max="6" width="11.85546875" customWidth="1"/>
  </cols>
  <sheetData>
    <row r="1" spans="1:7" x14ac:dyDescent="0.2">
      <c r="A1" s="45" t="s">
        <v>22</v>
      </c>
      <c r="C1" s="45"/>
    </row>
    <row r="3" spans="1:7" x14ac:dyDescent="0.2">
      <c r="B3" t="s">
        <v>281</v>
      </c>
      <c r="G3" s="38"/>
    </row>
    <row r="5" spans="1:7" x14ac:dyDescent="0.2">
      <c r="B5" t="s">
        <v>290</v>
      </c>
    </row>
    <row r="7" spans="1:7" x14ac:dyDescent="0.2">
      <c r="C7" t="s">
        <v>261</v>
      </c>
    </row>
    <row r="8" spans="1:7" x14ac:dyDescent="0.2">
      <c r="D8" t="s">
        <v>291</v>
      </c>
      <c r="E8" t="s">
        <v>292</v>
      </c>
      <c r="F8" s="60">
        <v>3.88</v>
      </c>
    </row>
    <row r="9" spans="1:7" x14ac:dyDescent="0.2">
      <c r="D9" t="s">
        <v>261</v>
      </c>
      <c r="F9" s="61">
        <v>3.3300000000000003E-2</v>
      </c>
    </row>
    <row r="10" spans="1:7" x14ac:dyDescent="0.2">
      <c r="D10" t="s">
        <v>293</v>
      </c>
      <c r="F10" s="62">
        <v>4.7404500000000002E-2</v>
      </c>
      <c r="G10" t="s">
        <v>352</v>
      </c>
    </row>
    <row r="11" spans="1:7" x14ac:dyDescent="0.2">
      <c r="D11" t="s">
        <v>294</v>
      </c>
      <c r="F11" s="63">
        <f>+F8/(1-F10)-F8</f>
        <v>0.19308243635415057</v>
      </c>
    </row>
    <row r="12" spans="1:7" ht="13.5" thickBot="1" x14ac:dyDescent="0.25">
      <c r="D12" t="s">
        <v>295</v>
      </c>
      <c r="F12" s="64">
        <f>+F11+F9</f>
        <v>0.22638243635415056</v>
      </c>
    </row>
    <row r="13" spans="1:7" ht="13.5" thickTop="1" x14ac:dyDescent="0.2"/>
    <row r="14" spans="1:7" x14ac:dyDescent="0.2">
      <c r="C14" t="s">
        <v>262</v>
      </c>
    </row>
    <row r="15" spans="1:7" x14ac:dyDescent="0.2">
      <c r="D15" t="s">
        <v>291</v>
      </c>
      <c r="E15" t="s">
        <v>292</v>
      </c>
      <c r="F15" s="60">
        <v>3.88</v>
      </c>
    </row>
    <row r="16" spans="1:7" x14ac:dyDescent="0.2">
      <c r="D16" t="s">
        <v>262</v>
      </c>
      <c r="F16" s="61">
        <v>3.2500000000000001E-2</v>
      </c>
    </row>
    <row r="17" spans="2:6" x14ac:dyDescent="0.2">
      <c r="D17" t="s">
        <v>296</v>
      </c>
      <c r="F17" s="62">
        <v>0</v>
      </c>
    </row>
    <row r="18" spans="2:6" x14ac:dyDescent="0.2">
      <c r="D18" t="s">
        <v>294</v>
      </c>
      <c r="F18" s="63">
        <f>+F15/(1-F17)-F15</f>
        <v>0</v>
      </c>
    </row>
    <row r="19" spans="2:6" ht="13.5" thickBot="1" x14ac:dyDescent="0.25">
      <c r="D19" t="s">
        <v>295</v>
      </c>
      <c r="F19" s="64">
        <f>+F18+F16</f>
        <v>3.2500000000000001E-2</v>
      </c>
    </row>
    <row r="20" spans="2:6" ht="13.5" thickTop="1" x14ac:dyDescent="0.2"/>
    <row r="22" spans="2:6" x14ac:dyDescent="0.2">
      <c r="B22" t="s">
        <v>365</v>
      </c>
    </row>
    <row r="24" spans="2:6" x14ac:dyDescent="0.2">
      <c r="C24" t="s">
        <v>261</v>
      </c>
    </row>
    <row r="25" spans="2:6" x14ac:dyDescent="0.2">
      <c r="D25" t="s">
        <v>291</v>
      </c>
      <c r="E25" t="s">
        <v>292</v>
      </c>
      <c r="F25" s="60">
        <v>2.2000000000000002</v>
      </c>
    </row>
    <row r="26" spans="2:6" x14ac:dyDescent="0.2">
      <c r="D26" t="s">
        <v>261</v>
      </c>
      <c r="F26" s="61">
        <v>5.4000000000000003E-3</v>
      </c>
    </row>
    <row r="27" spans="2:6" x14ac:dyDescent="0.2">
      <c r="D27" t="s">
        <v>293</v>
      </c>
      <c r="F27" s="62">
        <v>1.9800000000000002E-2</v>
      </c>
    </row>
    <row r="28" spans="2:6" x14ac:dyDescent="0.2">
      <c r="D28" t="s">
        <v>294</v>
      </c>
      <c r="F28" s="63">
        <f>+F25/(1-F27)-F25</f>
        <v>4.4439910222403789E-2</v>
      </c>
    </row>
    <row r="29" spans="2:6" ht="13.5" thickBot="1" x14ac:dyDescent="0.25">
      <c r="D29" t="s">
        <v>295</v>
      </c>
      <c r="F29" s="64">
        <f>+F28+F26</f>
        <v>4.9839910222403791E-2</v>
      </c>
    </row>
    <row r="30" spans="2:6" ht="13.5" thickTop="1" x14ac:dyDescent="0.2"/>
    <row r="31" spans="2:6" x14ac:dyDescent="0.2">
      <c r="C31" t="s">
        <v>262</v>
      </c>
    </row>
    <row r="32" spans="2:6" x14ac:dyDescent="0.2">
      <c r="D32" t="s">
        <v>291</v>
      </c>
      <c r="E32" t="s">
        <v>292</v>
      </c>
      <c r="F32" s="60">
        <v>1.95</v>
      </c>
    </row>
    <row r="33" spans="2:7" x14ac:dyDescent="0.2">
      <c r="D33" t="s">
        <v>262</v>
      </c>
      <c r="F33" s="61">
        <v>5.4000000000000003E-3</v>
      </c>
    </row>
    <row r="34" spans="2:7" x14ac:dyDescent="0.2">
      <c r="D34" t="s">
        <v>296</v>
      </c>
      <c r="F34" s="62">
        <v>0</v>
      </c>
    </row>
    <row r="35" spans="2:7" x14ac:dyDescent="0.2">
      <c r="D35" t="s">
        <v>294</v>
      </c>
      <c r="F35" s="63">
        <f>+F32/(1-F34)-F32</f>
        <v>0</v>
      </c>
    </row>
    <row r="36" spans="2:7" ht="13.5" thickBot="1" x14ac:dyDescent="0.25">
      <c r="D36" t="s">
        <v>295</v>
      </c>
      <c r="F36" s="64">
        <f>+F35+F33</f>
        <v>5.4000000000000003E-3</v>
      </c>
    </row>
    <row r="37" spans="2:7" ht="13.5" thickTop="1" x14ac:dyDescent="0.2"/>
    <row r="39" spans="2:7" x14ac:dyDescent="0.2">
      <c r="B39" t="s">
        <v>297</v>
      </c>
    </row>
    <row r="41" spans="2:7" x14ac:dyDescent="0.2">
      <c r="C41" t="s">
        <v>261</v>
      </c>
    </row>
    <row r="42" spans="2:7" x14ac:dyDescent="0.2">
      <c r="D42" t="s">
        <v>291</v>
      </c>
      <c r="E42" t="s">
        <v>292</v>
      </c>
      <c r="F42" s="60">
        <v>2.2000000000000002</v>
      </c>
    </row>
    <row r="43" spans="2:7" x14ac:dyDescent="0.2">
      <c r="D43" t="s">
        <v>261</v>
      </c>
      <c r="F43" s="61">
        <v>2.1899999999999999E-2</v>
      </c>
    </row>
    <row r="44" spans="2:7" x14ac:dyDescent="0.2">
      <c r="D44" t="s">
        <v>293</v>
      </c>
      <c r="F44" s="62">
        <v>2.375E-2</v>
      </c>
      <c r="G44" t="s">
        <v>298</v>
      </c>
    </row>
    <row r="45" spans="2:7" x14ac:dyDescent="0.2">
      <c r="D45" t="s">
        <v>294</v>
      </c>
      <c r="F45" s="63">
        <f>+F42/(1-F44)-F42</f>
        <v>5.3521126760563309E-2</v>
      </c>
    </row>
    <row r="46" spans="2:7" ht="13.5" thickBot="1" x14ac:dyDescent="0.25">
      <c r="D46" t="s">
        <v>295</v>
      </c>
      <c r="F46" s="64">
        <f>+F45+F43</f>
        <v>7.5421126760563312E-2</v>
      </c>
    </row>
    <row r="47" spans="2:7" ht="13.5" thickTop="1" x14ac:dyDescent="0.2"/>
    <row r="48" spans="2:7" x14ac:dyDescent="0.2">
      <c r="C48" t="s">
        <v>262</v>
      </c>
    </row>
    <row r="49" spans="2:7" x14ac:dyDescent="0.2">
      <c r="D49" t="s">
        <v>291</v>
      </c>
      <c r="E49" t="s">
        <v>292</v>
      </c>
      <c r="F49" s="60">
        <v>1.95</v>
      </c>
    </row>
    <row r="50" spans="2:7" x14ac:dyDescent="0.2">
      <c r="D50" t="s">
        <v>262</v>
      </c>
      <c r="F50" s="61">
        <v>2.0899999999999998E-2</v>
      </c>
    </row>
    <row r="51" spans="2:7" x14ac:dyDescent="0.2">
      <c r="D51" t="s">
        <v>296</v>
      </c>
      <c r="F51" s="62">
        <v>4.7000000000000002E-3</v>
      </c>
    </row>
    <row r="52" spans="2:7" x14ac:dyDescent="0.2">
      <c r="D52" t="s">
        <v>294</v>
      </c>
      <c r="F52" s="63">
        <f>+F49/(1-F51)-F49</f>
        <v>9.2082789108811625E-3</v>
      </c>
    </row>
    <row r="53" spans="2:7" ht="13.5" thickBot="1" x14ac:dyDescent="0.25">
      <c r="D53" t="s">
        <v>295</v>
      </c>
      <c r="F53" s="64">
        <f>+F52+F50</f>
        <v>3.0108278910881161E-2</v>
      </c>
    </row>
    <row r="54" spans="2:7" ht="13.5" thickTop="1" x14ac:dyDescent="0.2"/>
    <row r="55" spans="2:7" x14ac:dyDescent="0.2">
      <c r="B55" t="s">
        <v>353</v>
      </c>
    </row>
    <row r="57" spans="2:7" x14ac:dyDescent="0.2">
      <c r="C57" t="s">
        <v>261</v>
      </c>
    </row>
    <row r="58" spans="2:7" x14ac:dyDescent="0.2">
      <c r="D58" t="s">
        <v>291</v>
      </c>
      <c r="E58" t="s">
        <v>292</v>
      </c>
      <c r="F58" s="60">
        <v>2.2000000000000002</v>
      </c>
    </row>
    <row r="59" spans="2:7" x14ac:dyDescent="0.2">
      <c r="D59" t="s">
        <v>261</v>
      </c>
      <c r="F59" s="61">
        <v>3.3399999999999999E-2</v>
      </c>
      <c r="G59" t="s">
        <v>354</v>
      </c>
    </row>
    <row r="60" spans="2:7" x14ac:dyDescent="0.2">
      <c r="D60" t="s">
        <v>355</v>
      </c>
      <c r="F60" s="61">
        <v>7.2700000000000001E-2</v>
      </c>
      <c r="G60" t="s">
        <v>356</v>
      </c>
    </row>
    <row r="61" spans="2:7" x14ac:dyDescent="0.2">
      <c r="D61" t="s">
        <v>293</v>
      </c>
      <c r="F61" s="62">
        <v>0</v>
      </c>
    </row>
    <row r="62" spans="2:7" x14ac:dyDescent="0.2">
      <c r="D62" t="s">
        <v>294</v>
      </c>
      <c r="F62" s="63">
        <f>+F58/(1-F61)-F58</f>
        <v>0</v>
      </c>
    </row>
    <row r="63" spans="2:7" ht="13.5" thickBot="1" x14ac:dyDescent="0.25">
      <c r="D63" t="s">
        <v>295</v>
      </c>
      <c r="F63" s="64">
        <f>SUM(F59:F60,F62)</f>
        <v>0.1061</v>
      </c>
    </row>
    <row r="64" spans="2:7" ht="13.5" thickTop="1" x14ac:dyDescent="0.2"/>
    <row r="65" spans="2:7" x14ac:dyDescent="0.2">
      <c r="C65" t="s">
        <v>262</v>
      </c>
    </row>
    <row r="66" spans="2:7" x14ac:dyDescent="0.2">
      <c r="D66" t="s">
        <v>291</v>
      </c>
      <c r="E66" t="s">
        <v>292</v>
      </c>
      <c r="F66" s="60">
        <v>1.95</v>
      </c>
    </row>
    <row r="67" spans="2:7" x14ac:dyDescent="0.2">
      <c r="D67" t="s">
        <v>355</v>
      </c>
      <c r="F67" s="61">
        <v>7.2700000000000001E-2</v>
      </c>
      <c r="G67" t="s">
        <v>357</v>
      </c>
    </row>
    <row r="68" spans="2:7" x14ac:dyDescent="0.2">
      <c r="D68" t="s">
        <v>262</v>
      </c>
      <c r="F68" s="61">
        <v>2.64E-2</v>
      </c>
      <c r="G68" t="s">
        <v>358</v>
      </c>
    </row>
    <row r="69" spans="2:7" x14ac:dyDescent="0.2">
      <c r="D69" t="s">
        <v>296</v>
      </c>
      <c r="F69" s="62">
        <v>0</v>
      </c>
    </row>
    <row r="70" spans="2:7" x14ac:dyDescent="0.2">
      <c r="D70" t="s">
        <v>294</v>
      </c>
      <c r="F70" s="63">
        <f>+F66/(1-F69)-F66</f>
        <v>0</v>
      </c>
    </row>
    <row r="71" spans="2:7" ht="13.5" thickBot="1" x14ac:dyDescent="0.25">
      <c r="D71" t="s">
        <v>295</v>
      </c>
      <c r="F71" s="64">
        <f>SUM(F67:F68,F70)</f>
        <v>9.9099999999999994E-2</v>
      </c>
    </row>
    <row r="72" spans="2:7" ht="13.5" thickTop="1" x14ac:dyDescent="0.2"/>
    <row r="74" spans="2:7" x14ac:dyDescent="0.2">
      <c r="B74" s="45" t="s">
        <v>345</v>
      </c>
    </row>
    <row r="76" spans="2:7" x14ac:dyDescent="0.2">
      <c r="D76" t="s">
        <v>291</v>
      </c>
      <c r="E76" t="s">
        <v>292</v>
      </c>
      <c r="F76" s="60">
        <v>2.8</v>
      </c>
    </row>
    <row r="77" spans="2:7" x14ac:dyDescent="0.2">
      <c r="D77" t="s">
        <v>240</v>
      </c>
      <c r="F77" s="61">
        <v>5.7000000000000002E-3</v>
      </c>
    </row>
    <row r="78" spans="2:7" x14ac:dyDescent="0.2">
      <c r="D78" t="s">
        <v>346</v>
      </c>
      <c r="F78" s="61">
        <f>0.0022+0.0075</f>
        <v>9.7000000000000003E-3</v>
      </c>
      <c r="G78" t="s">
        <v>347</v>
      </c>
    </row>
    <row r="79" spans="2:7" x14ac:dyDescent="0.2">
      <c r="D79" t="s">
        <v>192</v>
      </c>
      <c r="F79" s="62">
        <v>7.1999999999999998E-3</v>
      </c>
    </row>
    <row r="80" spans="2:7" x14ac:dyDescent="0.2">
      <c r="D80" t="s">
        <v>294</v>
      </c>
      <c r="F80" s="63">
        <f>+F76/(1-F79)-F76</f>
        <v>2.0306204673650186E-2</v>
      </c>
    </row>
    <row r="81" spans="1:6" ht="13.5" thickBot="1" x14ac:dyDescent="0.25">
      <c r="D81" t="s">
        <v>295</v>
      </c>
      <c r="F81" s="64">
        <f>SUM(F80,F78,F77)</f>
        <v>3.5706204673650183E-2</v>
      </c>
    </row>
    <row r="82" spans="1:6" ht="13.5" thickTop="1" x14ac:dyDescent="0.2"/>
    <row r="96" spans="1:6" x14ac:dyDescent="0.2">
      <c r="A96" s="45" t="s">
        <v>109</v>
      </c>
    </row>
    <row r="98" spans="2:6" x14ac:dyDescent="0.2">
      <c r="B98" t="s">
        <v>281</v>
      </c>
    </row>
    <row r="100" spans="2:6" x14ac:dyDescent="0.2">
      <c r="B100" t="s">
        <v>302</v>
      </c>
    </row>
    <row r="101" spans="2:6" x14ac:dyDescent="0.2">
      <c r="C101" t="s">
        <v>261</v>
      </c>
    </row>
    <row r="102" spans="2:6" x14ac:dyDescent="0.2">
      <c r="D102" t="s">
        <v>291</v>
      </c>
      <c r="E102" t="s">
        <v>303</v>
      </c>
      <c r="F102" s="60">
        <f>0.18+2.27</f>
        <v>2.4500000000000002</v>
      </c>
    </row>
    <row r="103" spans="2:6" x14ac:dyDescent="0.2">
      <c r="D103" t="s">
        <v>261</v>
      </c>
      <c r="F103" s="61">
        <v>1.6199999999999999E-2</v>
      </c>
    </row>
    <row r="104" spans="2:6" x14ac:dyDescent="0.2">
      <c r="D104" t="s">
        <v>293</v>
      </c>
      <c r="F104" s="62">
        <v>2.7799999999999998E-2</v>
      </c>
    </row>
    <row r="105" spans="2:6" x14ac:dyDescent="0.2">
      <c r="D105" t="s">
        <v>294</v>
      </c>
      <c r="F105" s="63">
        <f>+F102/(1-F104)-F102</f>
        <v>7.0057601316601659E-2</v>
      </c>
    </row>
    <row r="106" spans="2:6" ht="13.5" thickBot="1" x14ac:dyDescent="0.25">
      <c r="D106" t="s">
        <v>295</v>
      </c>
      <c r="F106" s="64">
        <f>+F105+F103</f>
        <v>8.6257601316601651E-2</v>
      </c>
    </row>
    <row r="107" spans="2:6" ht="13.5" thickTop="1" x14ac:dyDescent="0.2"/>
    <row r="108" spans="2:6" x14ac:dyDescent="0.2">
      <c r="C108" t="s">
        <v>262</v>
      </c>
    </row>
    <row r="109" spans="2:6" x14ac:dyDescent="0.2">
      <c r="D109" t="s">
        <v>291</v>
      </c>
      <c r="E109" t="s">
        <v>303</v>
      </c>
      <c r="F109" s="60">
        <v>1.95</v>
      </c>
    </row>
    <row r="110" spans="2:6" x14ac:dyDescent="0.2">
      <c r="D110" t="s">
        <v>262</v>
      </c>
      <c r="F110" s="61">
        <v>1.47E-2</v>
      </c>
    </row>
    <row r="111" spans="2:6" x14ac:dyDescent="0.2">
      <c r="D111" t="s">
        <v>304</v>
      </c>
      <c r="F111" s="61">
        <v>-5.9999999999999995E-4</v>
      </c>
    </row>
    <row r="112" spans="2:6" x14ac:dyDescent="0.2">
      <c r="D112" t="s">
        <v>296</v>
      </c>
      <c r="F112" s="62">
        <v>0</v>
      </c>
    </row>
    <row r="113" spans="2:6" x14ac:dyDescent="0.2">
      <c r="D113" t="s">
        <v>294</v>
      </c>
      <c r="F113" s="63">
        <f>+F109/(1-F112)-F109</f>
        <v>0</v>
      </c>
    </row>
    <row r="114" spans="2:6" ht="13.5" thickBot="1" x14ac:dyDescent="0.25">
      <c r="D114" t="s">
        <v>295</v>
      </c>
      <c r="F114" s="64">
        <f>SUM(F110:F111,F113)</f>
        <v>1.41E-2</v>
      </c>
    </row>
    <row r="115" spans="2:6" ht="13.5" thickTop="1" x14ac:dyDescent="0.2"/>
    <row r="116" spans="2:6" x14ac:dyDescent="0.2">
      <c r="C116" t="s">
        <v>305</v>
      </c>
    </row>
    <row r="117" spans="2:6" x14ac:dyDescent="0.2">
      <c r="C117" t="s">
        <v>306</v>
      </c>
    </row>
    <row r="121" spans="2:6" x14ac:dyDescent="0.2">
      <c r="B121" s="45" t="s">
        <v>341</v>
      </c>
    </row>
    <row r="123" spans="2:6" x14ac:dyDescent="0.2">
      <c r="B123" t="s">
        <v>281</v>
      </c>
    </row>
    <row r="125" spans="2:6" x14ac:dyDescent="0.2">
      <c r="B125" t="s">
        <v>342</v>
      </c>
    </row>
    <row r="126" spans="2:6" x14ac:dyDescent="0.2">
      <c r="C126" t="s">
        <v>261</v>
      </c>
    </row>
    <row r="127" spans="2:6" x14ac:dyDescent="0.2">
      <c r="D127" t="s">
        <v>291</v>
      </c>
      <c r="E127" t="s">
        <v>303</v>
      </c>
      <c r="F127" s="60">
        <v>2.48</v>
      </c>
    </row>
    <row r="128" spans="2:6" x14ac:dyDescent="0.2">
      <c r="D128" t="s">
        <v>261</v>
      </c>
      <c r="F128" s="61">
        <v>8.8999999999999999E-3</v>
      </c>
    </row>
    <row r="129" spans="2:6" x14ac:dyDescent="0.2">
      <c r="D129" t="s">
        <v>293</v>
      </c>
      <c r="F129" s="62">
        <v>6.4999999999999997E-3</v>
      </c>
    </row>
    <row r="130" spans="2:6" x14ac:dyDescent="0.2">
      <c r="D130" t="s">
        <v>294</v>
      </c>
      <c r="F130" s="63">
        <f>+F127/(1-F129)-F127</f>
        <v>1.6225465525918192E-2</v>
      </c>
    </row>
    <row r="131" spans="2:6" ht="13.5" thickBot="1" x14ac:dyDescent="0.25">
      <c r="D131" t="s">
        <v>295</v>
      </c>
      <c r="F131" s="64">
        <f>+F130+F128</f>
        <v>2.5125465525918191E-2</v>
      </c>
    </row>
    <row r="132" spans="2:6" ht="13.5" thickTop="1" x14ac:dyDescent="0.2"/>
    <row r="133" spans="2:6" x14ac:dyDescent="0.2">
      <c r="B133" t="s">
        <v>344</v>
      </c>
    </row>
    <row r="134" spans="2:6" x14ac:dyDescent="0.2">
      <c r="C134" t="s">
        <v>261</v>
      </c>
    </row>
    <row r="135" spans="2:6" x14ac:dyDescent="0.2">
      <c r="D135" t="s">
        <v>291</v>
      </c>
      <c r="E135" t="s">
        <v>303</v>
      </c>
      <c r="F135" s="60">
        <v>2.48</v>
      </c>
    </row>
    <row r="136" spans="2:6" x14ac:dyDescent="0.2">
      <c r="D136" t="s">
        <v>343</v>
      </c>
      <c r="F136" s="61">
        <v>7.9000000000000008E-3</v>
      </c>
    </row>
    <row r="137" spans="2:6" x14ac:dyDescent="0.2">
      <c r="D137" t="s">
        <v>308</v>
      </c>
      <c r="F137" s="61">
        <v>2.2000000000000001E-3</v>
      </c>
    </row>
    <row r="138" spans="2:6" x14ac:dyDescent="0.2">
      <c r="D138" t="s">
        <v>293</v>
      </c>
      <c r="F138" s="109">
        <v>3.2500000000000001E-2</v>
      </c>
    </row>
    <row r="139" spans="2:6" x14ac:dyDescent="0.2">
      <c r="D139" t="s">
        <v>294</v>
      </c>
      <c r="F139" s="110">
        <f>+F135/(1-F138)-F135</f>
        <v>8.3307493540051514E-2</v>
      </c>
    </row>
    <row r="140" spans="2:6" ht="13.5" thickBot="1" x14ac:dyDescent="0.25">
      <c r="D140" t="s">
        <v>295</v>
      </c>
      <c r="F140" s="64">
        <f>SUM(F136:F137,F139)</f>
        <v>9.3407493540051512E-2</v>
      </c>
    </row>
    <row r="141" spans="2:6" ht="13.5" thickTop="1" x14ac:dyDescent="0.2">
      <c r="F141" s="107"/>
    </row>
    <row r="142" spans="2:6" x14ac:dyDescent="0.2">
      <c r="F142" s="107"/>
    </row>
    <row r="143" spans="2:6" x14ac:dyDescent="0.2">
      <c r="B143" t="s">
        <v>342</v>
      </c>
    </row>
    <row r="144" spans="2:6" x14ac:dyDescent="0.2">
      <c r="C144" t="s">
        <v>262</v>
      </c>
    </row>
    <row r="145" spans="2:6" x14ac:dyDescent="0.2">
      <c r="D145" t="s">
        <v>291</v>
      </c>
      <c r="E145" t="s">
        <v>303</v>
      </c>
      <c r="F145" s="60">
        <v>1.95</v>
      </c>
    </row>
    <row r="146" spans="2:6" x14ac:dyDescent="0.2">
      <c r="D146" t="s">
        <v>262</v>
      </c>
      <c r="F146" s="61">
        <v>8.8999999999999999E-3</v>
      </c>
    </row>
    <row r="147" spans="2:6" x14ac:dyDescent="0.2">
      <c r="D147" t="s">
        <v>296</v>
      </c>
      <c r="F147" s="62">
        <v>0</v>
      </c>
    </row>
    <row r="148" spans="2:6" x14ac:dyDescent="0.2">
      <c r="D148" t="s">
        <v>294</v>
      </c>
      <c r="F148" s="63">
        <f>+F145/(1-F147)-F145</f>
        <v>0</v>
      </c>
    </row>
    <row r="149" spans="2:6" ht="13.5" thickBot="1" x14ac:dyDescent="0.25">
      <c r="D149" t="s">
        <v>295</v>
      </c>
      <c r="F149" s="64">
        <f>SUM(F146,F148)</f>
        <v>8.8999999999999999E-3</v>
      </c>
    </row>
    <row r="150" spans="2:6" ht="13.5" thickTop="1" x14ac:dyDescent="0.2"/>
    <row r="151" spans="2:6" x14ac:dyDescent="0.2">
      <c r="B151" t="s">
        <v>344</v>
      </c>
    </row>
    <row r="152" spans="2:6" x14ac:dyDescent="0.2">
      <c r="C152" t="s">
        <v>262</v>
      </c>
    </row>
    <row r="153" spans="2:6" x14ac:dyDescent="0.2">
      <c r="D153" t="s">
        <v>291</v>
      </c>
      <c r="E153" t="s">
        <v>303</v>
      </c>
      <c r="F153" s="60">
        <v>2.48</v>
      </c>
    </row>
    <row r="154" spans="2:6" x14ac:dyDescent="0.2">
      <c r="D154" t="s">
        <v>343</v>
      </c>
      <c r="F154" s="61">
        <v>7.9000000000000008E-3</v>
      </c>
    </row>
    <row r="155" spans="2:6" x14ac:dyDescent="0.2">
      <c r="D155" t="s">
        <v>308</v>
      </c>
      <c r="F155" s="61">
        <v>2.2000000000000001E-3</v>
      </c>
    </row>
    <row r="156" spans="2:6" x14ac:dyDescent="0.2">
      <c r="D156" t="s">
        <v>296</v>
      </c>
      <c r="F156" s="109">
        <v>0</v>
      </c>
    </row>
    <row r="157" spans="2:6" x14ac:dyDescent="0.2">
      <c r="D157" t="s">
        <v>294</v>
      </c>
      <c r="F157" s="110">
        <f>+F153/(1-F156)-F153</f>
        <v>0</v>
      </c>
    </row>
    <row r="158" spans="2:6" ht="13.5" thickBot="1" x14ac:dyDescent="0.25">
      <c r="D158" t="s">
        <v>295</v>
      </c>
      <c r="F158" s="64">
        <f>SUM(F154:F155,F157)</f>
        <v>1.0100000000000001E-2</v>
      </c>
    </row>
    <row r="159" spans="2:6" ht="13.5" thickTop="1" x14ac:dyDescent="0.2"/>
    <row r="161" spans="3:7" x14ac:dyDescent="0.2">
      <c r="C161" s="102"/>
      <c r="D161" s="102"/>
      <c r="E161" s="102"/>
      <c r="F161" s="102"/>
      <c r="G161" s="102"/>
    </row>
    <row r="162" spans="3:7" x14ac:dyDescent="0.2">
      <c r="C162" s="102"/>
      <c r="D162" s="102"/>
      <c r="E162" s="102"/>
      <c r="F162" s="107"/>
      <c r="G162" s="102"/>
    </row>
    <row r="163" spans="3:7" x14ac:dyDescent="0.2">
      <c r="C163" s="102"/>
      <c r="D163" s="102"/>
      <c r="E163" s="102"/>
      <c r="F163" s="108"/>
      <c r="G163" s="102"/>
    </row>
    <row r="164" spans="3:7" x14ac:dyDescent="0.2">
      <c r="C164" s="102"/>
      <c r="D164" s="102"/>
      <c r="E164" s="102"/>
      <c r="F164" s="109"/>
      <c r="G164" s="102"/>
    </row>
    <row r="165" spans="3:7" x14ac:dyDescent="0.2">
      <c r="C165" s="102"/>
      <c r="D165" s="102"/>
      <c r="E165" s="102"/>
      <c r="F165" s="107"/>
      <c r="G165" s="102"/>
    </row>
    <row r="166" spans="3:7" x14ac:dyDescent="0.2">
      <c r="C166" s="102"/>
      <c r="D166" s="102"/>
      <c r="E166" s="102"/>
      <c r="F166" s="107"/>
      <c r="G166" s="102"/>
    </row>
    <row r="167" spans="3:7" x14ac:dyDescent="0.2">
      <c r="C167" s="102"/>
      <c r="D167" s="102"/>
      <c r="E167" s="102"/>
      <c r="F167" s="102"/>
      <c r="G167" s="102"/>
    </row>
  </sheetData>
  <phoneticPr fontId="0" type="noConversion"/>
  <pageMargins left="0.75" right="0.75" top="1" bottom="1" header="0.5" footer="0.5"/>
  <pageSetup scale="2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Other</vt:lpstr>
      <vt:lpstr>IT &amp; Pooling</vt:lpstr>
      <vt:lpstr>CES IT</vt:lpstr>
      <vt:lpstr>East Capacity</vt:lpstr>
      <vt:lpstr>May Matrix</vt:lpstr>
      <vt:lpstr>Rates</vt:lpstr>
      <vt:lpstr>Notes</vt:lpstr>
      <vt:lpstr>Offseason Rate</vt:lpstr>
      <vt:lpstr>Special Rates</vt:lpstr>
      <vt:lpstr>Basis</vt:lpstr>
      <vt:lpstr>Basis!Print_Area</vt:lpstr>
      <vt:lpstr>'East Capacity'!Print_Area</vt:lpstr>
      <vt:lpstr>'May Matrix'!Print_Area</vt:lpstr>
      <vt:lpstr>Rates!Print_Area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2001-05-17T13:00:52Z</cp:lastPrinted>
  <dcterms:created xsi:type="dcterms:W3CDTF">1998-07-21T12:15:25Z</dcterms:created>
  <dcterms:modified xsi:type="dcterms:W3CDTF">2023-09-17T18:55:46Z</dcterms:modified>
</cp:coreProperties>
</file>