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49EBC78-D15E-46CB-9559-6A5761AAB22C}" xr6:coauthVersionLast="47" xr6:coauthVersionMax="47" xr10:uidLastSave="{00000000-0000-0000-0000-000000000000}"/>
  <bookViews>
    <workbookView xWindow="-120" yWindow="-120" windowWidth="38640" windowHeight="15720" tabRatio="620" firstSheet="27" activeTab="31"/>
  </bookViews>
  <sheets>
    <sheet name="Apr 1" sheetId="117" r:id="rId1"/>
    <sheet name="Apr 2" sheetId="118" r:id="rId2"/>
    <sheet name="Apr 3" sheetId="119" r:id="rId3"/>
    <sheet name="Apr 3 intra-day" sheetId="122" r:id="rId4"/>
    <sheet name="April 4" sheetId="123" r:id="rId5"/>
    <sheet name="April 5" sheetId="124" r:id="rId6"/>
    <sheet name="April 6" sheetId="125" r:id="rId7"/>
    <sheet name="April 7" sheetId="126" r:id="rId8"/>
    <sheet name="April 8" sheetId="14" r:id="rId9"/>
    <sheet name="April 9" sheetId="127" r:id="rId10"/>
    <sheet name="April  10" sheetId="128" r:id="rId11"/>
    <sheet name="April  11" sheetId="129" r:id="rId12"/>
    <sheet name="April  12" sheetId="130" r:id="rId13"/>
    <sheet name="April  13" sheetId="131" r:id="rId14"/>
    <sheet name="April 14" sheetId="132" r:id="rId15"/>
    <sheet name="April 15" sheetId="133" r:id="rId16"/>
    <sheet name="April 16" sheetId="134" r:id="rId17"/>
    <sheet name="April 17" sheetId="135" r:id="rId18"/>
    <sheet name="April 18" sheetId="136" r:id="rId19"/>
    <sheet name="April 19" sheetId="137" r:id="rId20"/>
    <sheet name="April 20" sheetId="138" r:id="rId21"/>
    <sheet name="April 21" sheetId="139" r:id="rId22"/>
    <sheet name="Apr 22" sheetId="141" r:id="rId23"/>
    <sheet name="Apr 23" sheetId="142" r:id="rId24"/>
    <sheet name="Apr 24" sheetId="143" r:id="rId25"/>
    <sheet name="Apr 25" sheetId="144" r:id="rId26"/>
    <sheet name="Apr 26" sheetId="145" r:id="rId27"/>
    <sheet name="Apr 27" sheetId="146" r:id="rId28"/>
    <sheet name="copy this one" sheetId="140" r:id="rId29"/>
    <sheet name="copy form-interconnects" sheetId="116" r:id="rId30"/>
    <sheet name="copy form-intra days" sheetId="15" r:id="rId31"/>
    <sheet name="Choice Flow" sheetId="2" r:id="rId32"/>
    <sheet name="Sheet3" sheetId="3" r:id="rId33"/>
  </sheets>
  <calcPr calcId="0"/>
</workbook>
</file>

<file path=xl/calcChain.xml><?xml version="1.0" encoding="utf-8"?>
<calcChain xmlns="http://schemas.openxmlformats.org/spreadsheetml/2006/main">
  <c r="B3" i="117" l="1"/>
  <c r="H6" i="117"/>
  <c r="J6" i="117"/>
  <c r="N6" i="117"/>
  <c r="O6" i="117"/>
  <c r="R6" i="117"/>
  <c r="H7" i="117"/>
  <c r="J7" i="117"/>
  <c r="L7" i="117"/>
  <c r="O7" i="117"/>
  <c r="R7" i="117"/>
  <c r="S7" i="117"/>
  <c r="J8" i="117"/>
  <c r="L8" i="117"/>
  <c r="O8" i="117"/>
  <c r="R8" i="117"/>
  <c r="S8" i="117"/>
  <c r="H10" i="117"/>
  <c r="J10" i="117"/>
  <c r="L10" i="117"/>
  <c r="N10" i="117"/>
  <c r="O10" i="117"/>
  <c r="R10" i="117"/>
  <c r="H11" i="117"/>
  <c r="J11" i="117"/>
  <c r="L11" i="117"/>
  <c r="O11" i="117"/>
  <c r="R11" i="117"/>
  <c r="S11" i="117"/>
  <c r="J12" i="117"/>
  <c r="L12" i="117"/>
  <c r="O12" i="117"/>
  <c r="R12" i="117"/>
  <c r="S12" i="117"/>
  <c r="H14" i="117"/>
  <c r="J14" i="117"/>
  <c r="N14" i="117"/>
  <c r="O14" i="117"/>
  <c r="R14" i="117"/>
  <c r="H15" i="117"/>
  <c r="J15" i="117"/>
  <c r="L15" i="117"/>
  <c r="O15" i="117"/>
  <c r="R15" i="117"/>
  <c r="S15" i="117"/>
  <c r="J16" i="117"/>
  <c r="L16" i="117"/>
  <c r="O16" i="117"/>
  <c r="R16" i="117"/>
  <c r="S16" i="117"/>
  <c r="H18" i="117"/>
  <c r="J18" i="117"/>
  <c r="N18" i="117"/>
  <c r="O18" i="117"/>
  <c r="R18" i="117"/>
  <c r="H19" i="117"/>
  <c r="J19" i="117"/>
  <c r="L19" i="117"/>
  <c r="O19" i="117"/>
  <c r="R19" i="117"/>
  <c r="S19" i="117"/>
  <c r="J20" i="117"/>
  <c r="L20" i="117"/>
  <c r="O20" i="117"/>
  <c r="R20" i="117"/>
  <c r="S20" i="117"/>
  <c r="H22" i="117"/>
  <c r="J22" i="117"/>
  <c r="N22" i="117"/>
  <c r="O22" i="117"/>
  <c r="R22" i="117"/>
  <c r="H23" i="117"/>
  <c r="J23" i="117"/>
  <c r="L23" i="117"/>
  <c r="O23" i="117"/>
  <c r="R23" i="117"/>
  <c r="S23" i="117"/>
  <c r="J24" i="117"/>
  <c r="L24" i="117"/>
  <c r="O24" i="117"/>
  <c r="R24" i="117"/>
  <c r="S24" i="117"/>
  <c r="H26" i="117"/>
  <c r="J26" i="117"/>
  <c r="L26" i="117"/>
  <c r="N26" i="117"/>
  <c r="O26" i="117"/>
  <c r="R26" i="117"/>
  <c r="H27" i="117"/>
  <c r="J27" i="117"/>
  <c r="L27" i="117"/>
  <c r="O27" i="117"/>
  <c r="R27" i="117"/>
  <c r="S27" i="117"/>
  <c r="J28" i="117"/>
  <c r="L28" i="117"/>
  <c r="O28" i="117"/>
  <c r="R28" i="117"/>
  <c r="S28" i="117"/>
  <c r="H30" i="117"/>
  <c r="J30" i="117"/>
  <c r="L30" i="117"/>
  <c r="N30" i="117"/>
  <c r="O30" i="117"/>
  <c r="R30" i="117"/>
  <c r="H31" i="117"/>
  <c r="J31" i="117"/>
  <c r="L31" i="117"/>
  <c r="O31" i="117"/>
  <c r="R31" i="117"/>
  <c r="S31" i="117"/>
  <c r="J32" i="117"/>
  <c r="L32" i="117"/>
  <c r="O32" i="117"/>
  <c r="R32" i="117"/>
  <c r="S32" i="117"/>
  <c r="H34" i="117"/>
  <c r="J34" i="117"/>
  <c r="N34" i="117"/>
  <c r="O34" i="117"/>
  <c r="R34" i="117"/>
  <c r="H35" i="117"/>
  <c r="J35" i="117"/>
  <c r="L35" i="117"/>
  <c r="O35" i="117"/>
  <c r="R35" i="117"/>
  <c r="S35" i="117"/>
  <c r="J36" i="117"/>
  <c r="L36" i="117"/>
  <c r="O36" i="117"/>
  <c r="R36" i="117"/>
  <c r="S36" i="117"/>
  <c r="H38" i="117"/>
  <c r="J38" i="117"/>
  <c r="N38" i="117"/>
  <c r="O38" i="117"/>
  <c r="R38" i="117"/>
  <c r="H39" i="117"/>
  <c r="J39" i="117"/>
  <c r="L39" i="117"/>
  <c r="O39" i="117"/>
  <c r="R39" i="117"/>
  <c r="S39" i="117"/>
  <c r="J40" i="117"/>
  <c r="L40" i="117"/>
  <c r="O40" i="117"/>
  <c r="R40" i="117"/>
  <c r="S40" i="117"/>
  <c r="H42" i="117"/>
  <c r="J42" i="117"/>
  <c r="N42" i="117"/>
  <c r="O42" i="117"/>
  <c r="R42" i="117"/>
  <c r="H43" i="117"/>
  <c r="J43" i="117"/>
  <c r="L43" i="117"/>
  <c r="O43" i="117"/>
  <c r="R43" i="117"/>
  <c r="S43" i="117"/>
  <c r="J44" i="117"/>
  <c r="L44" i="117"/>
  <c r="O44" i="117"/>
  <c r="R44" i="117"/>
  <c r="S44" i="117"/>
  <c r="H46" i="117"/>
  <c r="J46" i="117"/>
  <c r="L46" i="117"/>
  <c r="N46" i="117"/>
  <c r="O46" i="117"/>
  <c r="R46" i="117"/>
  <c r="H47" i="117"/>
  <c r="J47" i="117"/>
  <c r="L47" i="117"/>
  <c r="O47" i="117"/>
  <c r="R47" i="117"/>
  <c r="S47" i="117"/>
  <c r="J48" i="117"/>
  <c r="L48" i="117"/>
  <c r="O48" i="117"/>
  <c r="R48" i="117"/>
  <c r="S48" i="117"/>
  <c r="H50" i="117"/>
  <c r="J50" i="117"/>
  <c r="N50" i="117"/>
  <c r="O50" i="117"/>
  <c r="R50" i="117"/>
  <c r="H51" i="117"/>
  <c r="J51" i="117"/>
  <c r="L51" i="117"/>
  <c r="O51" i="117"/>
  <c r="R51" i="117"/>
  <c r="S51" i="117"/>
  <c r="J52" i="117"/>
  <c r="L52" i="117"/>
  <c r="O52" i="117"/>
  <c r="R52" i="117"/>
  <c r="S52" i="117"/>
  <c r="F54" i="117"/>
  <c r="G54" i="117"/>
  <c r="J54" i="117"/>
  <c r="K54" i="117"/>
  <c r="L54" i="117"/>
  <c r="N54" i="117"/>
  <c r="O54" i="117"/>
  <c r="Q54" i="117"/>
  <c r="R54" i="117"/>
  <c r="S54" i="117"/>
  <c r="J57" i="117"/>
  <c r="L57" i="117"/>
  <c r="O57" i="117"/>
  <c r="R57" i="117"/>
  <c r="J58" i="117"/>
  <c r="L58" i="117"/>
  <c r="O58" i="117"/>
  <c r="R58" i="117"/>
  <c r="J59" i="117"/>
  <c r="L59" i="117"/>
  <c r="O59" i="117"/>
  <c r="R59" i="117"/>
  <c r="J60" i="117"/>
  <c r="L60" i="117"/>
  <c r="O60" i="117"/>
  <c r="R60" i="117"/>
  <c r="G62" i="117"/>
  <c r="J62" i="117"/>
  <c r="K62" i="117"/>
  <c r="L62" i="117"/>
  <c r="N62" i="117"/>
  <c r="O62" i="117"/>
  <c r="Q62" i="117"/>
  <c r="R62" i="117"/>
  <c r="L64" i="117"/>
  <c r="O64" i="117"/>
  <c r="R64" i="117"/>
  <c r="B3" i="118"/>
  <c r="H6" i="118"/>
  <c r="J6" i="118"/>
  <c r="L6" i="118"/>
  <c r="N6" i="118"/>
  <c r="O6" i="118"/>
  <c r="R6" i="118"/>
  <c r="H7" i="118"/>
  <c r="J7" i="118"/>
  <c r="L7" i="118"/>
  <c r="O7" i="118"/>
  <c r="R7" i="118"/>
  <c r="S7" i="118"/>
  <c r="J8" i="118"/>
  <c r="L8" i="118"/>
  <c r="O8" i="118"/>
  <c r="R8" i="118"/>
  <c r="S8" i="118"/>
  <c r="H10" i="118"/>
  <c r="J10" i="118"/>
  <c r="L10" i="118"/>
  <c r="N10" i="118"/>
  <c r="O10" i="118"/>
  <c r="R10" i="118"/>
  <c r="H11" i="118"/>
  <c r="J11" i="118"/>
  <c r="L11" i="118"/>
  <c r="O11" i="118"/>
  <c r="R11" i="118"/>
  <c r="S11" i="118"/>
  <c r="J12" i="118"/>
  <c r="L12" i="118"/>
  <c r="O12" i="118"/>
  <c r="R12" i="118"/>
  <c r="S12" i="118"/>
  <c r="H14" i="118"/>
  <c r="J14" i="118"/>
  <c r="L14" i="118"/>
  <c r="N14" i="118"/>
  <c r="O14" i="118"/>
  <c r="R14" i="118"/>
  <c r="H15" i="118"/>
  <c r="J15" i="118"/>
  <c r="L15" i="118"/>
  <c r="O15" i="118"/>
  <c r="R15" i="118"/>
  <c r="S15" i="118"/>
  <c r="J16" i="118"/>
  <c r="L16" i="118"/>
  <c r="O16" i="118"/>
  <c r="R16" i="118"/>
  <c r="S16" i="118"/>
  <c r="H18" i="118"/>
  <c r="J18" i="118"/>
  <c r="L18" i="118"/>
  <c r="N18" i="118"/>
  <c r="O18" i="118"/>
  <c r="R18" i="118"/>
  <c r="H19" i="118"/>
  <c r="J19" i="118"/>
  <c r="L19" i="118"/>
  <c r="O19" i="118"/>
  <c r="R19" i="118"/>
  <c r="S19" i="118"/>
  <c r="J20" i="118"/>
  <c r="L20" i="118"/>
  <c r="O20" i="118"/>
  <c r="R20" i="118"/>
  <c r="S20" i="118"/>
  <c r="H22" i="118"/>
  <c r="J22" i="118"/>
  <c r="L22" i="118"/>
  <c r="N22" i="118"/>
  <c r="O22" i="118"/>
  <c r="R22" i="118"/>
  <c r="H23" i="118"/>
  <c r="J23" i="118"/>
  <c r="L23" i="118"/>
  <c r="O23" i="118"/>
  <c r="R23" i="118"/>
  <c r="S23" i="118"/>
  <c r="J24" i="118"/>
  <c r="L24" i="118"/>
  <c r="O24" i="118"/>
  <c r="R24" i="118"/>
  <c r="S24" i="118"/>
  <c r="H26" i="118"/>
  <c r="J26" i="118"/>
  <c r="L26" i="118"/>
  <c r="N26" i="118"/>
  <c r="O26" i="118"/>
  <c r="R26" i="118"/>
  <c r="H27" i="118"/>
  <c r="J27" i="118"/>
  <c r="L27" i="118"/>
  <c r="O27" i="118"/>
  <c r="R27" i="118"/>
  <c r="S27" i="118"/>
  <c r="J28" i="118"/>
  <c r="L28" i="118"/>
  <c r="O28" i="118"/>
  <c r="R28" i="118"/>
  <c r="S28" i="118"/>
  <c r="H30" i="118"/>
  <c r="J30" i="118"/>
  <c r="L30" i="118"/>
  <c r="N30" i="118"/>
  <c r="O30" i="118"/>
  <c r="R30" i="118"/>
  <c r="H31" i="118"/>
  <c r="J31" i="118"/>
  <c r="L31" i="118"/>
  <c r="O31" i="118"/>
  <c r="R31" i="118"/>
  <c r="S31" i="118"/>
  <c r="J32" i="118"/>
  <c r="L32" i="118"/>
  <c r="O32" i="118"/>
  <c r="R32" i="118"/>
  <c r="S32" i="118"/>
  <c r="H34" i="118"/>
  <c r="J34" i="118"/>
  <c r="L34" i="118"/>
  <c r="N34" i="118"/>
  <c r="O34" i="118"/>
  <c r="R34" i="118"/>
  <c r="H35" i="118"/>
  <c r="J35" i="118"/>
  <c r="L35" i="118"/>
  <c r="O35" i="118"/>
  <c r="R35" i="118"/>
  <c r="S35" i="118"/>
  <c r="J36" i="118"/>
  <c r="L36" i="118"/>
  <c r="O36" i="118"/>
  <c r="R36" i="118"/>
  <c r="S36" i="118"/>
  <c r="H38" i="118"/>
  <c r="J38" i="118"/>
  <c r="L38" i="118"/>
  <c r="N38" i="118"/>
  <c r="O38" i="118"/>
  <c r="R38" i="118"/>
  <c r="H39" i="118"/>
  <c r="J39" i="118"/>
  <c r="L39" i="118"/>
  <c r="O39" i="118"/>
  <c r="R39" i="118"/>
  <c r="S39" i="118"/>
  <c r="J40" i="118"/>
  <c r="L40" i="118"/>
  <c r="O40" i="118"/>
  <c r="R40" i="118"/>
  <c r="S40" i="118"/>
  <c r="H42" i="118"/>
  <c r="L42" i="118"/>
  <c r="N42" i="118"/>
  <c r="O42" i="118"/>
  <c r="R42" i="118"/>
  <c r="H43" i="118"/>
  <c r="J43" i="118"/>
  <c r="L43" i="118"/>
  <c r="O43" i="118"/>
  <c r="R43" i="118"/>
  <c r="S43" i="118"/>
  <c r="J44" i="118"/>
  <c r="L44" i="118"/>
  <c r="O44" i="118"/>
  <c r="R44" i="118"/>
  <c r="S44" i="118"/>
  <c r="H46" i="118"/>
  <c r="J46" i="118"/>
  <c r="L46" i="118"/>
  <c r="N46" i="118"/>
  <c r="O46" i="118"/>
  <c r="R46" i="118"/>
  <c r="H47" i="118"/>
  <c r="J47" i="118"/>
  <c r="L47" i="118"/>
  <c r="O47" i="118"/>
  <c r="R47" i="118"/>
  <c r="S47" i="118"/>
  <c r="J48" i="118"/>
  <c r="L48" i="118"/>
  <c r="O48" i="118"/>
  <c r="R48" i="118"/>
  <c r="S48" i="118"/>
  <c r="H50" i="118"/>
  <c r="J50" i="118"/>
  <c r="L50" i="118"/>
  <c r="N50" i="118"/>
  <c r="O50" i="118"/>
  <c r="R50" i="118"/>
  <c r="H51" i="118"/>
  <c r="J51" i="118"/>
  <c r="L51" i="118"/>
  <c r="O51" i="118"/>
  <c r="R51" i="118"/>
  <c r="S51" i="118"/>
  <c r="J52" i="118"/>
  <c r="L52" i="118"/>
  <c r="O52" i="118"/>
  <c r="R52" i="118"/>
  <c r="S52" i="118"/>
  <c r="F54" i="118"/>
  <c r="G54" i="118"/>
  <c r="J54" i="118"/>
  <c r="K54" i="118"/>
  <c r="L54" i="118"/>
  <c r="N54" i="118"/>
  <c r="O54" i="118"/>
  <c r="Q54" i="118"/>
  <c r="R54" i="118"/>
  <c r="S54" i="118"/>
  <c r="J57" i="118"/>
  <c r="L57" i="118"/>
  <c r="O57" i="118"/>
  <c r="R57" i="118"/>
  <c r="J58" i="118"/>
  <c r="L58" i="118"/>
  <c r="O58" i="118"/>
  <c r="R58" i="118"/>
  <c r="J59" i="118"/>
  <c r="L59" i="118"/>
  <c r="O59" i="118"/>
  <c r="R59" i="118"/>
  <c r="J60" i="118"/>
  <c r="L60" i="118"/>
  <c r="O60" i="118"/>
  <c r="R60" i="118"/>
  <c r="G62" i="118"/>
  <c r="J62" i="118"/>
  <c r="K62" i="118"/>
  <c r="L62" i="118"/>
  <c r="N62" i="118"/>
  <c r="O62" i="118"/>
  <c r="Q62" i="118"/>
  <c r="R62" i="118"/>
  <c r="L64" i="118"/>
  <c r="O64" i="118"/>
  <c r="R64" i="118"/>
  <c r="B3" i="141"/>
  <c r="H6" i="141"/>
  <c r="J6" i="141"/>
  <c r="L6" i="141"/>
  <c r="N6" i="141"/>
  <c r="O6" i="141"/>
  <c r="R6" i="141"/>
  <c r="H7" i="141"/>
  <c r="J7" i="141"/>
  <c r="L7" i="141"/>
  <c r="O7" i="141"/>
  <c r="R7" i="141"/>
  <c r="S7" i="141"/>
  <c r="J8" i="141"/>
  <c r="L8" i="141"/>
  <c r="O8" i="141"/>
  <c r="R8" i="141"/>
  <c r="S8" i="141"/>
  <c r="H10" i="141"/>
  <c r="J10" i="141"/>
  <c r="L10" i="141"/>
  <c r="N10" i="141"/>
  <c r="O10" i="141"/>
  <c r="R10" i="141"/>
  <c r="O11" i="141"/>
  <c r="R11" i="141"/>
  <c r="H12" i="141"/>
  <c r="J12" i="141"/>
  <c r="L12" i="141"/>
  <c r="O12" i="141"/>
  <c r="R12" i="141"/>
  <c r="S12" i="141"/>
  <c r="J13" i="141"/>
  <c r="L13" i="141"/>
  <c r="O13" i="141"/>
  <c r="R13" i="141"/>
  <c r="S13" i="141"/>
  <c r="H15" i="141"/>
  <c r="J15" i="141"/>
  <c r="L15" i="141"/>
  <c r="N15" i="141"/>
  <c r="O15" i="141"/>
  <c r="R15" i="141"/>
  <c r="H16" i="141"/>
  <c r="J16" i="141"/>
  <c r="L16" i="141"/>
  <c r="O16" i="141"/>
  <c r="R16" i="141"/>
  <c r="S16" i="141"/>
  <c r="J17" i="141"/>
  <c r="L17" i="141"/>
  <c r="O17" i="141"/>
  <c r="R17" i="141"/>
  <c r="S17" i="141"/>
  <c r="H19" i="141"/>
  <c r="J19" i="141"/>
  <c r="N19" i="141"/>
  <c r="O19" i="141"/>
  <c r="R19" i="141"/>
  <c r="O20" i="141"/>
  <c r="R20" i="141"/>
  <c r="O21" i="141"/>
  <c r="R21" i="141"/>
  <c r="O22" i="141"/>
  <c r="R22" i="141"/>
  <c r="O23" i="141"/>
  <c r="R23" i="141"/>
  <c r="O24" i="141"/>
  <c r="R24" i="141"/>
  <c r="H25" i="141"/>
  <c r="J25" i="141"/>
  <c r="L25" i="141"/>
  <c r="O25" i="141"/>
  <c r="R25" i="141"/>
  <c r="S25" i="141"/>
  <c r="J26" i="141"/>
  <c r="L26" i="141"/>
  <c r="O26" i="141"/>
  <c r="R26" i="141"/>
  <c r="S26" i="141"/>
  <c r="H28" i="141"/>
  <c r="J28" i="141"/>
  <c r="L28" i="141"/>
  <c r="N28" i="141"/>
  <c r="O28" i="141"/>
  <c r="R28" i="141"/>
  <c r="H29" i="141"/>
  <c r="J29" i="141"/>
  <c r="L29" i="141"/>
  <c r="O29" i="141"/>
  <c r="R29" i="141"/>
  <c r="S29" i="141"/>
  <c r="J30" i="141"/>
  <c r="L30" i="141"/>
  <c r="O30" i="141"/>
  <c r="R30" i="141"/>
  <c r="S30" i="141"/>
  <c r="H32" i="141"/>
  <c r="J32" i="141"/>
  <c r="N32" i="141"/>
  <c r="O32" i="141"/>
  <c r="R32" i="141"/>
  <c r="H33" i="141"/>
  <c r="J33" i="141"/>
  <c r="L33" i="141"/>
  <c r="O33" i="141"/>
  <c r="R33" i="141"/>
  <c r="S33" i="141"/>
  <c r="J34" i="141"/>
  <c r="L34" i="141"/>
  <c r="O34" i="141"/>
  <c r="R34" i="141"/>
  <c r="S34" i="141"/>
  <c r="H36" i="141"/>
  <c r="J36" i="141"/>
  <c r="N36" i="141"/>
  <c r="O36" i="141"/>
  <c r="R36" i="141"/>
  <c r="O37" i="141"/>
  <c r="R37" i="141"/>
  <c r="O38" i="141"/>
  <c r="R38" i="141"/>
  <c r="O39" i="141"/>
  <c r="R39" i="141"/>
  <c r="O40" i="141"/>
  <c r="R40" i="141"/>
  <c r="O41" i="141"/>
  <c r="R41" i="141"/>
  <c r="H42" i="141"/>
  <c r="J42" i="141"/>
  <c r="L42" i="141"/>
  <c r="O42" i="141"/>
  <c r="R42" i="141"/>
  <c r="S42" i="141"/>
  <c r="J43" i="141"/>
  <c r="L43" i="141"/>
  <c r="O43" i="141"/>
  <c r="R43" i="141"/>
  <c r="S43" i="141"/>
  <c r="H45" i="141"/>
  <c r="J45" i="141"/>
  <c r="L45" i="141"/>
  <c r="N45" i="141"/>
  <c r="O45" i="141"/>
  <c r="R45" i="141"/>
  <c r="H46" i="141"/>
  <c r="J46" i="141"/>
  <c r="L46" i="141"/>
  <c r="O46" i="141"/>
  <c r="R46" i="141"/>
  <c r="S46" i="141"/>
  <c r="J47" i="141"/>
  <c r="L47" i="141"/>
  <c r="O47" i="141"/>
  <c r="R47" i="141"/>
  <c r="S47" i="141"/>
  <c r="H49" i="141"/>
  <c r="J49" i="141"/>
  <c r="N49" i="141"/>
  <c r="O49" i="141"/>
  <c r="R49" i="141"/>
  <c r="H50" i="141"/>
  <c r="J50" i="141"/>
  <c r="L50" i="141"/>
  <c r="O50" i="141"/>
  <c r="R50" i="141"/>
  <c r="S50" i="141"/>
  <c r="J51" i="141"/>
  <c r="L51" i="141"/>
  <c r="O51" i="141"/>
  <c r="R51" i="141"/>
  <c r="S51" i="141"/>
  <c r="H53" i="141"/>
  <c r="N53" i="141"/>
  <c r="O53" i="141"/>
  <c r="R53" i="141"/>
  <c r="H54" i="141"/>
  <c r="J54" i="141"/>
  <c r="L54" i="141"/>
  <c r="O54" i="141"/>
  <c r="R54" i="141"/>
  <c r="S54" i="141"/>
  <c r="J55" i="141"/>
  <c r="L55" i="141"/>
  <c r="O55" i="141"/>
  <c r="R55" i="141"/>
  <c r="S55" i="141"/>
  <c r="H57" i="141"/>
  <c r="J57" i="141"/>
  <c r="L57" i="141"/>
  <c r="N57" i="141"/>
  <c r="O57" i="141"/>
  <c r="R57" i="141"/>
  <c r="H58" i="141"/>
  <c r="J58" i="141"/>
  <c r="L58" i="141"/>
  <c r="O58" i="141"/>
  <c r="R58" i="141"/>
  <c r="S58" i="141"/>
  <c r="J59" i="141"/>
  <c r="L59" i="141"/>
  <c r="O59" i="141"/>
  <c r="R59" i="141"/>
  <c r="S59" i="141"/>
  <c r="H61" i="141"/>
  <c r="J61" i="141"/>
  <c r="L61" i="141"/>
  <c r="N61" i="141"/>
  <c r="O61" i="141"/>
  <c r="R61" i="141"/>
  <c r="H62" i="141"/>
  <c r="J62" i="141"/>
  <c r="L62" i="141"/>
  <c r="O62" i="141"/>
  <c r="R62" i="141"/>
  <c r="S62" i="141"/>
  <c r="J63" i="141"/>
  <c r="L63" i="141"/>
  <c r="O63" i="141"/>
  <c r="R63" i="141"/>
  <c r="S63" i="141"/>
  <c r="F65" i="141"/>
  <c r="G65" i="141"/>
  <c r="J65" i="141"/>
  <c r="K65" i="141"/>
  <c r="L65" i="141"/>
  <c r="N65" i="141"/>
  <c r="O65" i="141"/>
  <c r="Q65" i="141"/>
  <c r="R65" i="141"/>
  <c r="S65" i="141"/>
  <c r="J68" i="141"/>
  <c r="L68" i="141"/>
  <c r="O68" i="141"/>
  <c r="R68" i="141"/>
  <c r="J69" i="141"/>
  <c r="L69" i="141"/>
  <c r="O69" i="141"/>
  <c r="R69" i="141"/>
  <c r="J70" i="141"/>
  <c r="L70" i="141"/>
  <c r="O70" i="141"/>
  <c r="R70" i="141"/>
  <c r="J71" i="141"/>
  <c r="L71" i="141"/>
  <c r="O71" i="141"/>
  <c r="R71" i="141"/>
  <c r="G73" i="141"/>
  <c r="J73" i="141"/>
  <c r="K73" i="141"/>
  <c r="L73" i="141"/>
  <c r="N73" i="141"/>
  <c r="O73" i="141"/>
  <c r="Q73" i="141"/>
  <c r="R73" i="141"/>
  <c r="L75" i="141"/>
  <c r="O75" i="141"/>
  <c r="R75" i="141"/>
  <c r="L78" i="141"/>
  <c r="O78" i="141"/>
  <c r="R78" i="141"/>
  <c r="L79" i="141"/>
  <c r="O79" i="141"/>
  <c r="R79" i="141"/>
  <c r="L80" i="141"/>
  <c r="O80" i="141"/>
  <c r="R80" i="141"/>
  <c r="B3" i="142"/>
  <c r="H6" i="142"/>
  <c r="J6" i="142"/>
  <c r="N6" i="142"/>
  <c r="O6" i="142"/>
  <c r="R6" i="142"/>
  <c r="H7" i="142"/>
  <c r="J7" i="142"/>
  <c r="L7" i="142"/>
  <c r="O7" i="142"/>
  <c r="R7" i="142"/>
  <c r="S7" i="142"/>
  <c r="J8" i="142"/>
  <c r="L8" i="142"/>
  <c r="O8" i="142"/>
  <c r="R8" i="142"/>
  <c r="S8" i="142"/>
  <c r="H10" i="142"/>
  <c r="J10" i="142"/>
  <c r="N10" i="142"/>
  <c r="O10" i="142"/>
  <c r="R10" i="142"/>
  <c r="O11" i="142"/>
  <c r="R11" i="142"/>
  <c r="H12" i="142"/>
  <c r="J12" i="142"/>
  <c r="L12" i="142"/>
  <c r="O12" i="142"/>
  <c r="R12" i="142"/>
  <c r="S12" i="142"/>
  <c r="J13" i="142"/>
  <c r="L13" i="142"/>
  <c r="O13" i="142"/>
  <c r="R13" i="142"/>
  <c r="S13" i="142"/>
  <c r="H15" i="142"/>
  <c r="J15" i="142"/>
  <c r="N15" i="142"/>
  <c r="O15" i="142"/>
  <c r="R15" i="142"/>
  <c r="H16" i="142"/>
  <c r="J16" i="142"/>
  <c r="L16" i="142"/>
  <c r="O16" i="142"/>
  <c r="R16" i="142"/>
  <c r="S16" i="142"/>
  <c r="J17" i="142"/>
  <c r="L17" i="142"/>
  <c r="O17" i="142"/>
  <c r="R17" i="142"/>
  <c r="S17" i="142"/>
  <c r="H19" i="142"/>
  <c r="J19" i="142"/>
  <c r="N19" i="142"/>
  <c r="O19" i="142"/>
  <c r="R19" i="142"/>
  <c r="O20" i="142"/>
  <c r="R20" i="142"/>
  <c r="O21" i="142"/>
  <c r="R21" i="142"/>
  <c r="O22" i="142"/>
  <c r="R22" i="142"/>
  <c r="O23" i="142"/>
  <c r="R23" i="142"/>
  <c r="O24" i="142"/>
  <c r="R24" i="142"/>
  <c r="H25" i="142"/>
  <c r="J25" i="142"/>
  <c r="L25" i="142"/>
  <c r="O25" i="142"/>
  <c r="R25" i="142"/>
  <c r="S25" i="142"/>
  <c r="J26" i="142"/>
  <c r="L26" i="142"/>
  <c r="O26" i="142"/>
  <c r="R26" i="142"/>
  <c r="S26" i="142"/>
  <c r="H28" i="142"/>
  <c r="J28" i="142"/>
  <c r="L28" i="142"/>
  <c r="N28" i="142"/>
  <c r="O28" i="142"/>
  <c r="R28" i="142"/>
  <c r="H29" i="142"/>
  <c r="J29" i="142"/>
  <c r="L29" i="142"/>
  <c r="O29" i="142"/>
  <c r="R29" i="142"/>
  <c r="S29" i="142"/>
  <c r="J30" i="142"/>
  <c r="L30" i="142"/>
  <c r="O30" i="142"/>
  <c r="R30" i="142"/>
  <c r="S30" i="142"/>
  <c r="H32" i="142"/>
  <c r="J32" i="142"/>
  <c r="N32" i="142"/>
  <c r="O32" i="142"/>
  <c r="R32" i="142"/>
  <c r="H33" i="142"/>
  <c r="J33" i="142"/>
  <c r="L33" i="142"/>
  <c r="O33" i="142"/>
  <c r="R33" i="142"/>
  <c r="S33" i="142"/>
  <c r="J34" i="142"/>
  <c r="L34" i="142"/>
  <c r="O34" i="142"/>
  <c r="R34" i="142"/>
  <c r="S34" i="142"/>
  <c r="H36" i="142"/>
  <c r="J36" i="142"/>
  <c r="L36" i="142"/>
  <c r="N36" i="142"/>
  <c r="O36" i="142"/>
  <c r="R36" i="142"/>
  <c r="O37" i="142"/>
  <c r="R37" i="142"/>
  <c r="O38" i="142"/>
  <c r="R38" i="142"/>
  <c r="O39" i="142"/>
  <c r="R39" i="142"/>
  <c r="O40" i="142"/>
  <c r="R40" i="142"/>
  <c r="O41" i="142"/>
  <c r="R41" i="142"/>
  <c r="H42" i="142"/>
  <c r="J42" i="142"/>
  <c r="L42" i="142"/>
  <c r="O42" i="142"/>
  <c r="R42" i="142"/>
  <c r="S42" i="142"/>
  <c r="J43" i="142"/>
  <c r="L43" i="142"/>
  <c r="O43" i="142"/>
  <c r="R43" i="142"/>
  <c r="S43" i="142"/>
  <c r="H45" i="142"/>
  <c r="J45" i="142"/>
  <c r="N45" i="142"/>
  <c r="O45" i="142"/>
  <c r="R45" i="142"/>
  <c r="H46" i="142"/>
  <c r="J46" i="142"/>
  <c r="L46" i="142"/>
  <c r="O46" i="142"/>
  <c r="R46" i="142"/>
  <c r="S46" i="142"/>
  <c r="J47" i="142"/>
  <c r="L47" i="142"/>
  <c r="O47" i="142"/>
  <c r="R47" i="142"/>
  <c r="S47" i="142"/>
  <c r="H49" i="142"/>
  <c r="J49" i="142"/>
  <c r="N49" i="142"/>
  <c r="O49" i="142"/>
  <c r="R49" i="142"/>
  <c r="H50" i="142"/>
  <c r="J50" i="142"/>
  <c r="L50" i="142"/>
  <c r="O50" i="142"/>
  <c r="R50" i="142"/>
  <c r="S50" i="142"/>
  <c r="J51" i="142"/>
  <c r="L51" i="142"/>
  <c r="O51" i="142"/>
  <c r="R51" i="142"/>
  <c r="S51" i="142"/>
  <c r="H53" i="142"/>
  <c r="N53" i="142"/>
  <c r="O53" i="142"/>
  <c r="R53" i="142"/>
  <c r="H54" i="142"/>
  <c r="J54" i="142"/>
  <c r="L54" i="142"/>
  <c r="O54" i="142"/>
  <c r="R54" i="142"/>
  <c r="S54" i="142"/>
  <c r="J55" i="142"/>
  <c r="L55" i="142"/>
  <c r="O55" i="142"/>
  <c r="R55" i="142"/>
  <c r="S55" i="142"/>
  <c r="H57" i="142"/>
  <c r="J57" i="142"/>
  <c r="N57" i="142"/>
  <c r="O57" i="142"/>
  <c r="R57" i="142"/>
  <c r="H58" i="142"/>
  <c r="J58" i="142"/>
  <c r="L58" i="142"/>
  <c r="O58" i="142"/>
  <c r="R58" i="142"/>
  <c r="S58" i="142"/>
  <c r="J59" i="142"/>
  <c r="L59" i="142"/>
  <c r="O59" i="142"/>
  <c r="R59" i="142"/>
  <c r="S59" i="142"/>
  <c r="H61" i="142"/>
  <c r="J61" i="142"/>
  <c r="N61" i="142"/>
  <c r="O61" i="142"/>
  <c r="R61" i="142"/>
  <c r="H62" i="142"/>
  <c r="J62" i="142"/>
  <c r="L62" i="142"/>
  <c r="O62" i="142"/>
  <c r="R62" i="142"/>
  <c r="S62" i="142"/>
  <c r="J63" i="142"/>
  <c r="L63" i="142"/>
  <c r="O63" i="142"/>
  <c r="R63" i="142"/>
  <c r="S63" i="142"/>
  <c r="F65" i="142"/>
  <c r="G65" i="142"/>
  <c r="J65" i="142"/>
  <c r="K65" i="142"/>
  <c r="L65" i="142"/>
  <c r="N65" i="142"/>
  <c r="O65" i="142"/>
  <c r="Q65" i="142"/>
  <c r="R65" i="142"/>
  <c r="S65" i="142"/>
  <c r="J68" i="142"/>
  <c r="L68" i="142"/>
  <c r="O68" i="142"/>
  <c r="R68" i="142"/>
  <c r="J69" i="142"/>
  <c r="L69" i="142"/>
  <c r="O69" i="142"/>
  <c r="R69" i="142"/>
  <c r="J70" i="142"/>
  <c r="L70" i="142"/>
  <c r="O70" i="142"/>
  <c r="R70" i="142"/>
  <c r="J71" i="142"/>
  <c r="L71" i="142"/>
  <c r="O71" i="142"/>
  <c r="R71" i="142"/>
  <c r="G73" i="142"/>
  <c r="J73" i="142"/>
  <c r="K73" i="142"/>
  <c r="L73" i="142"/>
  <c r="N73" i="142"/>
  <c r="O73" i="142"/>
  <c r="Q73" i="142"/>
  <c r="R73" i="142"/>
  <c r="L75" i="142"/>
  <c r="O75" i="142"/>
  <c r="R75" i="142"/>
  <c r="L78" i="142"/>
  <c r="O78" i="142"/>
  <c r="R78" i="142"/>
  <c r="L79" i="142"/>
  <c r="O79" i="142"/>
  <c r="R79" i="142"/>
  <c r="L80" i="142"/>
  <c r="O80" i="142"/>
  <c r="R80" i="142"/>
  <c r="B3" i="143"/>
  <c r="H6" i="143"/>
  <c r="J6" i="143"/>
  <c r="N6" i="143"/>
  <c r="O6" i="143"/>
  <c r="R6" i="143"/>
  <c r="H7" i="143"/>
  <c r="J7" i="143"/>
  <c r="L7" i="143"/>
  <c r="O7" i="143"/>
  <c r="R7" i="143"/>
  <c r="S7" i="143"/>
  <c r="J8" i="143"/>
  <c r="L8" i="143"/>
  <c r="O8" i="143"/>
  <c r="R8" i="143"/>
  <c r="S8" i="143"/>
  <c r="H10" i="143"/>
  <c r="J10" i="143"/>
  <c r="N10" i="143"/>
  <c r="O10" i="143"/>
  <c r="R10" i="143"/>
  <c r="O11" i="143"/>
  <c r="R11" i="143"/>
  <c r="H12" i="143"/>
  <c r="J12" i="143"/>
  <c r="L12" i="143"/>
  <c r="O12" i="143"/>
  <c r="R12" i="143"/>
  <c r="S12" i="143"/>
  <c r="J13" i="143"/>
  <c r="L13" i="143"/>
  <c r="O13" i="143"/>
  <c r="R13" i="143"/>
  <c r="S13" i="143"/>
  <c r="H15" i="143"/>
  <c r="J15" i="143"/>
  <c r="N15" i="143"/>
  <c r="O15" i="143"/>
  <c r="R15" i="143"/>
  <c r="H16" i="143"/>
  <c r="J16" i="143"/>
  <c r="L16" i="143"/>
  <c r="O16" i="143"/>
  <c r="R16" i="143"/>
  <c r="S16" i="143"/>
  <c r="J17" i="143"/>
  <c r="L17" i="143"/>
  <c r="O17" i="143"/>
  <c r="R17" i="143"/>
  <c r="S17" i="143"/>
  <c r="H19" i="143"/>
  <c r="J19" i="143"/>
  <c r="N19" i="143"/>
  <c r="O19" i="143"/>
  <c r="R19" i="143"/>
  <c r="O20" i="143"/>
  <c r="R20" i="143"/>
  <c r="O21" i="143"/>
  <c r="R21" i="143"/>
  <c r="O22" i="143"/>
  <c r="R22" i="143"/>
  <c r="O23" i="143"/>
  <c r="R23" i="143"/>
  <c r="O24" i="143"/>
  <c r="R24" i="143"/>
  <c r="H25" i="143"/>
  <c r="J25" i="143"/>
  <c r="L25" i="143"/>
  <c r="O25" i="143"/>
  <c r="R25" i="143"/>
  <c r="S25" i="143"/>
  <c r="J26" i="143"/>
  <c r="L26" i="143"/>
  <c r="O26" i="143"/>
  <c r="R26" i="143"/>
  <c r="S26" i="143"/>
  <c r="H28" i="143"/>
  <c r="J28" i="143"/>
  <c r="L28" i="143"/>
  <c r="N28" i="143"/>
  <c r="O28" i="143"/>
  <c r="R28" i="143"/>
  <c r="H29" i="143"/>
  <c r="J29" i="143"/>
  <c r="L29" i="143"/>
  <c r="O29" i="143"/>
  <c r="R29" i="143"/>
  <c r="S29" i="143"/>
  <c r="J30" i="143"/>
  <c r="L30" i="143"/>
  <c r="O30" i="143"/>
  <c r="R30" i="143"/>
  <c r="S30" i="143"/>
  <c r="H32" i="143"/>
  <c r="J32" i="143"/>
  <c r="L32" i="143"/>
  <c r="N32" i="143"/>
  <c r="O32" i="143"/>
  <c r="R32" i="143"/>
  <c r="H33" i="143"/>
  <c r="J33" i="143"/>
  <c r="L33" i="143"/>
  <c r="O33" i="143"/>
  <c r="R33" i="143"/>
  <c r="S33" i="143"/>
  <c r="J34" i="143"/>
  <c r="L34" i="143"/>
  <c r="O34" i="143"/>
  <c r="R34" i="143"/>
  <c r="S34" i="143"/>
  <c r="H36" i="143"/>
  <c r="J36" i="143"/>
  <c r="N36" i="143"/>
  <c r="O36" i="143"/>
  <c r="R36" i="143"/>
  <c r="O37" i="143"/>
  <c r="R37" i="143"/>
  <c r="O38" i="143"/>
  <c r="R38" i="143"/>
  <c r="O39" i="143"/>
  <c r="R39" i="143"/>
  <c r="O40" i="143"/>
  <c r="R40" i="143"/>
  <c r="O41" i="143"/>
  <c r="R41" i="143"/>
  <c r="H42" i="143"/>
  <c r="J42" i="143"/>
  <c r="L42" i="143"/>
  <c r="O42" i="143"/>
  <c r="R42" i="143"/>
  <c r="S42" i="143"/>
  <c r="J43" i="143"/>
  <c r="L43" i="143"/>
  <c r="O43" i="143"/>
  <c r="R43" i="143"/>
  <c r="S43" i="143"/>
  <c r="H45" i="143"/>
  <c r="J45" i="143"/>
  <c r="N45" i="143"/>
  <c r="O45" i="143"/>
  <c r="R45" i="143"/>
  <c r="H46" i="143"/>
  <c r="J46" i="143"/>
  <c r="L46" i="143"/>
  <c r="O46" i="143"/>
  <c r="R46" i="143"/>
  <c r="S46" i="143"/>
  <c r="J47" i="143"/>
  <c r="L47" i="143"/>
  <c r="O47" i="143"/>
  <c r="R47" i="143"/>
  <c r="S47" i="143"/>
  <c r="H49" i="143"/>
  <c r="J49" i="143"/>
  <c r="N49" i="143"/>
  <c r="O49" i="143"/>
  <c r="R49" i="143"/>
  <c r="H50" i="143"/>
  <c r="J50" i="143"/>
  <c r="L50" i="143"/>
  <c r="O50" i="143"/>
  <c r="R50" i="143"/>
  <c r="S50" i="143"/>
  <c r="J51" i="143"/>
  <c r="L51" i="143"/>
  <c r="O51" i="143"/>
  <c r="R51" i="143"/>
  <c r="S51" i="143"/>
  <c r="H53" i="143"/>
  <c r="N53" i="143"/>
  <c r="O53" i="143"/>
  <c r="R53" i="143"/>
  <c r="H54" i="143"/>
  <c r="J54" i="143"/>
  <c r="L54" i="143"/>
  <c r="O54" i="143"/>
  <c r="R54" i="143"/>
  <c r="S54" i="143"/>
  <c r="J55" i="143"/>
  <c r="L55" i="143"/>
  <c r="O55" i="143"/>
  <c r="R55" i="143"/>
  <c r="S55" i="143"/>
  <c r="H57" i="143"/>
  <c r="J57" i="143"/>
  <c r="N57" i="143"/>
  <c r="O57" i="143"/>
  <c r="R57" i="143"/>
  <c r="H58" i="143"/>
  <c r="J58" i="143"/>
  <c r="L58" i="143"/>
  <c r="O58" i="143"/>
  <c r="R58" i="143"/>
  <c r="S58" i="143"/>
  <c r="J59" i="143"/>
  <c r="L59" i="143"/>
  <c r="O59" i="143"/>
  <c r="R59" i="143"/>
  <c r="S59" i="143"/>
  <c r="H61" i="143"/>
  <c r="J61" i="143"/>
  <c r="L61" i="143"/>
  <c r="N61" i="143"/>
  <c r="O61" i="143"/>
  <c r="R61" i="143"/>
  <c r="H62" i="143"/>
  <c r="J62" i="143"/>
  <c r="L62" i="143"/>
  <c r="O62" i="143"/>
  <c r="R62" i="143"/>
  <c r="S62" i="143"/>
  <c r="J63" i="143"/>
  <c r="L63" i="143"/>
  <c r="O63" i="143"/>
  <c r="R63" i="143"/>
  <c r="S63" i="143"/>
  <c r="F65" i="143"/>
  <c r="G65" i="143"/>
  <c r="J65" i="143"/>
  <c r="K65" i="143"/>
  <c r="L65" i="143"/>
  <c r="N65" i="143"/>
  <c r="O65" i="143"/>
  <c r="Q65" i="143"/>
  <c r="R65" i="143"/>
  <c r="S65" i="143"/>
  <c r="J68" i="143"/>
  <c r="L68" i="143"/>
  <c r="O68" i="143"/>
  <c r="R68" i="143"/>
  <c r="J69" i="143"/>
  <c r="L69" i="143"/>
  <c r="O69" i="143"/>
  <c r="R69" i="143"/>
  <c r="J70" i="143"/>
  <c r="L70" i="143"/>
  <c r="O70" i="143"/>
  <c r="R70" i="143"/>
  <c r="J71" i="143"/>
  <c r="L71" i="143"/>
  <c r="O71" i="143"/>
  <c r="R71" i="143"/>
  <c r="G73" i="143"/>
  <c r="J73" i="143"/>
  <c r="K73" i="143"/>
  <c r="L73" i="143"/>
  <c r="N73" i="143"/>
  <c r="O73" i="143"/>
  <c r="Q73" i="143"/>
  <c r="R73" i="143"/>
  <c r="L75" i="143"/>
  <c r="O75" i="143"/>
  <c r="R75" i="143"/>
  <c r="L78" i="143"/>
  <c r="O78" i="143"/>
  <c r="R78" i="143"/>
  <c r="L79" i="143"/>
  <c r="O79" i="143"/>
  <c r="R79" i="143"/>
  <c r="L80" i="143"/>
  <c r="O80" i="143"/>
  <c r="R80" i="143"/>
  <c r="B3" i="144"/>
  <c r="H6" i="144"/>
  <c r="J6" i="144"/>
  <c r="L6" i="144"/>
  <c r="N6" i="144"/>
  <c r="O6" i="144"/>
  <c r="R6" i="144"/>
  <c r="H7" i="144"/>
  <c r="J7" i="144"/>
  <c r="O7" i="144"/>
  <c r="R7" i="144"/>
  <c r="S7" i="144"/>
  <c r="J8" i="144"/>
  <c r="L8" i="144"/>
  <c r="O8" i="144"/>
  <c r="R8" i="144"/>
  <c r="S8" i="144"/>
  <c r="H10" i="144"/>
  <c r="J10" i="144"/>
  <c r="L10" i="144"/>
  <c r="N10" i="144"/>
  <c r="O10" i="144"/>
  <c r="R10" i="144"/>
  <c r="O11" i="144"/>
  <c r="R11" i="144"/>
  <c r="H12" i="144"/>
  <c r="J12" i="144"/>
  <c r="L12" i="144"/>
  <c r="O12" i="144"/>
  <c r="R12" i="144"/>
  <c r="S12" i="144"/>
  <c r="J13" i="144"/>
  <c r="L13" i="144"/>
  <c r="O13" i="144"/>
  <c r="R13" i="144"/>
  <c r="S13" i="144"/>
  <c r="H15" i="144"/>
  <c r="J15" i="144"/>
  <c r="L15" i="144"/>
  <c r="N15" i="144"/>
  <c r="O15" i="144"/>
  <c r="R15" i="144"/>
  <c r="H16" i="144"/>
  <c r="J16" i="144"/>
  <c r="O16" i="144"/>
  <c r="R16" i="144"/>
  <c r="S16" i="144"/>
  <c r="J17" i="144"/>
  <c r="L17" i="144"/>
  <c r="O17" i="144"/>
  <c r="R17" i="144"/>
  <c r="S17" i="144"/>
  <c r="H19" i="144"/>
  <c r="J19" i="144"/>
  <c r="N19" i="144"/>
  <c r="O19" i="144"/>
  <c r="R19" i="144"/>
  <c r="O20" i="144"/>
  <c r="R20" i="144"/>
  <c r="O21" i="144"/>
  <c r="R21" i="144"/>
  <c r="O22" i="144"/>
  <c r="R22" i="144"/>
  <c r="O23" i="144"/>
  <c r="R23" i="144"/>
  <c r="O24" i="144"/>
  <c r="R24" i="144"/>
  <c r="H25" i="144"/>
  <c r="J25" i="144"/>
  <c r="O25" i="144"/>
  <c r="R25" i="144"/>
  <c r="S25" i="144"/>
  <c r="J26" i="144"/>
  <c r="L26" i="144"/>
  <c r="O26" i="144"/>
  <c r="R26" i="144"/>
  <c r="S26" i="144"/>
  <c r="H28" i="144"/>
  <c r="J28" i="144"/>
  <c r="L28" i="144"/>
  <c r="N28" i="144"/>
  <c r="O28" i="144"/>
  <c r="R28" i="144"/>
  <c r="H29" i="144"/>
  <c r="J29" i="144"/>
  <c r="L29" i="144"/>
  <c r="O29" i="144"/>
  <c r="R29" i="144"/>
  <c r="S29" i="144"/>
  <c r="J30" i="144"/>
  <c r="L30" i="144"/>
  <c r="O30" i="144"/>
  <c r="R30" i="144"/>
  <c r="S30" i="144"/>
  <c r="H32" i="144"/>
  <c r="J32" i="144"/>
  <c r="L32" i="144"/>
  <c r="N32" i="144"/>
  <c r="O32" i="144"/>
  <c r="R32" i="144"/>
  <c r="H33" i="144"/>
  <c r="J33" i="144"/>
  <c r="L33" i="144"/>
  <c r="O33" i="144"/>
  <c r="R33" i="144"/>
  <c r="S33" i="144"/>
  <c r="J34" i="144"/>
  <c r="L34" i="144"/>
  <c r="O34" i="144"/>
  <c r="R34" i="144"/>
  <c r="S34" i="144"/>
  <c r="H36" i="144"/>
  <c r="J36" i="144"/>
  <c r="N36" i="144"/>
  <c r="O36" i="144"/>
  <c r="R36" i="144"/>
  <c r="O37" i="144"/>
  <c r="R37" i="144"/>
  <c r="O38" i="144"/>
  <c r="R38" i="144"/>
  <c r="O39" i="144"/>
  <c r="R39" i="144"/>
  <c r="O40" i="144"/>
  <c r="R40" i="144"/>
  <c r="O41" i="144"/>
  <c r="R41" i="144"/>
  <c r="H42" i="144"/>
  <c r="J42" i="144"/>
  <c r="O42" i="144"/>
  <c r="R42" i="144"/>
  <c r="S42" i="144"/>
  <c r="J43" i="144"/>
  <c r="L43" i="144"/>
  <c r="O43" i="144"/>
  <c r="R43" i="144"/>
  <c r="S43" i="144"/>
  <c r="H45" i="144"/>
  <c r="J45" i="144"/>
  <c r="L45" i="144"/>
  <c r="N45" i="144"/>
  <c r="O45" i="144"/>
  <c r="R45" i="144"/>
  <c r="H46" i="144"/>
  <c r="J46" i="144"/>
  <c r="O46" i="144"/>
  <c r="R46" i="144"/>
  <c r="S46" i="144"/>
  <c r="J47" i="144"/>
  <c r="L47" i="144"/>
  <c r="O47" i="144"/>
  <c r="R47" i="144"/>
  <c r="S47" i="144"/>
  <c r="H49" i="144"/>
  <c r="J49" i="144"/>
  <c r="L49" i="144"/>
  <c r="N49" i="144"/>
  <c r="O49" i="144"/>
  <c r="R49" i="144"/>
  <c r="H50" i="144"/>
  <c r="J50" i="144"/>
  <c r="L50" i="144"/>
  <c r="O50" i="144"/>
  <c r="R50" i="144"/>
  <c r="S50" i="144"/>
  <c r="J51" i="144"/>
  <c r="L51" i="144"/>
  <c r="O51" i="144"/>
  <c r="R51" i="144"/>
  <c r="S51" i="144"/>
  <c r="H53" i="144"/>
  <c r="L53" i="144"/>
  <c r="N53" i="144"/>
  <c r="O53" i="144"/>
  <c r="R53" i="144"/>
  <c r="H54" i="144"/>
  <c r="J54" i="144"/>
  <c r="O54" i="144"/>
  <c r="R54" i="144"/>
  <c r="S54" i="144"/>
  <c r="J55" i="144"/>
  <c r="L55" i="144"/>
  <c r="O55" i="144"/>
  <c r="R55" i="144"/>
  <c r="S55" i="144"/>
  <c r="H57" i="144"/>
  <c r="J57" i="144"/>
  <c r="L57" i="144"/>
  <c r="N57" i="144"/>
  <c r="O57" i="144"/>
  <c r="R57" i="144"/>
  <c r="H58" i="144"/>
  <c r="J58" i="144"/>
  <c r="O58" i="144"/>
  <c r="R58" i="144"/>
  <c r="S58" i="144"/>
  <c r="J59" i="144"/>
  <c r="L59" i="144"/>
  <c r="O59" i="144"/>
  <c r="R59" i="144"/>
  <c r="S59" i="144"/>
  <c r="H61" i="144"/>
  <c r="J61" i="144"/>
  <c r="L61" i="144"/>
  <c r="N61" i="144"/>
  <c r="O61" i="144"/>
  <c r="R61" i="144"/>
  <c r="H62" i="144"/>
  <c r="J62" i="144"/>
  <c r="L62" i="144"/>
  <c r="O62" i="144"/>
  <c r="R62" i="144"/>
  <c r="S62" i="144"/>
  <c r="J63" i="144"/>
  <c r="L63" i="144"/>
  <c r="O63" i="144"/>
  <c r="R63" i="144"/>
  <c r="S63" i="144"/>
  <c r="F65" i="144"/>
  <c r="G65" i="144"/>
  <c r="J65" i="144"/>
  <c r="K65" i="144"/>
  <c r="L65" i="144"/>
  <c r="N65" i="144"/>
  <c r="O65" i="144"/>
  <c r="Q65" i="144"/>
  <c r="R65" i="144"/>
  <c r="S65" i="144"/>
  <c r="J68" i="144"/>
  <c r="L68" i="144"/>
  <c r="O68" i="144"/>
  <c r="R68" i="144"/>
  <c r="J69" i="144"/>
  <c r="L69" i="144"/>
  <c r="O69" i="144"/>
  <c r="R69" i="144"/>
  <c r="J70" i="144"/>
  <c r="L70" i="144"/>
  <c r="O70" i="144"/>
  <c r="R70" i="144"/>
  <c r="J71" i="144"/>
  <c r="L71" i="144"/>
  <c r="O71" i="144"/>
  <c r="R71" i="144"/>
  <c r="G73" i="144"/>
  <c r="J73" i="144"/>
  <c r="K73" i="144"/>
  <c r="L73" i="144"/>
  <c r="N73" i="144"/>
  <c r="O73" i="144"/>
  <c r="Q73" i="144"/>
  <c r="R73" i="144"/>
  <c r="L75" i="144"/>
  <c r="O75" i="144"/>
  <c r="R75" i="144"/>
  <c r="L78" i="144"/>
  <c r="O78" i="144"/>
  <c r="R78" i="144"/>
  <c r="L79" i="144"/>
  <c r="O79" i="144"/>
  <c r="R79" i="144"/>
  <c r="L80" i="144"/>
  <c r="O80" i="144"/>
  <c r="R80" i="144"/>
  <c r="B3" i="145"/>
  <c r="H6" i="145"/>
  <c r="J6" i="145"/>
  <c r="L6" i="145"/>
  <c r="N6" i="145"/>
  <c r="O6" i="145"/>
  <c r="R6" i="145"/>
  <c r="H7" i="145"/>
  <c r="J7" i="145"/>
  <c r="O7" i="145"/>
  <c r="R7" i="145"/>
  <c r="S7" i="145"/>
  <c r="J8" i="145"/>
  <c r="L8" i="145"/>
  <c r="O8" i="145"/>
  <c r="R8" i="145"/>
  <c r="S8" i="145"/>
  <c r="H10" i="145"/>
  <c r="J10" i="145"/>
  <c r="L10" i="145"/>
  <c r="N10" i="145"/>
  <c r="O10" i="145"/>
  <c r="R10" i="145"/>
  <c r="O11" i="145"/>
  <c r="R11" i="145"/>
  <c r="H12" i="145"/>
  <c r="J12" i="145"/>
  <c r="L12" i="145"/>
  <c r="O12" i="145"/>
  <c r="R12" i="145"/>
  <c r="S12" i="145"/>
  <c r="J13" i="145"/>
  <c r="L13" i="145"/>
  <c r="O13" i="145"/>
  <c r="R13" i="145"/>
  <c r="S13" i="145"/>
  <c r="H15" i="145"/>
  <c r="J15" i="145"/>
  <c r="L15" i="145"/>
  <c r="N15" i="145"/>
  <c r="O15" i="145"/>
  <c r="R15" i="145"/>
  <c r="H16" i="145"/>
  <c r="J16" i="145"/>
  <c r="L16" i="145"/>
  <c r="O16" i="145"/>
  <c r="R16" i="145"/>
  <c r="S16" i="145"/>
  <c r="J17" i="145"/>
  <c r="L17" i="145"/>
  <c r="O17" i="145"/>
  <c r="R17" i="145"/>
  <c r="S17" i="145"/>
  <c r="H19" i="145"/>
  <c r="J19" i="145"/>
  <c r="N19" i="145"/>
  <c r="O19" i="145"/>
  <c r="R19" i="145"/>
  <c r="O20" i="145"/>
  <c r="R20" i="145"/>
  <c r="O21" i="145"/>
  <c r="R21" i="145"/>
  <c r="O22" i="145"/>
  <c r="R22" i="145"/>
  <c r="O23" i="145"/>
  <c r="R23" i="145"/>
  <c r="O24" i="145"/>
  <c r="R24" i="145"/>
  <c r="H26" i="145"/>
  <c r="J26" i="145"/>
  <c r="L26" i="145"/>
  <c r="O26" i="145"/>
  <c r="R26" i="145"/>
  <c r="S26" i="145"/>
  <c r="J27" i="145"/>
  <c r="L27" i="145"/>
  <c r="O27" i="145"/>
  <c r="R27" i="145"/>
  <c r="S27" i="145"/>
  <c r="H29" i="145"/>
  <c r="J29" i="145"/>
  <c r="L29" i="145"/>
  <c r="N29" i="145"/>
  <c r="O29" i="145"/>
  <c r="R29" i="145"/>
  <c r="H30" i="145"/>
  <c r="J30" i="145"/>
  <c r="L30" i="145"/>
  <c r="O30" i="145"/>
  <c r="R30" i="145"/>
  <c r="S30" i="145"/>
  <c r="J31" i="145"/>
  <c r="L31" i="145"/>
  <c r="O31" i="145"/>
  <c r="R31" i="145"/>
  <c r="S31" i="145"/>
  <c r="H33" i="145"/>
  <c r="J33" i="145"/>
  <c r="L33" i="145"/>
  <c r="N33" i="145"/>
  <c r="O33" i="145"/>
  <c r="R33" i="145"/>
  <c r="H34" i="145"/>
  <c r="J34" i="145"/>
  <c r="L34" i="145"/>
  <c r="O34" i="145"/>
  <c r="R34" i="145"/>
  <c r="S34" i="145"/>
  <c r="J35" i="145"/>
  <c r="L35" i="145"/>
  <c r="O35" i="145"/>
  <c r="R35" i="145"/>
  <c r="S35" i="145"/>
  <c r="H37" i="145"/>
  <c r="J37" i="145"/>
  <c r="N37" i="145"/>
  <c r="O37" i="145"/>
  <c r="R37" i="145"/>
  <c r="O38" i="145"/>
  <c r="R38" i="145"/>
  <c r="O39" i="145"/>
  <c r="R39" i="145"/>
  <c r="O40" i="145"/>
  <c r="R40" i="145"/>
  <c r="O41" i="145"/>
  <c r="R41" i="145"/>
  <c r="O42" i="145"/>
  <c r="R42" i="145"/>
  <c r="H44" i="145"/>
  <c r="J44" i="145"/>
  <c r="L44" i="145"/>
  <c r="O44" i="145"/>
  <c r="R44" i="145"/>
  <c r="S44" i="145"/>
  <c r="J45" i="145"/>
  <c r="L45" i="145"/>
  <c r="O45" i="145"/>
  <c r="R45" i="145"/>
  <c r="S45" i="145"/>
  <c r="H47" i="145"/>
  <c r="J47" i="145"/>
  <c r="L47" i="145"/>
  <c r="N47" i="145"/>
  <c r="O47" i="145"/>
  <c r="R47" i="145"/>
  <c r="H48" i="145"/>
  <c r="J48" i="145"/>
  <c r="L48" i="145"/>
  <c r="O48" i="145"/>
  <c r="R48" i="145"/>
  <c r="S48" i="145"/>
  <c r="J49" i="145"/>
  <c r="L49" i="145"/>
  <c r="O49" i="145"/>
  <c r="R49" i="145"/>
  <c r="S49" i="145"/>
  <c r="H51" i="145"/>
  <c r="J51" i="145"/>
  <c r="L51" i="145"/>
  <c r="N51" i="145"/>
  <c r="O51" i="145"/>
  <c r="R51" i="145"/>
  <c r="H52" i="145"/>
  <c r="J52" i="145"/>
  <c r="O52" i="145"/>
  <c r="R52" i="145"/>
  <c r="S52" i="145"/>
  <c r="J53" i="145"/>
  <c r="L53" i="145"/>
  <c r="O53" i="145"/>
  <c r="R53" i="145"/>
  <c r="S53" i="145"/>
  <c r="H55" i="145"/>
  <c r="L55" i="145"/>
  <c r="N55" i="145"/>
  <c r="O55" i="145"/>
  <c r="R55" i="145"/>
  <c r="H56" i="145"/>
  <c r="J56" i="145"/>
  <c r="O56" i="145"/>
  <c r="R56" i="145"/>
  <c r="S56" i="145"/>
  <c r="J57" i="145"/>
  <c r="L57" i="145"/>
  <c r="O57" i="145"/>
  <c r="R57" i="145"/>
  <c r="S57" i="145"/>
  <c r="H59" i="145"/>
  <c r="J59" i="145"/>
  <c r="L59" i="145"/>
  <c r="N59" i="145"/>
  <c r="O59" i="145"/>
  <c r="R59" i="145"/>
  <c r="H60" i="145"/>
  <c r="J60" i="145"/>
  <c r="L60" i="145"/>
  <c r="O60" i="145"/>
  <c r="R60" i="145"/>
  <c r="S60" i="145"/>
  <c r="J61" i="145"/>
  <c r="L61" i="145"/>
  <c r="O61" i="145"/>
  <c r="R61" i="145"/>
  <c r="S61" i="145"/>
  <c r="H63" i="145"/>
  <c r="J63" i="145"/>
  <c r="L63" i="145"/>
  <c r="N63" i="145"/>
  <c r="O63" i="145"/>
  <c r="R63" i="145"/>
  <c r="H64" i="145"/>
  <c r="J64" i="145"/>
  <c r="L64" i="145"/>
  <c r="O64" i="145"/>
  <c r="R64" i="145"/>
  <c r="S64" i="145"/>
  <c r="J65" i="145"/>
  <c r="L65" i="145"/>
  <c r="O65" i="145"/>
  <c r="R65" i="145"/>
  <c r="S65" i="145"/>
  <c r="F67" i="145"/>
  <c r="G67" i="145"/>
  <c r="J67" i="145"/>
  <c r="K67" i="145"/>
  <c r="L67" i="145"/>
  <c r="N67" i="145"/>
  <c r="O67" i="145"/>
  <c r="Q67" i="145"/>
  <c r="R67" i="145"/>
  <c r="S67" i="145"/>
  <c r="J70" i="145"/>
  <c r="L70" i="145"/>
  <c r="O70" i="145"/>
  <c r="R70" i="145"/>
  <c r="J71" i="145"/>
  <c r="L71" i="145"/>
  <c r="O71" i="145"/>
  <c r="R71" i="145"/>
  <c r="J72" i="145"/>
  <c r="L72" i="145"/>
  <c r="O72" i="145"/>
  <c r="R72" i="145"/>
  <c r="J73" i="145"/>
  <c r="L73" i="145"/>
  <c r="O73" i="145"/>
  <c r="R73" i="145"/>
  <c r="G75" i="145"/>
  <c r="J75" i="145"/>
  <c r="K75" i="145"/>
  <c r="L75" i="145"/>
  <c r="N75" i="145"/>
  <c r="O75" i="145"/>
  <c r="Q75" i="145"/>
  <c r="R75" i="145"/>
  <c r="L77" i="145"/>
  <c r="O77" i="145"/>
  <c r="R77" i="145"/>
  <c r="L80" i="145"/>
  <c r="O80" i="145"/>
  <c r="R80" i="145"/>
  <c r="L81" i="145"/>
  <c r="O81" i="145"/>
  <c r="R81" i="145"/>
  <c r="L82" i="145"/>
  <c r="O82" i="145"/>
  <c r="R82" i="145"/>
  <c r="B3" i="146"/>
  <c r="H6" i="146"/>
  <c r="J6" i="146"/>
  <c r="N6" i="146"/>
  <c r="O6" i="146"/>
  <c r="R6" i="146"/>
  <c r="H7" i="146"/>
  <c r="J7" i="146"/>
  <c r="O7" i="146"/>
  <c r="R7" i="146"/>
  <c r="S7" i="146"/>
  <c r="J8" i="146"/>
  <c r="L8" i="146"/>
  <c r="O8" i="146"/>
  <c r="R8" i="146"/>
  <c r="S8" i="146"/>
  <c r="H10" i="146"/>
  <c r="J10" i="146"/>
  <c r="L10" i="146"/>
  <c r="N10" i="146"/>
  <c r="O10" i="146"/>
  <c r="R10" i="146"/>
  <c r="O11" i="146"/>
  <c r="R11" i="146"/>
  <c r="H12" i="146"/>
  <c r="J12" i="146"/>
  <c r="L12" i="146"/>
  <c r="O12" i="146"/>
  <c r="R12" i="146"/>
  <c r="S12" i="146"/>
  <c r="J13" i="146"/>
  <c r="L13" i="146"/>
  <c r="O13" i="146"/>
  <c r="R13" i="146"/>
  <c r="S13" i="146"/>
  <c r="H15" i="146"/>
  <c r="J15" i="146"/>
  <c r="L15" i="146"/>
  <c r="N15" i="146"/>
  <c r="O15" i="146"/>
  <c r="R15" i="146"/>
  <c r="H16" i="146"/>
  <c r="J16" i="146"/>
  <c r="L16" i="146"/>
  <c r="O16" i="146"/>
  <c r="R16" i="146"/>
  <c r="S16" i="146"/>
  <c r="J17" i="146"/>
  <c r="L17" i="146"/>
  <c r="O17" i="146"/>
  <c r="R17" i="146"/>
  <c r="S17" i="146"/>
  <c r="H19" i="146"/>
  <c r="J19" i="146"/>
  <c r="N19" i="146"/>
  <c r="O19" i="146"/>
  <c r="R19" i="146"/>
  <c r="O20" i="146"/>
  <c r="R20" i="146"/>
  <c r="O21" i="146"/>
  <c r="R21" i="146"/>
  <c r="O22" i="146"/>
  <c r="R22" i="146"/>
  <c r="O23" i="146"/>
  <c r="R23" i="146"/>
  <c r="O24" i="146"/>
  <c r="R24" i="146"/>
  <c r="O25" i="146"/>
  <c r="R25" i="146"/>
  <c r="H26" i="146"/>
  <c r="J26" i="146"/>
  <c r="O26" i="146"/>
  <c r="R26" i="146"/>
  <c r="S26" i="146"/>
  <c r="J27" i="146"/>
  <c r="L27" i="146"/>
  <c r="O27" i="146"/>
  <c r="R27" i="146"/>
  <c r="S27" i="146"/>
  <c r="H29" i="146"/>
  <c r="J29" i="146"/>
  <c r="L29" i="146"/>
  <c r="N29" i="146"/>
  <c r="O29" i="146"/>
  <c r="R29" i="146"/>
  <c r="H30" i="146"/>
  <c r="J30" i="146"/>
  <c r="L30" i="146"/>
  <c r="O30" i="146"/>
  <c r="R30" i="146"/>
  <c r="S30" i="146"/>
  <c r="J31" i="146"/>
  <c r="L31" i="146"/>
  <c r="O31" i="146"/>
  <c r="R31" i="146"/>
  <c r="S31" i="146"/>
  <c r="H33" i="146"/>
  <c r="J33" i="146"/>
  <c r="L33" i="146"/>
  <c r="N33" i="146"/>
  <c r="O33" i="146"/>
  <c r="R33" i="146"/>
  <c r="H34" i="146"/>
  <c r="J34" i="146"/>
  <c r="L34" i="146"/>
  <c r="O34" i="146"/>
  <c r="R34" i="146"/>
  <c r="S34" i="146"/>
  <c r="J35" i="146"/>
  <c r="L35" i="146"/>
  <c r="O35" i="146"/>
  <c r="R35" i="146"/>
  <c r="S35" i="146"/>
  <c r="H37" i="146"/>
  <c r="J37" i="146"/>
  <c r="N37" i="146"/>
  <c r="O37" i="146"/>
  <c r="R37" i="146"/>
  <c r="O38" i="146"/>
  <c r="R38" i="146"/>
  <c r="O39" i="146"/>
  <c r="R39" i="146"/>
  <c r="O40" i="146"/>
  <c r="R40" i="146"/>
  <c r="O41" i="146"/>
  <c r="R41" i="146"/>
  <c r="O42" i="146"/>
  <c r="R42" i="146"/>
  <c r="O43" i="146"/>
  <c r="R43" i="146"/>
  <c r="H44" i="146"/>
  <c r="J44" i="146"/>
  <c r="O44" i="146"/>
  <c r="R44" i="146"/>
  <c r="S44" i="146"/>
  <c r="J45" i="146"/>
  <c r="L45" i="146"/>
  <c r="O45" i="146"/>
  <c r="R45" i="146"/>
  <c r="S45" i="146"/>
  <c r="H47" i="146"/>
  <c r="J47" i="146"/>
  <c r="L47" i="146"/>
  <c r="N47" i="146"/>
  <c r="O47" i="146"/>
  <c r="R47" i="146"/>
  <c r="H48" i="146"/>
  <c r="J48" i="146"/>
  <c r="L48" i="146"/>
  <c r="O48" i="146"/>
  <c r="R48" i="146"/>
  <c r="S48" i="146"/>
  <c r="J49" i="146"/>
  <c r="L49" i="146"/>
  <c r="O49" i="146"/>
  <c r="R49" i="146"/>
  <c r="S49" i="146"/>
  <c r="H51" i="146"/>
  <c r="J51" i="146"/>
  <c r="L51" i="146"/>
  <c r="N51" i="146"/>
  <c r="O51" i="146"/>
  <c r="R51" i="146"/>
  <c r="H52" i="146"/>
  <c r="J52" i="146"/>
  <c r="L52" i="146"/>
  <c r="O52" i="146"/>
  <c r="R52" i="146"/>
  <c r="S52" i="146"/>
  <c r="J53" i="146"/>
  <c r="L53" i="146"/>
  <c r="O53" i="146"/>
  <c r="R53" i="146"/>
  <c r="S53" i="146"/>
  <c r="H55" i="146"/>
  <c r="L55" i="146"/>
  <c r="N55" i="146"/>
  <c r="O55" i="146"/>
  <c r="R55" i="146"/>
  <c r="H56" i="146"/>
  <c r="J56" i="146"/>
  <c r="L56" i="146"/>
  <c r="O56" i="146"/>
  <c r="R56" i="146"/>
  <c r="S56" i="146"/>
  <c r="J57" i="146"/>
  <c r="L57" i="146"/>
  <c r="O57" i="146"/>
  <c r="R57" i="146"/>
  <c r="S57" i="146"/>
  <c r="H59" i="146"/>
  <c r="J59" i="146"/>
  <c r="L59" i="146"/>
  <c r="N59" i="146"/>
  <c r="O59" i="146"/>
  <c r="R59" i="146"/>
  <c r="H60" i="146"/>
  <c r="J60" i="146"/>
  <c r="L60" i="146"/>
  <c r="O60" i="146"/>
  <c r="R60" i="146"/>
  <c r="S60" i="146"/>
  <c r="J61" i="146"/>
  <c r="L61" i="146"/>
  <c r="O61" i="146"/>
  <c r="R61" i="146"/>
  <c r="S61" i="146"/>
  <c r="H63" i="146"/>
  <c r="J63" i="146"/>
  <c r="L63" i="146"/>
  <c r="N63" i="146"/>
  <c r="O63" i="146"/>
  <c r="R63" i="146"/>
  <c r="H64" i="146"/>
  <c r="J64" i="146"/>
  <c r="L64" i="146"/>
  <c r="O64" i="146"/>
  <c r="R64" i="146"/>
  <c r="S64" i="146"/>
  <c r="J65" i="146"/>
  <c r="L65" i="146"/>
  <c r="O65" i="146"/>
  <c r="R65" i="146"/>
  <c r="S65" i="146"/>
  <c r="F67" i="146"/>
  <c r="G67" i="146"/>
  <c r="J67" i="146"/>
  <c r="K67" i="146"/>
  <c r="L67" i="146"/>
  <c r="N67" i="146"/>
  <c r="O67" i="146"/>
  <c r="Q67" i="146"/>
  <c r="R67" i="146"/>
  <c r="S67" i="146"/>
  <c r="J70" i="146"/>
  <c r="L70" i="146"/>
  <c r="O70" i="146"/>
  <c r="R70" i="146"/>
  <c r="J71" i="146"/>
  <c r="L71" i="146"/>
  <c r="O71" i="146"/>
  <c r="R71" i="146"/>
  <c r="J72" i="146"/>
  <c r="L72" i="146"/>
  <c r="O72" i="146"/>
  <c r="R72" i="146"/>
  <c r="J73" i="146"/>
  <c r="L73" i="146"/>
  <c r="O73" i="146"/>
  <c r="R73" i="146"/>
  <c r="G75" i="146"/>
  <c r="J75" i="146"/>
  <c r="K75" i="146"/>
  <c r="L75" i="146"/>
  <c r="N75" i="146"/>
  <c r="O75" i="146"/>
  <c r="Q75" i="146"/>
  <c r="R75" i="146"/>
  <c r="L77" i="146"/>
  <c r="O77" i="146"/>
  <c r="R77" i="146"/>
  <c r="L80" i="146"/>
  <c r="O80" i="146"/>
  <c r="R80" i="146"/>
  <c r="L81" i="146"/>
  <c r="O81" i="146"/>
  <c r="R81" i="146"/>
  <c r="L82" i="146"/>
  <c r="O82" i="146"/>
  <c r="R82" i="146"/>
  <c r="B3" i="119"/>
  <c r="H6" i="119"/>
  <c r="J6" i="119"/>
  <c r="L6" i="119"/>
  <c r="N6" i="119"/>
  <c r="O6" i="119"/>
  <c r="R6" i="119"/>
  <c r="H7" i="119"/>
  <c r="J7" i="119"/>
  <c r="L7" i="119"/>
  <c r="O7" i="119"/>
  <c r="R7" i="119"/>
  <c r="S7" i="119"/>
  <c r="J8" i="119"/>
  <c r="L8" i="119"/>
  <c r="O8" i="119"/>
  <c r="R8" i="119"/>
  <c r="S8" i="119"/>
  <c r="H10" i="119"/>
  <c r="J10" i="119"/>
  <c r="L10" i="119"/>
  <c r="N10" i="119"/>
  <c r="O10" i="119"/>
  <c r="R10" i="119"/>
  <c r="H11" i="119"/>
  <c r="J11" i="119"/>
  <c r="L11" i="119"/>
  <c r="O11" i="119"/>
  <c r="R11" i="119"/>
  <c r="S11" i="119"/>
  <c r="J12" i="119"/>
  <c r="L12" i="119"/>
  <c r="O12" i="119"/>
  <c r="R12" i="119"/>
  <c r="S12" i="119"/>
  <c r="H14" i="119"/>
  <c r="J14" i="119"/>
  <c r="L14" i="119"/>
  <c r="N14" i="119"/>
  <c r="O14" i="119"/>
  <c r="R14" i="119"/>
  <c r="H15" i="119"/>
  <c r="J15" i="119"/>
  <c r="L15" i="119"/>
  <c r="O15" i="119"/>
  <c r="R15" i="119"/>
  <c r="S15" i="119"/>
  <c r="J16" i="119"/>
  <c r="L16" i="119"/>
  <c r="O16" i="119"/>
  <c r="R16" i="119"/>
  <c r="S16" i="119"/>
  <c r="H18" i="119"/>
  <c r="J18" i="119"/>
  <c r="L18" i="119"/>
  <c r="N18" i="119"/>
  <c r="O18" i="119"/>
  <c r="R18" i="119"/>
  <c r="H19" i="119"/>
  <c r="J19" i="119"/>
  <c r="L19" i="119"/>
  <c r="O19" i="119"/>
  <c r="R19" i="119"/>
  <c r="S19" i="119"/>
  <c r="J20" i="119"/>
  <c r="L20" i="119"/>
  <c r="O20" i="119"/>
  <c r="R20" i="119"/>
  <c r="S20" i="119"/>
  <c r="H22" i="119"/>
  <c r="J22" i="119"/>
  <c r="L22" i="119"/>
  <c r="N22" i="119"/>
  <c r="O22" i="119"/>
  <c r="R22" i="119"/>
  <c r="H23" i="119"/>
  <c r="J23" i="119"/>
  <c r="L23" i="119"/>
  <c r="O23" i="119"/>
  <c r="R23" i="119"/>
  <c r="S23" i="119"/>
  <c r="J24" i="119"/>
  <c r="L24" i="119"/>
  <c r="O24" i="119"/>
  <c r="R24" i="119"/>
  <c r="S24" i="119"/>
  <c r="H26" i="119"/>
  <c r="J26" i="119"/>
  <c r="N26" i="119"/>
  <c r="O26" i="119"/>
  <c r="R26" i="119"/>
  <c r="H27" i="119"/>
  <c r="J27" i="119"/>
  <c r="L27" i="119"/>
  <c r="O27" i="119"/>
  <c r="R27" i="119"/>
  <c r="S27" i="119"/>
  <c r="J28" i="119"/>
  <c r="L28" i="119"/>
  <c r="O28" i="119"/>
  <c r="R28" i="119"/>
  <c r="S28" i="119"/>
  <c r="H30" i="119"/>
  <c r="J30" i="119"/>
  <c r="L30" i="119"/>
  <c r="N30" i="119"/>
  <c r="O30" i="119"/>
  <c r="R30" i="119"/>
  <c r="H31" i="119"/>
  <c r="J31" i="119"/>
  <c r="L31" i="119"/>
  <c r="O31" i="119"/>
  <c r="R31" i="119"/>
  <c r="S31" i="119"/>
  <c r="J32" i="119"/>
  <c r="L32" i="119"/>
  <c r="O32" i="119"/>
  <c r="R32" i="119"/>
  <c r="S32" i="119"/>
  <c r="H34" i="119"/>
  <c r="J34" i="119"/>
  <c r="L34" i="119"/>
  <c r="N34" i="119"/>
  <c r="O34" i="119"/>
  <c r="R34" i="119"/>
  <c r="H35" i="119"/>
  <c r="J35" i="119"/>
  <c r="L35" i="119"/>
  <c r="O35" i="119"/>
  <c r="R35" i="119"/>
  <c r="S35" i="119"/>
  <c r="J36" i="119"/>
  <c r="L36" i="119"/>
  <c r="O36" i="119"/>
  <c r="R36" i="119"/>
  <c r="S36" i="119"/>
  <c r="H38" i="119"/>
  <c r="J38" i="119"/>
  <c r="N38" i="119"/>
  <c r="O38" i="119"/>
  <c r="R38" i="119"/>
  <c r="H39" i="119"/>
  <c r="J39" i="119"/>
  <c r="L39" i="119"/>
  <c r="O39" i="119"/>
  <c r="R39" i="119"/>
  <c r="S39" i="119"/>
  <c r="J40" i="119"/>
  <c r="L40" i="119"/>
  <c r="O40" i="119"/>
  <c r="R40" i="119"/>
  <c r="S40" i="119"/>
  <c r="H42" i="119"/>
  <c r="L42" i="119"/>
  <c r="N42" i="119"/>
  <c r="O42" i="119"/>
  <c r="R42" i="119"/>
  <c r="H43" i="119"/>
  <c r="J43" i="119"/>
  <c r="L43" i="119"/>
  <c r="O43" i="119"/>
  <c r="R43" i="119"/>
  <c r="S43" i="119"/>
  <c r="J44" i="119"/>
  <c r="L44" i="119"/>
  <c r="O44" i="119"/>
  <c r="R44" i="119"/>
  <c r="S44" i="119"/>
  <c r="H46" i="119"/>
  <c r="J46" i="119"/>
  <c r="L46" i="119"/>
  <c r="N46" i="119"/>
  <c r="O46" i="119"/>
  <c r="R46" i="119"/>
  <c r="H47" i="119"/>
  <c r="J47" i="119"/>
  <c r="L47" i="119"/>
  <c r="O47" i="119"/>
  <c r="R47" i="119"/>
  <c r="S47" i="119"/>
  <c r="J48" i="119"/>
  <c r="L48" i="119"/>
  <c r="O48" i="119"/>
  <c r="R48" i="119"/>
  <c r="S48" i="119"/>
  <c r="H50" i="119"/>
  <c r="J50" i="119"/>
  <c r="L50" i="119"/>
  <c r="N50" i="119"/>
  <c r="O50" i="119"/>
  <c r="R50" i="119"/>
  <c r="H51" i="119"/>
  <c r="J51" i="119"/>
  <c r="L51" i="119"/>
  <c r="O51" i="119"/>
  <c r="R51" i="119"/>
  <c r="S51" i="119"/>
  <c r="J52" i="119"/>
  <c r="L52" i="119"/>
  <c r="O52" i="119"/>
  <c r="R52" i="119"/>
  <c r="S52" i="119"/>
  <c r="F54" i="119"/>
  <c r="G54" i="119"/>
  <c r="J54" i="119"/>
  <c r="K54" i="119"/>
  <c r="L54" i="119"/>
  <c r="N54" i="119"/>
  <c r="O54" i="119"/>
  <c r="Q54" i="119"/>
  <c r="R54" i="119"/>
  <c r="S54" i="119"/>
  <c r="J57" i="119"/>
  <c r="L57" i="119"/>
  <c r="O57" i="119"/>
  <c r="R57" i="119"/>
  <c r="J58" i="119"/>
  <c r="L58" i="119"/>
  <c r="O58" i="119"/>
  <c r="R58" i="119"/>
  <c r="J59" i="119"/>
  <c r="L59" i="119"/>
  <c r="O59" i="119"/>
  <c r="R59" i="119"/>
  <c r="J60" i="119"/>
  <c r="L60" i="119"/>
  <c r="O60" i="119"/>
  <c r="R60" i="119"/>
  <c r="G62" i="119"/>
  <c r="J62" i="119"/>
  <c r="K62" i="119"/>
  <c r="L62" i="119"/>
  <c r="N62" i="119"/>
  <c r="O62" i="119"/>
  <c r="Q62" i="119"/>
  <c r="R62" i="119"/>
  <c r="L64" i="119"/>
  <c r="O64" i="119"/>
  <c r="R64" i="119"/>
  <c r="B3" i="122"/>
  <c r="H6" i="122"/>
  <c r="J6" i="122"/>
  <c r="L6" i="122"/>
  <c r="O6" i="122"/>
  <c r="R6" i="122"/>
  <c r="H7" i="122"/>
  <c r="J7" i="122"/>
  <c r="L7" i="122"/>
  <c r="O7" i="122"/>
  <c r="S7" i="122"/>
  <c r="J8" i="122"/>
  <c r="L8" i="122"/>
  <c r="O8" i="122"/>
  <c r="R8" i="122"/>
  <c r="S8" i="122"/>
  <c r="H10" i="122"/>
  <c r="J10" i="122"/>
  <c r="L10" i="122"/>
  <c r="R10" i="122"/>
  <c r="H11" i="122"/>
  <c r="J11" i="122"/>
  <c r="L11" i="122"/>
  <c r="O11" i="122"/>
  <c r="R11" i="122"/>
  <c r="S11" i="122"/>
  <c r="J12" i="122"/>
  <c r="L12" i="122"/>
  <c r="O12" i="122"/>
  <c r="R12" i="122"/>
  <c r="S12" i="122"/>
  <c r="H14" i="122"/>
  <c r="J14" i="122"/>
  <c r="L14" i="122"/>
  <c r="O14" i="122"/>
  <c r="R14" i="122"/>
  <c r="H15" i="122"/>
  <c r="J15" i="122"/>
  <c r="L15" i="122"/>
  <c r="O15" i="122"/>
  <c r="R15" i="122"/>
  <c r="S15" i="122"/>
  <c r="J16" i="122"/>
  <c r="L16" i="122"/>
  <c r="O16" i="122"/>
  <c r="R16" i="122"/>
  <c r="S16" i="122"/>
  <c r="H18" i="122"/>
  <c r="J18" i="122"/>
  <c r="L18" i="122"/>
  <c r="O18" i="122"/>
  <c r="R18" i="122"/>
  <c r="H20" i="122"/>
  <c r="J20" i="122"/>
  <c r="L20" i="122"/>
  <c r="O20" i="122"/>
  <c r="R20" i="122"/>
  <c r="S20" i="122"/>
  <c r="J21" i="122"/>
  <c r="L21" i="122"/>
  <c r="O21" i="122"/>
  <c r="R21" i="122"/>
  <c r="S21" i="122"/>
  <c r="H23" i="122"/>
  <c r="J23" i="122"/>
  <c r="L23" i="122"/>
  <c r="O23" i="122"/>
  <c r="R23" i="122"/>
  <c r="H24" i="122"/>
  <c r="J24" i="122"/>
  <c r="L24" i="122"/>
  <c r="O24" i="122"/>
  <c r="S24" i="122"/>
  <c r="J25" i="122"/>
  <c r="L25" i="122"/>
  <c r="O25" i="122"/>
  <c r="R25" i="122"/>
  <c r="S25" i="122"/>
  <c r="H27" i="122"/>
  <c r="J27" i="122"/>
  <c r="O27" i="122"/>
  <c r="R27" i="122"/>
  <c r="H28" i="122"/>
  <c r="J28" i="122"/>
  <c r="L28" i="122"/>
  <c r="O28" i="122"/>
  <c r="R28" i="122"/>
  <c r="S28" i="122"/>
  <c r="J29" i="122"/>
  <c r="L29" i="122"/>
  <c r="O29" i="122"/>
  <c r="R29" i="122"/>
  <c r="S29" i="122"/>
  <c r="H31" i="122"/>
  <c r="J31" i="122"/>
  <c r="L31" i="122"/>
  <c r="O31" i="122"/>
  <c r="R31" i="122"/>
  <c r="H33" i="122"/>
  <c r="J33" i="122"/>
  <c r="L33" i="122"/>
  <c r="O33" i="122"/>
  <c r="R33" i="122"/>
  <c r="S33" i="122"/>
  <c r="J34" i="122"/>
  <c r="L34" i="122"/>
  <c r="O34" i="122"/>
  <c r="R34" i="122"/>
  <c r="S34" i="122"/>
  <c r="H36" i="122"/>
  <c r="J36" i="122"/>
  <c r="L36" i="122"/>
  <c r="O36" i="122"/>
  <c r="R36" i="122"/>
  <c r="H37" i="122"/>
  <c r="J37" i="122"/>
  <c r="L37" i="122"/>
  <c r="O37" i="122"/>
  <c r="R37" i="122"/>
  <c r="S37" i="122"/>
  <c r="J38" i="122"/>
  <c r="L38" i="122"/>
  <c r="O38" i="122"/>
  <c r="R38" i="122"/>
  <c r="S38" i="122"/>
  <c r="H40" i="122"/>
  <c r="J40" i="122"/>
  <c r="R40" i="122"/>
  <c r="H41" i="122"/>
  <c r="J41" i="122"/>
  <c r="L41" i="122"/>
  <c r="O41" i="122"/>
  <c r="S41" i="122"/>
  <c r="J42" i="122"/>
  <c r="L42" i="122"/>
  <c r="O42" i="122"/>
  <c r="R42" i="122"/>
  <c r="S42" i="122"/>
  <c r="H44" i="122"/>
  <c r="J44" i="122"/>
  <c r="L44" i="122"/>
  <c r="O44" i="122"/>
  <c r="R44" i="122"/>
  <c r="H45" i="122"/>
  <c r="J45" i="122"/>
  <c r="L45" i="122"/>
  <c r="O45" i="122"/>
  <c r="S45" i="122"/>
  <c r="J46" i="122"/>
  <c r="L46" i="122"/>
  <c r="O46" i="122"/>
  <c r="R46" i="122"/>
  <c r="S46" i="122"/>
  <c r="H48" i="122"/>
  <c r="J48" i="122"/>
  <c r="L48" i="122"/>
  <c r="O48" i="122"/>
  <c r="R48" i="122"/>
  <c r="H49" i="122"/>
  <c r="J49" i="122"/>
  <c r="L49" i="122"/>
  <c r="O49" i="122"/>
  <c r="R49" i="122"/>
  <c r="S49" i="122"/>
  <c r="J50" i="122"/>
  <c r="L50" i="122"/>
  <c r="O50" i="122"/>
  <c r="R50" i="122"/>
  <c r="S50" i="122"/>
  <c r="H52" i="122"/>
  <c r="J52" i="122"/>
  <c r="L52" i="122"/>
  <c r="O52" i="122"/>
  <c r="R52" i="122"/>
  <c r="H53" i="122"/>
  <c r="J53" i="122"/>
  <c r="L53" i="122"/>
  <c r="O53" i="122"/>
  <c r="R53" i="122"/>
  <c r="S53" i="122"/>
  <c r="J54" i="122"/>
  <c r="L54" i="122"/>
  <c r="O54" i="122"/>
  <c r="R54" i="122"/>
  <c r="S54" i="122"/>
  <c r="F56" i="122"/>
  <c r="G56" i="122"/>
  <c r="K56" i="122"/>
  <c r="L56" i="122"/>
  <c r="N56" i="122"/>
  <c r="O56" i="122"/>
  <c r="Q56" i="122"/>
  <c r="R56" i="122"/>
  <c r="S56" i="122"/>
  <c r="S57" i="122"/>
  <c r="J59" i="122"/>
  <c r="L59" i="122"/>
  <c r="O59" i="122"/>
  <c r="R59" i="122"/>
  <c r="J60" i="122"/>
  <c r="L60" i="122"/>
  <c r="O60" i="122"/>
  <c r="R60" i="122"/>
  <c r="J61" i="122"/>
  <c r="L61" i="122"/>
  <c r="O61" i="122"/>
  <c r="R61" i="122"/>
  <c r="J62" i="122"/>
  <c r="L62" i="122"/>
  <c r="O62" i="122"/>
  <c r="R62" i="122"/>
  <c r="J64" i="122"/>
  <c r="K64" i="122"/>
  <c r="L64" i="122"/>
  <c r="N64" i="122"/>
  <c r="O64" i="122"/>
  <c r="Q64" i="122"/>
  <c r="R64" i="122"/>
  <c r="L66" i="122"/>
  <c r="O66" i="122"/>
  <c r="R66" i="122"/>
  <c r="L67" i="122"/>
  <c r="O67" i="122"/>
  <c r="R67" i="122"/>
  <c r="B3" i="128"/>
  <c r="H6" i="128"/>
  <c r="J6" i="128"/>
  <c r="L6" i="128"/>
  <c r="N6" i="128"/>
  <c r="O6" i="128"/>
  <c r="R6" i="128"/>
  <c r="H7" i="128"/>
  <c r="J7" i="128"/>
  <c r="L7" i="128"/>
  <c r="O7" i="128"/>
  <c r="S7" i="128"/>
  <c r="J8" i="128"/>
  <c r="L8" i="128"/>
  <c r="O8" i="128"/>
  <c r="R8" i="128"/>
  <c r="S8" i="128"/>
  <c r="H10" i="128"/>
  <c r="J10" i="128"/>
  <c r="L10" i="128"/>
  <c r="N10" i="128"/>
  <c r="O10" i="128"/>
  <c r="R10" i="128"/>
  <c r="O11" i="128"/>
  <c r="R11" i="128"/>
  <c r="H12" i="128"/>
  <c r="J12" i="128"/>
  <c r="L12" i="128"/>
  <c r="O12" i="128"/>
  <c r="R12" i="128"/>
  <c r="S12" i="128"/>
  <c r="J13" i="128"/>
  <c r="L13" i="128"/>
  <c r="O13" i="128"/>
  <c r="R13" i="128"/>
  <c r="S13" i="128"/>
  <c r="H15" i="128"/>
  <c r="J15" i="128"/>
  <c r="L15" i="128"/>
  <c r="N15" i="128"/>
  <c r="O15" i="128"/>
  <c r="R15" i="128"/>
  <c r="H16" i="128"/>
  <c r="J16" i="128"/>
  <c r="L16" i="128"/>
  <c r="O16" i="128"/>
  <c r="R16" i="128"/>
  <c r="S16" i="128"/>
  <c r="J17" i="128"/>
  <c r="L17" i="128"/>
  <c r="O17" i="128"/>
  <c r="R17" i="128"/>
  <c r="S17" i="128"/>
  <c r="H19" i="128"/>
  <c r="J19" i="128"/>
  <c r="L19" i="128"/>
  <c r="N19" i="128"/>
  <c r="O19" i="128"/>
  <c r="R19" i="128"/>
  <c r="O20" i="128"/>
  <c r="R20" i="128"/>
  <c r="O21" i="128"/>
  <c r="R21" i="128"/>
  <c r="H22" i="128"/>
  <c r="J22" i="128"/>
  <c r="L22" i="128"/>
  <c r="O22" i="128"/>
  <c r="R22" i="128"/>
  <c r="S22" i="128"/>
  <c r="J23" i="128"/>
  <c r="L23" i="128"/>
  <c r="O23" i="128"/>
  <c r="R23" i="128"/>
  <c r="S23" i="128"/>
  <c r="H25" i="128"/>
  <c r="J25" i="128"/>
  <c r="L25" i="128"/>
  <c r="N25" i="128"/>
  <c r="O25" i="128"/>
  <c r="R25" i="128"/>
  <c r="H26" i="128"/>
  <c r="J26" i="128"/>
  <c r="L26" i="128"/>
  <c r="O26" i="128"/>
  <c r="R26" i="128"/>
  <c r="S26" i="128"/>
  <c r="J27" i="128"/>
  <c r="L27" i="128"/>
  <c r="O27" i="128"/>
  <c r="R27" i="128"/>
  <c r="S27" i="128"/>
  <c r="H29" i="128"/>
  <c r="J29" i="128"/>
  <c r="L29" i="128"/>
  <c r="N29" i="128"/>
  <c r="O29" i="128"/>
  <c r="R29" i="128"/>
  <c r="H30" i="128"/>
  <c r="J30" i="128"/>
  <c r="L30" i="128"/>
  <c r="O30" i="128"/>
  <c r="R30" i="128"/>
  <c r="S30" i="128"/>
  <c r="J31" i="128"/>
  <c r="L31" i="128"/>
  <c r="O31" i="128"/>
  <c r="R31" i="128"/>
  <c r="S31" i="128"/>
  <c r="H33" i="128"/>
  <c r="J33" i="128"/>
  <c r="L33" i="128"/>
  <c r="N33" i="128"/>
  <c r="O33" i="128"/>
  <c r="R33" i="128"/>
  <c r="O34" i="128"/>
  <c r="R34" i="128"/>
  <c r="O35" i="128"/>
  <c r="R35" i="128"/>
  <c r="H36" i="128"/>
  <c r="J36" i="128"/>
  <c r="L36" i="128"/>
  <c r="O36" i="128"/>
  <c r="R36" i="128"/>
  <c r="S36" i="128"/>
  <c r="J37" i="128"/>
  <c r="L37" i="128"/>
  <c r="O37" i="128"/>
  <c r="R37" i="128"/>
  <c r="S37" i="128"/>
  <c r="H39" i="128"/>
  <c r="J39" i="128"/>
  <c r="L39" i="128"/>
  <c r="N39" i="128"/>
  <c r="O39" i="128"/>
  <c r="R39" i="128"/>
  <c r="H40" i="128"/>
  <c r="J40" i="128"/>
  <c r="L40" i="128"/>
  <c r="O40" i="128"/>
  <c r="R40" i="128"/>
  <c r="S40" i="128"/>
  <c r="J41" i="128"/>
  <c r="L41" i="128"/>
  <c r="O41" i="128"/>
  <c r="R41" i="128"/>
  <c r="S41" i="128"/>
  <c r="H43" i="128"/>
  <c r="J43" i="128"/>
  <c r="L43" i="128"/>
  <c r="N43" i="128"/>
  <c r="O43" i="128"/>
  <c r="R43" i="128"/>
  <c r="H44" i="128"/>
  <c r="J44" i="128"/>
  <c r="L44" i="128"/>
  <c r="O44" i="128"/>
  <c r="R44" i="128"/>
  <c r="S44" i="128"/>
  <c r="J45" i="128"/>
  <c r="L45" i="128"/>
  <c r="O45" i="128"/>
  <c r="R45" i="128"/>
  <c r="S45" i="128"/>
  <c r="H47" i="128"/>
  <c r="L47" i="128"/>
  <c r="N47" i="128"/>
  <c r="O47" i="128"/>
  <c r="R47" i="128"/>
  <c r="H48" i="128"/>
  <c r="J48" i="128"/>
  <c r="L48" i="128"/>
  <c r="O48" i="128"/>
  <c r="R48" i="128"/>
  <c r="S48" i="128"/>
  <c r="J49" i="128"/>
  <c r="L49" i="128"/>
  <c r="O49" i="128"/>
  <c r="R49" i="128"/>
  <c r="S49" i="128"/>
  <c r="H51" i="128"/>
  <c r="J51" i="128"/>
  <c r="L51" i="128"/>
  <c r="N51" i="128"/>
  <c r="O51" i="128"/>
  <c r="R51" i="128"/>
  <c r="H52" i="128"/>
  <c r="J52" i="128"/>
  <c r="L52" i="128"/>
  <c r="O52" i="128"/>
  <c r="R52" i="128"/>
  <c r="S52" i="128"/>
  <c r="J53" i="128"/>
  <c r="L53" i="128"/>
  <c r="O53" i="128"/>
  <c r="R53" i="128"/>
  <c r="S53" i="128"/>
  <c r="H55" i="128"/>
  <c r="J55" i="128"/>
  <c r="L55" i="128"/>
  <c r="N55" i="128"/>
  <c r="O55" i="128"/>
  <c r="R55" i="128"/>
  <c r="H56" i="128"/>
  <c r="J56" i="128"/>
  <c r="L56" i="128"/>
  <c r="O56" i="128"/>
  <c r="R56" i="128"/>
  <c r="S56" i="128"/>
  <c r="J57" i="128"/>
  <c r="L57" i="128"/>
  <c r="O57" i="128"/>
  <c r="R57" i="128"/>
  <c r="S57" i="128"/>
  <c r="F59" i="128"/>
  <c r="G59" i="128"/>
  <c r="J59" i="128"/>
  <c r="K59" i="128"/>
  <c r="L59" i="128"/>
  <c r="N59" i="128"/>
  <c r="O59" i="128"/>
  <c r="Q59" i="128"/>
  <c r="R59" i="128"/>
  <c r="S59" i="128"/>
  <c r="J62" i="128"/>
  <c r="L62" i="128"/>
  <c r="O62" i="128"/>
  <c r="R62" i="128"/>
  <c r="J63" i="128"/>
  <c r="L63" i="128"/>
  <c r="O63" i="128"/>
  <c r="R63" i="128"/>
  <c r="J64" i="128"/>
  <c r="L64" i="128"/>
  <c r="O64" i="128"/>
  <c r="R64" i="128"/>
  <c r="J65" i="128"/>
  <c r="L65" i="128"/>
  <c r="O65" i="128"/>
  <c r="R65" i="128"/>
  <c r="G67" i="128"/>
  <c r="J67" i="128"/>
  <c r="K67" i="128"/>
  <c r="L67" i="128"/>
  <c r="N67" i="128"/>
  <c r="O67" i="128"/>
  <c r="Q67" i="128"/>
  <c r="R67" i="128"/>
  <c r="L69" i="128"/>
  <c r="O69" i="128"/>
  <c r="R69" i="128"/>
  <c r="L72" i="128"/>
  <c r="O72" i="128"/>
  <c r="R72" i="128"/>
  <c r="L73" i="128"/>
  <c r="O73" i="128"/>
  <c r="R73" i="128"/>
  <c r="L74" i="128"/>
  <c r="O74" i="128"/>
  <c r="R74" i="128"/>
  <c r="B3" i="129"/>
  <c r="H6" i="129"/>
  <c r="J6" i="129"/>
  <c r="L6" i="129"/>
  <c r="N6" i="129"/>
  <c r="O6" i="129"/>
  <c r="R6" i="129"/>
  <c r="H7" i="129"/>
  <c r="J7" i="129"/>
  <c r="L7" i="129"/>
  <c r="O7" i="129"/>
  <c r="R7" i="129"/>
  <c r="S7" i="129"/>
  <c r="J8" i="129"/>
  <c r="L8" i="129"/>
  <c r="O8" i="129"/>
  <c r="R8" i="129"/>
  <c r="S8" i="129"/>
  <c r="H10" i="129"/>
  <c r="J10" i="129"/>
  <c r="L10" i="129"/>
  <c r="N10" i="129"/>
  <c r="O10" i="129"/>
  <c r="R10" i="129"/>
  <c r="O11" i="129"/>
  <c r="R11" i="129"/>
  <c r="H12" i="129"/>
  <c r="J12" i="129"/>
  <c r="L12" i="129"/>
  <c r="O12" i="129"/>
  <c r="R12" i="129"/>
  <c r="S12" i="129"/>
  <c r="J13" i="129"/>
  <c r="L13" i="129"/>
  <c r="O13" i="129"/>
  <c r="R13" i="129"/>
  <c r="S13" i="129"/>
  <c r="H15" i="129"/>
  <c r="J15" i="129"/>
  <c r="L15" i="129"/>
  <c r="N15" i="129"/>
  <c r="O15" i="129"/>
  <c r="R15" i="129"/>
  <c r="H16" i="129"/>
  <c r="J16" i="129"/>
  <c r="L16" i="129"/>
  <c r="O16" i="129"/>
  <c r="R16" i="129"/>
  <c r="S16" i="129"/>
  <c r="J17" i="129"/>
  <c r="L17" i="129"/>
  <c r="O17" i="129"/>
  <c r="R17" i="129"/>
  <c r="S17" i="129"/>
  <c r="H19" i="129"/>
  <c r="J19" i="129"/>
  <c r="L19" i="129"/>
  <c r="N19" i="129"/>
  <c r="O19" i="129"/>
  <c r="R19" i="129"/>
  <c r="O20" i="129"/>
  <c r="R20" i="129"/>
  <c r="O21" i="129"/>
  <c r="R21" i="129"/>
  <c r="H22" i="129"/>
  <c r="J22" i="129"/>
  <c r="L22" i="129"/>
  <c r="O22" i="129"/>
  <c r="R22" i="129"/>
  <c r="S22" i="129"/>
  <c r="J23" i="129"/>
  <c r="L23" i="129"/>
  <c r="O23" i="129"/>
  <c r="R23" i="129"/>
  <c r="S23" i="129"/>
  <c r="H25" i="129"/>
  <c r="J25" i="129"/>
  <c r="L25" i="129"/>
  <c r="N25" i="129"/>
  <c r="O25" i="129"/>
  <c r="R25" i="129"/>
  <c r="H26" i="129"/>
  <c r="J26" i="129"/>
  <c r="L26" i="129"/>
  <c r="O26" i="129"/>
  <c r="R26" i="129"/>
  <c r="S26" i="129"/>
  <c r="J27" i="129"/>
  <c r="L27" i="129"/>
  <c r="O27" i="129"/>
  <c r="R27" i="129"/>
  <c r="S27" i="129"/>
  <c r="H29" i="129"/>
  <c r="J29" i="129"/>
  <c r="L29" i="129"/>
  <c r="N29" i="129"/>
  <c r="O29" i="129"/>
  <c r="R29" i="129"/>
  <c r="H30" i="129"/>
  <c r="J30" i="129"/>
  <c r="L30" i="129"/>
  <c r="O30" i="129"/>
  <c r="R30" i="129"/>
  <c r="S30" i="129"/>
  <c r="J31" i="129"/>
  <c r="L31" i="129"/>
  <c r="O31" i="129"/>
  <c r="R31" i="129"/>
  <c r="S31" i="129"/>
  <c r="H33" i="129"/>
  <c r="J33" i="129"/>
  <c r="L33" i="129"/>
  <c r="N33" i="129"/>
  <c r="O33" i="129"/>
  <c r="R33" i="129"/>
  <c r="O34" i="129"/>
  <c r="R34" i="129"/>
  <c r="O35" i="129"/>
  <c r="R35" i="129"/>
  <c r="H36" i="129"/>
  <c r="J36" i="129"/>
  <c r="L36" i="129"/>
  <c r="O36" i="129"/>
  <c r="R36" i="129"/>
  <c r="S36" i="129"/>
  <c r="J37" i="129"/>
  <c r="L37" i="129"/>
  <c r="O37" i="129"/>
  <c r="R37" i="129"/>
  <c r="S37" i="129"/>
  <c r="H39" i="129"/>
  <c r="J39" i="129"/>
  <c r="L39" i="129"/>
  <c r="N39" i="129"/>
  <c r="O39" i="129"/>
  <c r="R39" i="129"/>
  <c r="H40" i="129"/>
  <c r="J40" i="129"/>
  <c r="L40" i="129"/>
  <c r="O40" i="129"/>
  <c r="R40" i="129"/>
  <c r="S40" i="129"/>
  <c r="J41" i="129"/>
  <c r="L41" i="129"/>
  <c r="O41" i="129"/>
  <c r="R41" i="129"/>
  <c r="S41" i="129"/>
  <c r="H43" i="129"/>
  <c r="J43" i="129"/>
  <c r="L43" i="129"/>
  <c r="N43" i="129"/>
  <c r="O43" i="129"/>
  <c r="R43" i="129"/>
  <c r="H44" i="129"/>
  <c r="J44" i="129"/>
  <c r="L44" i="129"/>
  <c r="O44" i="129"/>
  <c r="R44" i="129"/>
  <c r="S44" i="129"/>
  <c r="J45" i="129"/>
  <c r="L45" i="129"/>
  <c r="O45" i="129"/>
  <c r="R45" i="129"/>
  <c r="S45" i="129"/>
  <c r="H47" i="129"/>
  <c r="L47" i="129"/>
  <c r="N47" i="129"/>
  <c r="O47" i="129"/>
  <c r="R47" i="129"/>
  <c r="H48" i="129"/>
  <c r="J48" i="129"/>
  <c r="L48" i="129"/>
  <c r="O48" i="129"/>
  <c r="R48" i="129"/>
  <c r="S48" i="129"/>
  <c r="J49" i="129"/>
  <c r="L49" i="129"/>
  <c r="O49" i="129"/>
  <c r="R49" i="129"/>
  <c r="S49" i="129"/>
  <c r="H51" i="129"/>
  <c r="J51" i="129"/>
  <c r="L51" i="129"/>
  <c r="N51" i="129"/>
  <c r="O51" i="129"/>
  <c r="R51" i="129"/>
  <c r="H52" i="129"/>
  <c r="J52" i="129"/>
  <c r="L52" i="129"/>
  <c r="O52" i="129"/>
  <c r="R52" i="129"/>
  <c r="S52" i="129"/>
  <c r="J53" i="129"/>
  <c r="L53" i="129"/>
  <c r="O53" i="129"/>
  <c r="R53" i="129"/>
  <c r="S53" i="129"/>
  <c r="H55" i="129"/>
  <c r="J55" i="129"/>
  <c r="L55" i="129"/>
  <c r="N55" i="129"/>
  <c r="O55" i="129"/>
  <c r="R55" i="129"/>
  <c r="H56" i="129"/>
  <c r="J56" i="129"/>
  <c r="L56" i="129"/>
  <c r="O56" i="129"/>
  <c r="R56" i="129"/>
  <c r="S56" i="129"/>
  <c r="J57" i="129"/>
  <c r="L57" i="129"/>
  <c r="O57" i="129"/>
  <c r="R57" i="129"/>
  <c r="S57" i="129"/>
  <c r="F59" i="129"/>
  <c r="G59" i="129"/>
  <c r="J59" i="129"/>
  <c r="K59" i="129"/>
  <c r="L59" i="129"/>
  <c r="N59" i="129"/>
  <c r="O59" i="129"/>
  <c r="Q59" i="129"/>
  <c r="R59" i="129"/>
  <c r="S59" i="129"/>
  <c r="J62" i="129"/>
  <c r="L62" i="129"/>
  <c r="O62" i="129"/>
  <c r="R62" i="129"/>
  <c r="J63" i="129"/>
  <c r="L63" i="129"/>
  <c r="O63" i="129"/>
  <c r="R63" i="129"/>
  <c r="J64" i="129"/>
  <c r="L64" i="129"/>
  <c r="O64" i="129"/>
  <c r="R64" i="129"/>
  <c r="J65" i="129"/>
  <c r="L65" i="129"/>
  <c r="O65" i="129"/>
  <c r="R65" i="129"/>
  <c r="G67" i="129"/>
  <c r="J67" i="129"/>
  <c r="K67" i="129"/>
  <c r="L67" i="129"/>
  <c r="N67" i="129"/>
  <c r="O67" i="129"/>
  <c r="Q67" i="129"/>
  <c r="R67" i="129"/>
  <c r="L69" i="129"/>
  <c r="O69" i="129"/>
  <c r="R69" i="129"/>
  <c r="L72" i="129"/>
  <c r="O72" i="129"/>
  <c r="R72" i="129"/>
  <c r="L73" i="129"/>
  <c r="O73" i="129"/>
  <c r="R73" i="129"/>
  <c r="L74" i="129"/>
  <c r="O74" i="129"/>
  <c r="R74" i="129"/>
  <c r="B3" i="130"/>
  <c r="H6" i="130"/>
  <c r="J6" i="130"/>
  <c r="L6" i="130"/>
  <c r="N6" i="130"/>
  <c r="O6" i="130"/>
  <c r="R6" i="130"/>
  <c r="H7" i="130"/>
  <c r="J7" i="130"/>
  <c r="L7" i="130"/>
  <c r="O7" i="130"/>
  <c r="R7" i="130"/>
  <c r="S7" i="130"/>
  <c r="J8" i="130"/>
  <c r="L8" i="130"/>
  <c r="O8" i="130"/>
  <c r="R8" i="130"/>
  <c r="S8" i="130"/>
  <c r="H10" i="130"/>
  <c r="J10" i="130"/>
  <c r="L10" i="130"/>
  <c r="N10" i="130"/>
  <c r="O10" i="130"/>
  <c r="R10" i="130"/>
  <c r="O11" i="130"/>
  <c r="R11" i="130"/>
  <c r="H12" i="130"/>
  <c r="J12" i="130"/>
  <c r="L12" i="130"/>
  <c r="O12" i="130"/>
  <c r="R12" i="130"/>
  <c r="S12" i="130"/>
  <c r="J13" i="130"/>
  <c r="L13" i="130"/>
  <c r="O13" i="130"/>
  <c r="R13" i="130"/>
  <c r="S13" i="130"/>
  <c r="H15" i="130"/>
  <c r="J15" i="130"/>
  <c r="L15" i="130"/>
  <c r="N15" i="130"/>
  <c r="O15" i="130"/>
  <c r="R15" i="130"/>
  <c r="H16" i="130"/>
  <c r="J16" i="130"/>
  <c r="L16" i="130"/>
  <c r="O16" i="130"/>
  <c r="R16" i="130"/>
  <c r="S16" i="130"/>
  <c r="J17" i="130"/>
  <c r="L17" i="130"/>
  <c r="O17" i="130"/>
  <c r="R17" i="130"/>
  <c r="S17" i="130"/>
  <c r="H19" i="130"/>
  <c r="J19" i="130"/>
  <c r="L19" i="130"/>
  <c r="N19" i="130"/>
  <c r="O19" i="130"/>
  <c r="R19" i="130"/>
  <c r="O20" i="130"/>
  <c r="R20" i="130"/>
  <c r="O21" i="130"/>
  <c r="R21" i="130"/>
  <c r="H22" i="130"/>
  <c r="J22" i="130"/>
  <c r="L22" i="130"/>
  <c r="O22" i="130"/>
  <c r="R22" i="130"/>
  <c r="S22" i="130"/>
  <c r="J23" i="130"/>
  <c r="L23" i="130"/>
  <c r="O23" i="130"/>
  <c r="R23" i="130"/>
  <c r="S23" i="130"/>
  <c r="H25" i="130"/>
  <c r="J25" i="130"/>
  <c r="L25" i="130"/>
  <c r="N25" i="130"/>
  <c r="O25" i="130"/>
  <c r="R25" i="130"/>
  <c r="H26" i="130"/>
  <c r="J26" i="130"/>
  <c r="L26" i="130"/>
  <c r="O26" i="130"/>
  <c r="R26" i="130"/>
  <c r="S26" i="130"/>
  <c r="J27" i="130"/>
  <c r="L27" i="130"/>
  <c r="O27" i="130"/>
  <c r="R27" i="130"/>
  <c r="S27" i="130"/>
  <c r="H29" i="130"/>
  <c r="J29" i="130"/>
  <c r="L29" i="130"/>
  <c r="N29" i="130"/>
  <c r="O29" i="130"/>
  <c r="R29" i="130"/>
  <c r="H30" i="130"/>
  <c r="J30" i="130"/>
  <c r="L30" i="130"/>
  <c r="O30" i="130"/>
  <c r="R30" i="130"/>
  <c r="S30" i="130"/>
  <c r="J31" i="130"/>
  <c r="L31" i="130"/>
  <c r="O31" i="130"/>
  <c r="R31" i="130"/>
  <c r="S31" i="130"/>
  <c r="H33" i="130"/>
  <c r="J33" i="130"/>
  <c r="L33" i="130"/>
  <c r="N33" i="130"/>
  <c r="O33" i="130"/>
  <c r="R33" i="130"/>
  <c r="O34" i="130"/>
  <c r="R34" i="130"/>
  <c r="O35" i="130"/>
  <c r="R35" i="130"/>
  <c r="H36" i="130"/>
  <c r="J36" i="130"/>
  <c r="L36" i="130"/>
  <c r="O36" i="130"/>
  <c r="R36" i="130"/>
  <c r="S36" i="130"/>
  <c r="J37" i="130"/>
  <c r="L37" i="130"/>
  <c r="O37" i="130"/>
  <c r="R37" i="130"/>
  <c r="S37" i="130"/>
  <c r="H39" i="130"/>
  <c r="J39" i="130"/>
  <c r="L39" i="130"/>
  <c r="N39" i="130"/>
  <c r="O39" i="130"/>
  <c r="R39" i="130"/>
  <c r="H40" i="130"/>
  <c r="J40" i="130"/>
  <c r="L40" i="130"/>
  <c r="O40" i="130"/>
  <c r="R40" i="130"/>
  <c r="S40" i="130"/>
  <c r="J41" i="130"/>
  <c r="L41" i="130"/>
  <c r="O41" i="130"/>
  <c r="R41" i="130"/>
  <c r="S41" i="130"/>
  <c r="H43" i="130"/>
  <c r="J43" i="130"/>
  <c r="L43" i="130"/>
  <c r="N43" i="130"/>
  <c r="O43" i="130"/>
  <c r="R43" i="130"/>
  <c r="H44" i="130"/>
  <c r="J44" i="130"/>
  <c r="L44" i="130"/>
  <c r="O44" i="130"/>
  <c r="R44" i="130"/>
  <c r="S44" i="130"/>
  <c r="J45" i="130"/>
  <c r="L45" i="130"/>
  <c r="O45" i="130"/>
  <c r="R45" i="130"/>
  <c r="S45" i="130"/>
  <c r="H47" i="130"/>
  <c r="L47" i="130"/>
  <c r="N47" i="130"/>
  <c r="O47" i="130"/>
  <c r="R47" i="130"/>
  <c r="H48" i="130"/>
  <c r="J48" i="130"/>
  <c r="L48" i="130"/>
  <c r="O48" i="130"/>
  <c r="R48" i="130"/>
  <c r="S48" i="130"/>
  <c r="J49" i="130"/>
  <c r="L49" i="130"/>
  <c r="O49" i="130"/>
  <c r="R49" i="130"/>
  <c r="S49" i="130"/>
  <c r="H51" i="130"/>
  <c r="J51" i="130"/>
  <c r="L51" i="130"/>
  <c r="N51" i="130"/>
  <c r="O51" i="130"/>
  <c r="R51" i="130"/>
  <c r="H52" i="130"/>
  <c r="J52" i="130"/>
  <c r="L52" i="130"/>
  <c r="O52" i="130"/>
  <c r="R52" i="130"/>
  <c r="S52" i="130"/>
  <c r="J53" i="130"/>
  <c r="L53" i="130"/>
  <c r="O53" i="130"/>
  <c r="R53" i="130"/>
  <c r="S53" i="130"/>
  <c r="H55" i="130"/>
  <c r="J55" i="130"/>
  <c r="L55" i="130"/>
  <c r="N55" i="130"/>
  <c r="O55" i="130"/>
  <c r="R55" i="130"/>
  <c r="H56" i="130"/>
  <c r="J56" i="130"/>
  <c r="L56" i="130"/>
  <c r="O56" i="130"/>
  <c r="R56" i="130"/>
  <c r="S56" i="130"/>
  <c r="J57" i="130"/>
  <c r="L57" i="130"/>
  <c r="O57" i="130"/>
  <c r="R57" i="130"/>
  <c r="S57" i="130"/>
  <c r="F59" i="130"/>
  <c r="G59" i="130"/>
  <c r="J59" i="130"/>
  <c r="K59" i="130"/>
  <c r="L59" i="130"/>
  <c r="N59" i="130"/>
  <c r="O59" i="130"/>
  <c r="Q59" i="130"/>
  <c r="R59" i="130"/>
  <c r="S59" i="130"/>
  <c r="J62" i="130"/>
  <c r="L62" i="130"/>
  <c r="O62" i="130"/>
  <c r="R62" i="130"/>
  <c r="J63" i="130"/>
  <c r="L63" i="130"/>
  <c r="O63" i="130"/>
  <c r="R63" i="130"/>
  <c r="J64" i="130"/>
  <c r="L64" i="130"/>
  <c r="O64" i="130"/>
  <c r="R64" i="130"/>
  <c r="J65" i="130"/>
  <c r="L65" i="130"/>
  <c r="O65" i="130"/>
  <c r="R65" i="130"/>
  <c r="G67" i="130"/>
  <c r="J67" i="130"/>
  <c r="K67" i="130"/>
  <c r="L67" i="130"/>
  <c r="N67" i="130"/>
  <c r="O67" i="130"/>
  <c r="Q67" i="130"/>
  <c r="R67" i="130"/>
  <c r="L69" i="130"/>
  <c r="O69" i="130"/>
  <c r="R69" i="130"/>
  <c r="L72" i="130"/>
  <c r="O72" i="130"/>
  <c r="R72" i="130"/>
  <c r="L73" i="130"/>
  <c r="O73" i="130"/>
  <c r="R73" i="130"/>
  <c r="L74" i="130"/>
  <c r="O74" i="130"/>
  <c r="R74" i="130"/>
  <c r="R77" i="130"/>
  <c r="B3" i="131"/>
  <c r="H6" i="131"/>
  <c r="J6" i="131"/>
  <c r="L6" i="131"/>
  <c r="N6" i="131"/>
  <c r="O6" i="131"/>
  <c r="R6" i="131"/>
  <c r="H7" i="131"/>
  <c r="J7" i="131"/>
  <c r="L7" i="131"/>
  <c r="O7" i="131"/>
  <c r="R7" i="131"/>
  <c r="S7" i="131"/>
  <c r="J8" i="131"/>
  <c r="L8" i="131"/>
  <c r="O8" i="131"/>
  <c r="R8" i="131"/>
  <c r="S8" i="131"/>
  <c r="H10" i="131"/>
  <c r="J10" i="131"/>
  <c r="L10" i="131"/>
  <c r="N10" i="131"/>
  <c r="O10" i="131"/>
  <c r="R10" i="131"/>
  <c r="O11" i="131"/>
  <c r="R11" i="131"/>
  <c r="H12" i="131"/>
  <c r="J12" i="131"/>
  <c r="L12" i="131"/>
  <c r="O12" i="131"/>
  <c r="R12" i="131"/>
  <c r="S12" i="131"/>
  <c r="J13" i="131"/>
  <c r="L13" i="131"/>
  <c r="O13" i="131"/>
  <c r="R13" i="131"/>
  <c r="S13" i="131"/>
  <c r="H15" i="131"/>
  <c r="J15" i="131"/>
  <c r="L15" i="131"/>
  <c r="N15" i="131"/>
  <c r="O15" i="131"/>
  <c r="R15" i="131"/>
  <c r="H16" i="131"/>
  <c r="J16" i="131"/>
  <c r="L16" i="131"/>
  <c r="O16" i="131"/>
  <c r="R16" i="131"/>
  <c r="S16" i="131"/>
  <c r="J17" i="131"/>
  <c r="L17" i="131"/>
  <c r="O17" i="131"/>
  <c r="R17" i="131"/>
  <c r="S17" i="131"/>
  <c r="H19" i="131"/>
  <c r="J19" i="131"/>
  <c r="L19" i="131"/>
  <c r="N19" i="131"/>
  <c r="O19" i="131"/>
  <c r="R19" i="131"/>
  <c r="O20" i="131"/>
  <c r="R20" i="131"/>
  <c r="O21" i="131"/>
  <c r="R21" i="131"/>
  <c r="H22" i="131"/>
  <c r="J22" i="131"/>
  <c r="L22" i="131"/>
  <c r="O22" i="131"/>
  <c r="R22" i="131"/>
  <c r="S22" i="131"/>
  <c r="J23" i="131"/>
  <c r="L23" i="131"/>
  <c r="O23" i="131"/>
  <c r="R23" i="131"/>
  <c r="S23" i="131"/>
  <c r="H25" i="131"/>
  <c r="J25" i="131"/>
  <c r="L25" i="131"/>
  <c r="N25" i="131"/>
  <c r="O25" i="131"/>
  <c r="R25" i="131"/>
  <c r="H26" i="131"/>
  <c r="J26" i="131"/>
  <c r="L26" i="131"/>
  <c r="O26" i="131"/>
  <c r="R26" i="131"/>
  <c r="S26" i="131"/>
  <c r="J27" i="131"/>
  <c r="L27" i="131"/>
  <c r="O27" i="131"/>
  <c r="R27" i="131"/>
  <c r="S27" i="131"/>
  <c r="H29" i="131"/>
  <c r="J29" i="131"/>
  <c r="L29" i="131"/>
  <c r="N29" i="131"/>
  <c r="O29" i="131"/>
  <c r="R29" i="131"/>
  <c r="H30" i="131"/>
  <c r="J30" i="131"/>
  <c r="L30" i="131"/>
  <c r="O30" i="131"/>
  <c r="R30" i="131"/>
  <c r="S30" i="131"/>
  <c r="J31" i="131"/>
  <c r="L31" i="131"/>
  <c r="O31" i="131"/>
  <c r="R31" i="131"/>
  <c r="S31" i="131"/>
  <c r="H33" i="131"/>
  <c r="J33" i="131"/>
  <c r="L33" i="131"/>
  <c r="N33" i="131"/>
  <c r="O33" i="131"/>
  <c r="R33" i="131"/>
  <c r="O34" i="131"/>
  <c r="R34" i="131"/>
  <c r="O35" i="131"/>
  <c r="R35" i="131"/>
  <c r="H36" i="131"/>
  <c r="J36" i="131"/>
  <c r="L36" i="131"/>
  <c r="O36" i="131"/>
  <c r="R36" i="131"/>
  <c r="S36" i="131"/>
  <c r="J37" i="131"/>
  <c r="L37" i="131"/>
  <c r="O37" i="131"/>
  <c r="R37" i="131"/>
  <c r="S37" i="131"/>
  <c r="H39" i="131"/>
  <c r="J39" i="131"/>
  <c r="L39" i="131"/>
  <c r="N39" i="131"/>
  <c r="O39" i="131"/>
  <c r="R39" i="131"/>
  <c r="H40" i="131"/>
  <c r="J40" i="131"/>
  <c r="L40" i="131"/>
  <c r="O40" i="131"/>
  <c r="R40" i="131"/>
  <c r="S40" i="131"/>
  <c r="J41" i="131"/>
  <c r="L41" i="131"/>
  <c r="O41" i="131"/>
  <c r="R41" i="131"/>
  <c r="S41" i="131"/>
  <c r="H43" i="131"/>
  <c r="J43" i="131"/>
  <c r="L43" i="131"/>
  <c r="N43" i="131"/>
  <c r="O43" i="131"/>
  <c r="R43" i="131"/>
  <c r="H44" i="131"/>
  <c r="J44" i="131"/>
  <c r="L44" i="131"/>
  <c r="O44" i="131"/>
  <c r="R44" i="131"/>
  <c r="S44" i="131"/>
  <c r="J45" i="131"/>
  <c r="L45" i="131"/>
  <c r="O45" i="131"/>
  <c r="R45" i="131"/>
  <c r="S45" i="131"/>
  <c r="H47" i="131"/>
  <c r="L47" i="131"/>
  <c r="N47" i="131"/>
  <c r="O47" i="131"/>
  <c r="R47" i="131"/>
  <c r="H48" i="131"/>
  <c r="J48" i="131"/>
  <c r="L48" i="131"/>
  <c r="O48" i="131"/>
  <c r="R48" i="131"/>
  <c r="S48" i="131"/>
  <c r="J49" i="131"/>
  <c r="L49" i="131"/>
  <c r="O49" i="131"/>
  <c r="R49" i="131"/>
  <c r="S49" i="131"/>
  <c r="H51" i="131"/>
  <c r="J51" i="131"/>
  <c r="L51" i="131"/>
  <c r="N51" i="131"/>
  <c r="O51" i="131"/>
  <c r="R51" i="131"/>
  <c r="H52" i="131"/>
  <c r="J52" i="131"/>
  <c r="L52" i="131"/>
  <c r="O52" i="131"/>
  <c r="R52" i="131"/>
  <c r="S52" i="131"/>
  <c r="J53" i="131"/>
  <c r="L53" i="131"/>
  <c r="O53" i="131"/>
  <c r="R53" i="131"/>
  <c r="S53" i="131"/>
  <c r="H55" i="131"/>
  <c r="J55" i="131"/>
  <c r="L55" i="131"/>
  <c r="N55" i="131"/>
  <c r="O55" i="131"/>
  <c r="R55" i="131"/>
  <c r="H56" i="131"/>
  <c r="J56" i="131"/>
  <c r="L56" i="131"/>
  <c r="O56" i="131"/>
  <c r="R56" i="131"/>
  <c r="S56" i="131"/>
  <c r="J57" i="131"/>
  <c r="L57" i="131"/>
  <c r="O57" i="131"/>
  <c r="R57" i="131"/>
  <c r="S57" i="131"/>
  <c r="F59" i="131"/>
  <c r="G59" i="131"/>
  <c r="J59" i="131"/>
  <c r="K59" i="131"/>
  <c r="L59" i="131"/>
  <c r="N59" i="131"/>
  <c r="O59" i="131"/>
  <c r="Q59" i="131"/>
  <c r="R59" i="131"/>
  <c r="S59" i="131"/>
  <c r="J62" i="131"/>
  <c r="L62" i="131"/>
  <c r="O62" i="131"/>
  <c r="R62" i="131"/>
  <c r="J63" i="131"/>
  <c r="L63" i="131"/>
  <c r="O63" i="131"/>
  <c r="R63" i="131"/>
  <c r="J64" i="131"/>
  <c r="L64" i="131"/>
  <c r="O64" i="131"/>
  <c r="R64" i="131"/>
  <c r="J65" i="131"/>
  <c r="L65" i="131"/>
  <c r="O65" i="131"/>
  <c r="R65" i="131"/>
  <c r="G67" i="131"/>
  <c r="J67" i="131"/>
  <c r="K67" i="131"/>
  <c r="L67" i="131"/>
  <c r="N67" i="131"/>
  <c r="O67" i="131"/>
  <c r="Q67" i="131"/>
  <c r="R67" i="131"/>
  <c r="L69" i="131"/>
  <c r="O69" i="131"/>
  <c r="R69" i="131"/>
  <c r="L72" i="131"/>
  <c r="O72" i="131"/>
  <c r="R72" i="131"/>
  <c r="L73" i="131"/>
  <c r="O73" i="131"/>
  <c r="R73" i="131"/>
  <c r="L74" i="131"/>
  <c r="O74" i="131"/>
  <c r="R74" i="131"/>
  <c r="B3" i="132"/>
  <c r="H6" i="132"/>
  <c r="J6" i="132"/>
  <c r="L6" i="132"/>
  <c r="N6" i="132"/>
  <c r="O6" i="132"/>
  <c r="R6" i="132"/>
  <c r="H7" i="132"/>
  <c r="J7" i="132"/>
  <c r="L7" i="132"/>
  <c r="O7" i="132"/>
  <c r="S7" i="132"/>
  <c r="J8" i="132"/>
  <c r="L8" i="132"/>
  <c r="O8" i="132"/>
  <c r="R8" i="132"/>
  <c r="S8" i="132"/>
  <c r="H10" i="132"/>
  <c r="J10" i="132"/>
  <c r="L10" i="132"/>
  <c r="N10" i="132"/>
  <c r="O10" i="132"/>
  <c r="R10" i="132"/>
  <c r="O11" i="132"/>
  <c r="R11" i="132"/>
  <c r="H12" i="132"/>
  <c r="J12" i="132"/>
  <c r="L12" i="132"/>
  <c r="O12" i="132"/>
  <c r="S12" i="132"/>
  <c r="J13" i="132"/>
  <c r="L13" i="132"/>
  <c r="O13" i="132"/>
  <c r="R13" i="132"/>
  <c r="S13" i="132"/>
  <c r="H15" i="132"/>
  <c r="J15" i="132"/>
  <c r="L15" i="132"/>
  <c r="N15" i="132"/>
  <c r="O15" i="132"/>
  <c r="R15" i="132"/>
  <c r="H16" i="132"/>
  <c r="J16" i="132"/>
  <c r="L16" i="132"/>
  <c r="O16" i="132"/>
  <c r="S16" i="132"/>
  <c r="J17" i="132"/>
  <c r="L17" i="132"/>
  <c r="O17" i="132"/>
  <c r="R17" i="132"/>
  <c r="S17" i="132"/>
  <c r="H19" i="132"/>
  <c r="J19" i="132"/>
  <c r="L19" i="132"/>
  <c r="N19" i="132"/>
  <c r="O19" i="132"/>
  <c r="R19" i="132"/>
  <c r="O20" i="132"/>
  <c r="R20" i="132"/>
  <c r="O21" i="132"/>
  <c r="R21" i="132"/>
  <c r="H22" i="132"/>
  <c r="J22" i="132"/>
  <c r="L22" i="132"/>
  <c r="O22" i="132"/>
  <c r="S22" i="132"/>
  <c r="J23" i="132"/>
  <c r="L23" i="132"/>
  <c r="O23" i="132"/>
  <c r="R23" i="132"/>
  <c r="S23" i="132"/>
  <c r="H25" i="132"/>
  <c r="J25" i="132"/>
  <c r="L25" i="132"/>
  <c r="N25" i="132"/>
  <c r="O25" i="132"/>
  <c r="R25" i="132"/>
  <c r="H26" i="132"/>
  <c r="J26" i="132"/>
  <c r="L26" i="132"/>
  <c r="O26" i="132"/>
  <c r="S26" i="132"/>
  <c r="J27" i="132"/>
  <c r="L27" i="132"/>
  <c r="O27" i="132"/>
  <c r="R27" i="132"/>
  <c r="S27" i="132"/>
  <c r="H29" i="132"/>
  <c r="J29" i="132"/>
  <c r="L29" i="132"/>
  <c r="N29" i="132"/>
  <c r="O29" i="132"/>
  <c r="R29" i="132"/>
  <c r="H30" i="132"/>
  <c r="J30" i="132"/>
  <c r="L30" i="132"/>
  <c r="O30" i="132"/>
  <c r="S30" i="132"/>
  <c r="J31" i="132"/>
  <c r="L31" i="132"/>
  <c r="O31" i="132"/>
  <c r="R31" i="132"/>
  <c r="S31" i="132"/>
  <c r="H33" i="132"/>
  <c r="J33" i="132"/>
  <c r="L33" i="132"/>
  <c r="N33" i="132"/>
  <c r="O33" i="132"/>
  <c r="R33" i="132"/>
  <c r="O34" i="132"/>
  <c r="R34" i="132"/>
  <c r="O35" i="132"/>
  <c r="R35" i="132"/>
  <c r="H36" i="132"/>
  <c r="J36" i="132"/>
  <c r="L36" i="132"/>
  <c r="O36" i="132"/>
  <c r="S36" i="132"/>
  <c r="J37" i="132"/>
  <c r="L37" i="132"/>
  <c r="O37" i="132"/>
  <c r="R37" i="132"/>
  <c r="S37" i="132"/>
  <c r="H39" i="132"/>
  <c r="J39" i="132"/>
  <c r="L39" i="132"/>
  <c r="N39" i="132"/>
  <c r="O39" i="132"/>
  <c r="R39" i="132"/>
  <c r="H40" i="132"/>
  <c r="J40" i="132"/>
  <c r="L40" i="132"/>
  <c r="O40" i="132"/>
  <c r="S40" i="132"/>
  <c r="J41" i="132"/>
  <c r="L41" i="132"/>
  <c r="O41" i="132"/>
  <c r="R41" i="132"/>
  <c r="S41" i="132"/>
  <c r="H43" i="132"/>
  <c r="J43" i="132"/>
  <c r="L43" i="132"/>
  <c r="N43" i="132"/>
  <c r="O43" i="132"/>
  <c r="R43" i="132"/>
  <c r="H44" i="132"/>
  <c r="J44" i="132"/>
  <c r="L44" i="132"/>
  <c r="O44" i="132"/>
  <c r="S44" i="132"/>
  <c r="J45" i="132"/>
  <c r="L45" i="132"/>
  <c r="O45" i="132"/>
  <c r="R45" i="132"/>
  <c r="S45" i="132"/>
  <c r="H47" i="132"/>
  <c r="L47" i="132"/>
  <c r="N47" i="132"/>
  <c r="O47" i="132"/>
  <c r="R47" i="132"/>
  <c r="H48" i="132"/>
  <c r="J48" i="132"/>
  <c r="L48" i="132"/>
  <c r="O48" i="132"/>
  <c r="S48" i="132"/>
  <c r="J49" i="132"/>
  <c r="L49" i="132"/>
  <c r="O49" i="132"/>
  <c r="R49" i="132"/>
  <c r="S49" i="132"/>
  <c r="H51" i="132"/>
  <c r="J51" i="132"/>
  <c r="L51" i="132"/>
  <c r="N51" i="132"/>
  <c r="O51" i="132"/>
  <c r="R51" i="132"/>
  <c r="H52" i="132"/>
  <c r="J52" i="132"/>
  <c r="L52" i="132"/>
  <c r="O52" i="132"/>
  <c r="S52" i="132"/>
  <c r="J53" i="132"/>
  <c r="L53" i="132"/>
  <c r="O53" i="132"/>
  <c r="R53" i="132"/>
  <c r="S53" i="132"/>
  <c r="H55" i="132"/>
  <c r="J55" i="132"/>
  <c r="L55" i="132"/>
  <c r="N55" i="132"/>
  <c r="O55" i="132"/>
  <c r="R55" i="132"/>
  <c r="H56" i="132"/>
  <c r="J56" i="132"/>
  <c r="L56" i="132"/>
  <c r="O56" i="132"/>
  <c r="S56" i="132"/>
  <c r="J57" i="132"/>
  <c r="L57" i="132"/>
  <c r="O57" i="132"/>
  <c r="R57" i="132"/>
  <c r="S57" i="132"/>
  <c r="F59" i="132"/>
  <c r="G59" i="132"/>
  <c r="J59" i="132"/>
  <c r="K59" i="132"/>
  <c r="L59" i="132"/>
  <c r="N59" i="132"/>
  <c r="O59" i="132"/>
  <c r="Q59" i="132"/>
  <c r="R59" i="132"/>
  <c r="S59" i="132"/>
  <c r="S61" i="132"/>
  <c r="J62" i="132"/>
  <c r="L62" i="132"/>
  <c r="O62" i="132"/>
  <c r="R62" i="132"/>
  <c r="J63" i="132"/>
  <c r="L63" i="132"/>
  <c r="O63" i="132"/>
  <c r="R63" i="132"/>
  <c r="J64" i="132"/>
  <c r="L64" i="132"/>
  <c r="O64" i="132"/>
  <c r="R64" i="132"/>
  <c r="J65" i="132"/>
  <c r="L65" i="132"/>
  <c r="O65" i="132"/>
  <c r="R65" i="132"/>
  <c r="G67" i="132"/>
  <c r="J67" i="132"/>
  <c r="K67" i="132"/>
  <c r="L67" i="132"/>
  <c r="N67" i="132"/>
  <c r="O67" i="132"/>
  <c r="Q67" i="132"/>
  <c r="R67" i="132"/>
  <c r="L69" i="132"/>
  <c r="O69" i="132"/>
  <c r="R69" i="132"/>
  <c r="L72" i="132"/>
  <c r="O72" i="132"/>
  <c r="R72" i="132"/>
  <c r="L73" i="132"/>
  <c r="O73" i="132"/>
  <c r="R73" i="132"/>
  <c r="L74" i="132"/>
  <c r="O74" i="132"/>
  <c r="R74" i="132"/>
  <c r="B3" i="133"/>
  <c r="H6" i="133"/>
  <c r="J6" i="133"/>
  <c r="L6" i="133"/>
  <c r="N6" i="133"/>
  <c r="O6" i="133"/>
  <c r="R6" i="133"/>
  <c r="H7" i="133"/>
  <c r="J7" i="133"/>
  <c r="L7" i="133"/>
  <c r="O7" i="133"/>
  <c r="S7" i="133"/>
  <c r="J8" i="133"/>
  <c r="L8" i="133"/>
  <c r="O8" i="133"/>
  <c r="R8" i="133"/>
  <c r="S8" i="133"/>
  <c r="H10" i="133"/>
  <c r="J10" i="133"/>
  <c r="L10" i="133"/>
  <c r="N10" i="133"/>
  <c r="O10" i="133"/>
  <c r="R10" i="133"/>
  <c r="O11" i="133"/>
  <c r="R11" i="133"/>
  <c r="H12" i="133"/>
  <c r="J12" i="133"/>
  <c r="L12" i="133"/>
  <c r="O12" i="133"/>
  <c r="R12" i="133"/>
  <c r="S12" i="133"/>
  <c r="J13" i="133"/>
  <c r="L13" i="133"/>
  <c r="O13" i="133"/>
  <c r="R13" i="133"/>
  <c r="S13" i="133"/>
  <c r="H15" i="133"/>
  <c r="J15" i="133"/>
  <c r="L15" i="133"/>
  <c r="N15" i="133"/>
  <c r="O15" i="133"/>
  <c r="R15" i="133"/>
  <c r="H16" i="133"/>
  <c r="J16" i="133"/>
  <c r="L16" i="133"/>
  <c r="O16" i="133"/>
  <c r="R16" i="133"/>
  <c r="S16" i="133"/>
  <c r="J17" i="133"/>
  <c r="L17" i="133"/>
  <c r="O17" i="133"/>
  <c r="R17" i="133"/>
  <c r="S17" i="133"/>
  <c r="H19" i="133"/>
  <c r="J19" i="133"/>
  <c r="L19" i="133"/>
  <c r="N19" i="133"/>
  <c r="O19" i="133"/>
  <c r="R19" i="133"/>
  <c r="O20" i="133"/>
  <c r="R20" i="133"/>
  <c r="O21" i="133"/>
  <c r="R21" i="133"/>
  <c r="H22" i="133"/>
  <c r="J22" i="133"/>
  <c r="L22" i="133"/>
  <c r="O22" i="133"/>
  <c r="R22" i="133"/>
  <c r="S22" i="133"/>
  <c r="J23" i="133"/>
  <c r="L23" i="133"/>
  <c r="O23" i="133"/>
  <c r="R23" i="133"/>
  <c r="S23" i="133"/>
  <c r="H25" i="133"/>
  <c r="J25" i="133"/>
  <c r="L25" i="133"/>
  <c r="N25" i="133"/>
  <c r="O25" i="133"/>
  <c r="R25" i="133"/>
  <c r="H26" i="133"/>
  <c r="J26" i="133"/>
  <c r="L26" i="133"/>
  <c r="O26" i="133"/>
  <c r="S26" i="133"/>
  <c r="J27" i="133"/>
  <c r="L27" i="133"/>
  <c r="O27" i="133"/>
  <c r="R27" i="133"/>
  <c r="S27" i="133"/>
  <c r="H29" i="133"/>
  <c r="J29" i="133"/>
  <c r="L29" i="133"/>
  <c r="N29" i="133"/>
  <c r="O29" i="133"/>
  <c r="R29" i="133"/>
  <c r="H30" i="133"/>
  <c r="J30" i="133"/>
  <c r="L30" i="133"/>
  <c r="O30" i="133"/>
  <c r="R30" i="133"/>
  <c r="S30" i="133"/>
  <c r="J31" i="133"/>
  <c r="L31" i="133"/>
  <c r="O31" i="133"/>
  <c r="R31" i="133"/>
  <c r="S31" i="133"/>
  <c r="H33" i="133"/>
  <c r="J33" i="133"/>
  <c r="L33" i="133"/>
  <c r="N33" i="133"/>
  <c r="O33" i="133"/>
  <c r="R33" i="133"/>
  <c r="O34" i="133"/>
  <c r="R34" i="133"/>
  <c r="O35" i="133"/>
  <c r="R35" i="133"/>
  <c r="H36" i="133"/>
  <c r="J36" i="133"/>
  <c r="L36" i="133"/>
  <c r="O36" i="133"/>
  <c r="R36" i="133"/>
  <c r="S36" i="133"/>
  <c r="J37" i="133"/>
  <c r="L37" i="133"/>
  <c r="O37" i="133"/>
  <c r="R37" i="133"/>
  <c r="S37" i="133"/>
  <c r="H39" i="133"/>
  <c r="J39" i="133"/>
  <c r="L39" i="133"/>
  <c r="N39" i="133"/>
  <c r="O39" i="133"/>
  <c r="R39" i="133"/>
  <c r="H40" i="133"/>
  <c r="J40" i="133"/>
  <c r="L40" i="133"/>
  <c r="O40" i="133"/>
  <c r="R40" i="133"/>
  <c r="S40" i="133"/>
  <c r="J41" i="133"/>
  <c r="L41" i="133"/>
  <c r="O41" i="133"/>
  <c r="R41" i="133"/>
  <c r="S41" i="133"/>
  <c r="H43" i="133"/>
  <c r="J43" i="133"/>
  <c r="L43" i="133"/>
  <c r="N43" i="133"/>
  <c r="O43" i="133"/>
  <c r="R43" i="133"/>
  <c r="H44" i="133"/>
  <c r="J44" i="133"/>
  <c r="L44" i="133"/>
  <c r="O44" i="133"/>
  <c r="S44" i="133"/>
  <c r="J45" i="133"/>
  <c r="L45" i="133"/>
  <c r="O45" i="133"/>
  <c r="R45" i="133"/>
  <c r="S45" i="133"/>
  <c r="H47" i="133"/>
  <c r="L47" i="133"/>
  <c r="N47" i="133"/>
  <c r="O47" i="133"/>
  <c r="R47" i="133"/>
  <c r="H48" i="133"/>
  <c r="J48" i="133"/>
  <c r="L48" i="133"/>
  <c r="O48" i="133"/>
  <c r="R48" i="133"/>
  <c r="S48" i="133"/>
  <c r="J49" i="133"/>
  <c r="L49" i="133"/>
  <c r="O49" i="133"/>
  <c r="R49" i="133"/>
  <c r="S49" i="133"/>
  <c r="H51" i="133"/>
  <c r="J51" i="133"/>
  <c r="L51" i="133"/>
  <c r="N51" i="133"/>
  <c r="O51" i="133"/>
  <c r="R51" i="133"/>
  <c r="H52" i="133"/>
  <c r="J52" i="133"/>
  <c r="L52" i="133"/>
  <c r="O52" i="133"/>
  <c r="S52" i="133"/>
  <c r="J53" i="133"/>
  <c r="L53" i="133"/>
  <c r="O53" i="133"/>
  <c r="R53" i="133"/>
  <c r="S53" i="133"/>
  <c r="H55" i="133"/>
  <c r="J55" i="133"/>
  <c r="N55" i="133"/>
  <c r="O55" i="133"/>
  <c r="R55" i="133"/>
  <c r="H56" i="133"/>
  <c r="J56" i="133"/>
  <c r="O56" i="133"/>
  <c r="R56" i="133"/>
  <c r="S56" i="133"/>
  <c r="J57" i="133"/>
  <c r="L57" i="133"/>
  <c r="O57" i="133"/>
  <c r="R57" i="133"/>
  <c r="S57" i="133"/>
  <c r="F59" i="133"/>
  <c r="G59" i="133"/>
  <c r="J59" i="133"/>
  <c r="K59" i="133"/>
  <c r="L59" i="133"/>
  <c r="N59" i="133"/>
  <c r="O59" i="133"/>
  <c r="Q59" i="133"/>
  <c r="R59" i="133"/>
  <c r="S59" i="133"/>
  <c r="S61" i="133"/>
  <c r="J62" i="133"/>
  <c r="L62" i="133"/>
  <c r="O62" i="133"/>
  <c r="R62" i="133"/>
  <c r="J63" i="133"/>
  <c r="L63" i="133"/>
  <c r="O63" i="133"/>
  <c r="R63" i="133"/>
  <c r="J64" i="133"/>
  <c r="L64" i="133"/>
  <c r="O64" i="133"/>
  <c r="R64" i="133"/>
  <c r="J65" i="133"/>
  <c r="L65" i="133"/>
  <c r="O65" i="133"/>
  <c r="R65" i="133"/>
  <c r="G67" i="133"/>
  <c r="J67" i="133"/>
  <c r="K67" i="133"/>
  <c r="L67" i="133"/>
  <c r="N67" i="133"/>
  <c r="O67" i="133"/>
  <c r="Q67" i="133"/>
  <c r="R67" i="133"/>
  <c r="L69" i="133"/>
  <c r="O69" i="133"/>
  <c r="R69" i="133"/>
  <c r="L72" i="133"/>
  <c r="O72" i="133"/>
  <c r="R72" i="133"/>
  <c r="L73" i="133"/>
  <c r="O73" i="133"/>
  <c r="R73" i="133"/>
  <c r="L74" i="133"/>
  <c r="O74" i="133"/>
  <c r="R74" i="133"/>
  <c r="B3" i="134"/>
  <c r="H6" i="134"/>
  <c r="J6" i="134"/>
  <c r="L6" i="134"/>
  <c r="N6" i="134"/>
  <c r="O6" i="134"/>
  <c r="R6" i="134"/>
  <c r="H7" i="134"/>
  <c r="J7" i="134"/>
  <c r="O7" i="134"/>
  <c r="R7" i="134"/>
  <c r="S7" i="134"/>
  <c r="J8" i="134"/>
  <c r="L8" i="134"/>
  <c r="O8" i="134"/>
  <c r="R8" i="134"/>
  <c r="S8" i="134"/>
  <c r="H10" i="134"/>
  <c r="J10" i="134"/>
  <c r="L10" i="134"/>
  <c r="N10" i="134"/>
  <c r="O10" i="134"/>
  <c r="R10" i="134"/>
  <c r="O11" i="134"/>
  <c r="R11" i="134"/>
  <c r="H12" i="134"/>
  <c r="J12" i="134"/>
  <c r="L12" i="134"/>
  <c r="O12" i="134"/>
  <c r="R12" i="134"/>
  <c r="S12" i="134"/>
  <c r="J13" i="134"/>
  <c r="L13" i="134"/>
  <c r="O13" i="134"/>
  <c r="R13" i="134"/>
  <c r="S13" i="134"/>
  <c r="H15" i="134"/>
  <c r="J15" i="134"/>
  <c r="L15" i="134"/>
  <c r="N15" i="134"/>
  <c r="O15" i="134"/>
  <c r="R15" i="134"/>
  <c r="H16" i="134"/>
  <c r="J16" i="134"/>
  <c r="L16" i="134"/>
  <c r="O16" i="134"/>
  <c r="R16" i="134"/>
  <c r="S16" i="134"/>
  <c r="J17" i="134"/>
  <c r="L17" i="134"/>
  <c r="O17" i="134"/>
  <c r="R17" i="134"/>
  <c r="S17" i="134"/>
  <c r="H19" i="134"/>
  <c r="J19" i="134"/>
  <c r="L19" i="134"/>
  <c r="N19" i="134"/>
  <c r="O19" i="134"/>
  <c r="R19" i="134"/>
  <c r="O20" i="134"/>
  <c r="R20" i="134"/>
  <c r="O21" i="134"/>
  <c r="R21" i="134"/>
  <c r="H22" i="134"/>
  <c r="J22" i="134"/>
  <c r="L22" i="134"/>
  <c r="O22" i="134"/>
  <c r="R22" i="134"/>
  <c r="S22" i="134"/>
  <c r="J23" i="134"/>
  <c r="L23" i="134"/>
  <c r="O23" i="134"/>
  <c r="R23" i="134"/>
  <c r="S23" i="134"/>
  <c r="H25" i="134"/>
  <c r="J25" i="134"/>
  <c r="L25" i="134"/>
  <c r="N25" i="134"/>
  <c r="O25" i="134"/>
  <c r="R25" i="134"/>
  <c r="H26" i="134"/>
  <c r="J26" i="134"/>
  <c r="L26" i="134"/>
  <c r="O26" i="134"/>
  <c r="R26" i="134"/>
  <c r="S26" i="134"/>
  <c r="J27" i="134"/>
  <c r="L27" i="134"/>
  <c r="O27" i="134"/>
  <c r="R27" i="134"/>
  <c r="S27" i="134"/>
  <c r="H29" i="134"/>
  <c r="J29" i="134"/>
  <c r="L29" i="134"/>
  <c r="N29" i="134"/>
  <c r="O29" i="134"/>
  <c r="R29" i="134"/>
  <c r="H30" i="134"/>
  <c r="J30" i="134"/>
  <c r="L30" i="134"/>
  <c r="O30" i="134"/>
  <c r="R30" i="134"/>
  <c r="S30" i="134"/>
  <c r="J31" i="134"/>
  <c r="L31" i="134"/>
  <c r="O31" i="134"/>
  <c r="R31" i="134"/>
  <c r="S31" i="134"/>
  <c r="H33" i="134"/>
  <c r="J33" i="134"/>
  <c r="L33" i="134"/>
  <c r="N33" i="134"/>
  <c r="O33" i="134"/>
  <c r="R33" i="134"/>
  <c r="O34" i="134"/>
  <c r="R34" i="134"/>
  <c r="O35" i="134"/>
  <c r="R35" i="134"/>
  <c r="H36" i="134"/>
  <c r="J36" i="134"/>
  <c r="L36" i="134"/>
  <c r="O36" i="134"/>
  <c r="R36" i="134"/>
  <c r="S36" i="134"/>
  <c r="J37" i="134"/>
  <c r="L37" i="134"/>
  <c r="O37" i="134"/>
  <c r="R37" i="134"/>
  <c r="S37" i="134"/>
  <c r="H39" i="134"/>
  <c r="J39" i="134"/>
  <c r="L39" i="134"/>
  <c r="N39" i="134"/>
  <c r="O39" i="134"/>
  <c r="R39" i="134"/>
  <c r="H40" i="134"/>
  <c r="J40" i="134"/>
  <c r="L40" i="134"/>
  <c r="O40" i="134"/>
  <c r="R40" i="134"/>
  <c r="S40" i="134"/>
  <c r="J41" i="134"/>
  <c r="L41" i="134"/>
  <c r="O41" i="134"/>
  <c r="R41" i="134"/>
  <c r="S41" i="134"/>
  <c r="H43" i="134"/>
  <c r="J43" i="134"/>
  <c r="L43" i="134"/>
  <c r="N43" i="134"/>
  <c r="O43" i="134"/>
  <c r="R43" i="134"/>
  <c r="H44" i="134"/>
  <c r="J44" i="134"/>
  <c r="L44" i="134"/>
  <c r="O44" i="134"/>
  <c r="R44" i="134"/>
  <c r="S44" i="134"/>
  <c r="J45" i="134"/>
  <c r="L45" i="134"/>
  <c r="O45" i="134"/>
  <c r="R45" i="134"/>
  <c r="S45" i="134"/>
  <c r="H47" i="134"/>
  <c r="L47" i="134"/>
  <c r="N47" i="134"/>
  <c r="O47" i="134"/>
  <c r="R47" i="134"/>
  <c r="H48" i="134"/>
  <c r="J48" i="134"/>
  <c r="O48" i="134"/>
  <c r="R48" i="134"/>
  <c r="S48" i="134"/>
  <c r="J49" i="134"/>
  <c r="L49" i="134"/>
  <c r="O49" i="134"/>
  <c r="R49" i="134"/>
  <c r="S49" i="134"/>
  <c r="H51" i="134"/>
  <c r="J51" i="134"/>
  <c r="L51" i="134"/>
  <c r="N51" i="134"/>
  <c r="O51" i="134"/>
  <c r="R51" i="134"/>
  <c r="H52" i="134"/>
  <c r="J52" i="134"/>
  <c r="L52" i="134"/>
  <c r="O52" i="134"/>
  <c r="R52" i="134"/>
  <c r="S52" i="134"/>
  <c r="J53" i="134"/>
  <c r="L53" i="134"/>
  <c r="O53" i="134"/>
  <c r="R53" i="134"/>
  <c r="S53" i="134"/>
  <c r="H55" i="134"/>
  <c r="J55" i="134"/>
  <c r="N55" i="134"/>
  <c r="O55" i="134"/>
  <c r="R55" i="134"/>
  <c r="H56" i="134"/>
  <c r="J56" i="134"/>
  <c r="O56" i="134"/>
  <c r="R56" i="134"/>
  <c r="S56" i="134"/>
  <c r="J57" i="134"/>
  <c r="L57" i="134"/>
  <c r="O57" i="134"/>
  <c r="R57" i="134"/>
  <c r="S57" i="134"/>
  <c r="F59" i="134"/>
  <c r="G59" i="134"/>
  <c r="J59" i="134"/>
  <c r="K59" i="134"/>
  <c r="L59" i="134"/>
  <c r="N59" i="134"/>
  <c r="O59" i="134"/>
  <c r="Q59" i="134"/>
  <c r="R59" i="134"/>
  <c r="S59" i="134"/>
  <c r="J62" i="134"/>
  <c r="L62" i="134"/>
  <c r="O62" i="134"/>
  <c r="R62" i="134"/>
  <c r="J63" i="134"/>
  <c r="L63" i="134"/>
  <c r="O63" i="134"/>
  <c r="R63" i="134"/>
  <c r="J64" i="134"/>
  <c r="L64" i="134"/>
  <c r="O64" i="134"/>
  <c r="R64" i="134"/>
  <c r="J65" i="134"/>
  <c r="L65" i="134"/>
  <c r="O65" i="134"/>
  <c r="R65" i="134"/>
  <c r="G67" i="134"/>
  <c r="J67" i="134"/>
  <c r="K67" i="134"/>
  <c r="L67" i="134"/>
  <c r="N67" i="134"/>
  <c r="O67" i="134"/>
  <c r="Q67" i="134"/>
  <c r="R67" i="134"/>
  <c r="L69" i="134"/>
  <c r="O69" i="134"/>
  <c r="R69" i="134"/>
  <c r="L72" i="134"/>
  <c r="O72" i="134"/>
  <c r="R72" i="134"/>
  <c r="L73" i="134"/>
  <c r="O73" i="134"/>
  <c r="R73" i="134"/>
  <c r="L74" i="134"/>
  <c r="O74" i="134"/>
  <c r="R74" i="134"/>
  <c r="B3" i="135"/>
  <c r="H6" i="135"/>
  <c r="J6" i="135"/>
  <c r="L6" i="135"/>
  <c r="N6" i="135"/>
  <c r="O6" i="135"/>
  <c r="R6" i="135"/>
  <c r="H7" i="135"/>
  <c r="J7" i="135"/>
  <c r="L7" i="135"/>
  <c r="O7" i="135"/>
  <c r="R7" i="135"/>
  <c r="S7" i="135"/>
  <c r="J8" i="135"/>
  <c r="L8" i="135"/>
  <c r="O8" i="135"/>
  <c r="R8" i="135"/>
  <c r="S8" i="135"/>
  <c r="H10" i="135"/>
  <c r="J10" i="135"/>
  <c r="L10" i="135"/>
  <c r="N10" i="135"/>
  <c r="O10" i="135"/>
  <c r="R10" i="135"/>
  <c r="O11" i="135"/>
  <c r="R11" i="135"/>
  <c r="H12" i="135"/>
  <c r="J12" i="135"/>
  <c r="L12" i="135"/>
  <c r="O12" i="135"/>
  <c r="R12" i="135"/>
  <c r="S12" i="135"/>
  <c r="J13" i="135"/>
  <c r="L13" i="135"/>
  <c r="O13" i="135"/>
  <c r="R13" i="135"/>
  <c r="S13" i="135"/>
  <c r="H15" i="135"/>
  <c r="J15" i="135"/>
  <c r="L15" i="135"/>
  <c r="N15" i="135"/>
  <c r="O15" i="135"/>
  <c r="R15" i="135"/>
  <c r="H16" i="135"/>
  <c r="J16" i="135"/>
  <c r="L16" i="135"/>
  <c r="O16" i="135"/>
  <c r="R16" i="135"/>
  <c r="S16" i="135"/>
  <c r="J17" i="135"/>
  <c r="L17" i="135"/>
  <c r="O17" i="135"/>
  <c r="R17" i="135"/>
  <c r="S17" i="135"/>
  <c r="H19" i="135"/>
  <c r="J19" i="135"/>
  <c r="L19" i="135"/>
  <c r="N19" i="135"/>
  <c r="O19" i="135"/>
  <c r="R19" i="135"/>
  <c r="O20" i="135"/>
  <c r="R20" i="135"/>
  <c r="O21" i="135"/>
  <c r="R21" i="135"/>
  <c r="H22" i="135"/>
  <c r="J22" i="135"/>
  <c r="L22" i="135"/>
  <c r="O22" i="135"/>
  <c r="R22" i="135"/>
  <c r="S22" i="135"/>
  <c r="J23" i="135"/>
  <c r="L23" i="135"/>
  <c r="O23" i="135"/>
  <c r="R23" i="135"/>
  <c r="S23" i="135"/>
  <c r="H25" i="135"/>
  <c r="J25" i="135"/>
  <c r="L25" i="135"/>
  <c r="N25" i="135"/>
  <c r="O25" i="135"/>
  <c r="R25" i="135"/>
  <c r="H26" i="135"/>
  <c r="J26" i="135"/>
  <c r="L26" i="135"/>
  <c r="O26" i="135"/>
  <c r="R26" i="135"/>
  <c r="S26" i="135"/>
  <c r="J27" i="135"/>
  <c r="L27" i="135"/>
  <c r="O27" i="135"/>
  <c r="R27" i="135"/>
  <c r="S27" i="135"/>
  <c r="H29" i="135"/>
  <c r="J29" i="135"/>
  <c r="L29" i="135"/>
  <c r="N29" i="135"/>
  <c r="O29" i="135"/>
  <c r="R29" i="135"/>
  <c r="H30" i="135"/>
  <c r="J30" i="135"/>
  <c r="L30" i="135"/>
  <c r="O30" i="135"/>
  <c r="R30" i="135"/>
  <c r="S30" i="135"/>
  <c r="J31" i="135"/>
  <c r="L31" i="135"/>
  <c r="O31" i="135"/>
  <c r="R31" i="135"/>
  <c r="S31" i="135"/>
  <c r="H33" i="135"/>
  <c r="J33" i="135"/>
  <c r="L33" i="135"/>
  <c r="N33" i="135"/>
  <c r="O33" i="135"/>
  <c r="R33" i="135"/>
  <c r="O34" i="135"/>
  <c r="R34" i="135"/>
  <c r="O35" i="135"/>
  <c r="R35" i="135"/>
  <c r="H36" i="135"/>
  <c r="J36" i="135"/>
  <c r="L36" i="135"/>
  <c r="O36" i="135"/>
  <c r="R36" i="135"/>
  <c r="S36" i="135"/>
  <c r="J37" i="135"/>
  <c r="L37" i="135"/>
  <c r="O37" i="135"/>
  <c r="R37" i="135"/>
  <c r="S37" i="135"/>
  <c r="H39" i="135"/>
  <c r="J39" i="135"/>
  <c r="L39" i="135"/>
  <c r="N39" i="135"/>
  <c r="O39" i="135"/>
  <c r="R39" i="135"/>
  <c r="H40" i="135"/>
  <c r="J40" i="135"/>
  <c r="L40" i="135"/>
  <c r="O40" i="135"/>
  <c r="R40" i="135"/>
  <c r="S40" i="135"/>
  <c r="J41" i="135"/>
  <c r="L41" i="135"/>
  <c r="O41" i="135"/>
  <c r="R41" i="135"/>
  <c r="S41" i="135"/>
  <c r="H43" i="135"/>
  <c r="J43" i="135"/>
  <c r="L43" i="135"/>
  <c r="N43" i="135"/>
  <c r="O43" i="135"/>
  <c r="R43" i="135"/>
  <c r="H44" i="135"/>
  <c r="J44" i="135"/>
  <c r="L44" i="135"/>
  <c r="O44" i="135"/>
  <c r="R44" i="135"/>
  <c r="S44" i="135"/>
  <c r="J45" i="135"/>
  <c r="L45" i="135"/>
  <c r="O45" i="135"/>
  <c r="R45" i="135"/>
  <c r="S45" i="135"/>
  <c r="H47" i="135"/>
  <c r="L47" i="135"/>
  <c r="N47" i="135"/>
  <c r="O47" i="135"/>
  <c r="R47" i="135"/>
  <c r="H48" i="135"/>
  <c r="J48" i="135"/>
  <c r="L48" i="135"/>
  <c r="O48" i="135"/>
  <c r="R48" i="135"/>
  <c r="S48" i="135"/>
  <c r="J49" i="135"/>
  <c r="L49" i="135"/>
  <c r="O49" i="135"/>
  <c r="R49" i="135"/>
  <c r="S49" i="135"/>
  <c r="H51" i="135"/>
  <c r="J51" i="135"/>
  <c r="L51" i="135"/>
  <c r="N51" i="135"/>
  <c r="O51" i="135"/>
  <c r="R51" i="135"/>
  <c r="H52" i="135"/>
  <c r="J52" i="135"/>
  <c r="L52" i="135"/>
  <c r="O52" i="135"/>
  <c r="R52" i="135"/>
  <c r="S52" i="135"/>
  <c r="J53" i="135"/>
  <c r="L53" i="135"/>
  <c r="O53" i="135"/>
  <c r="R53" i="135"/>
  <c r="S53" i="135"/>
  <c r="H55" i="135"/>
  <c r="J55" i="135"/>
  <c r="N55" i="135"/>
  <c r="O55" i="135"/>
  <c r="R55" i="135"/>
  <c r="H56" i="135"/>
  <c r="J56" i="135"/>
  <c r="O56" i="135"/>
  <c r="R56" i="135"/>
  <c r="S56" i="135"/>
  <c r="J57" i="135"/>
  <c r="L57" i="135"/>
  <c r="O57" i="135"/>
  <c r="R57" i="135"/>
  <c r="S57" i="135"/>
  <c r="F59" i="135"/>
  <c r="G59" i="135"/>
  <c r="J59" i="135"/>
  <c r="K59" i="135"/>
  <c r="L59" i="135"/>
  <c r="N59" i="135"/>
  <c r="O59" i="135"/>
  <c r="Q59" i="135"/>
  <c r="R59" i="135"/>
  <c r="S59" i="135"/>
  <c r="J62" i="135"/>
  <c r="L62" i="135"/>
  <c r="O62" i="135"/>
  <c r="R62" i="135"/>
  <c r="J63" i="135"/>
  <c r="L63" i="135"/>
  <c r="O63" i="135"/>
  <c r="R63" i="135"/>
  <c r="J64" i="135"/>
  <c r="L64" i="135"/>
  <c r="O64" i="135"/>
  <c r="R64" i="135"/>
  <c r="J65" i="135"/>
  <c r="L65" i="135"/>
  <c r="O65" i="135"/>
  <c r="R65" i="135"/>
  <c r="G67" i="135"/>
  <c r="J67" i="135"/>
  <c r="K67" i="135"/>
  <c r="L67" i="135"/>
  <c r="N67" i="135"/>
  <c r="O67" i="135"/>
  <c r="Q67" i="135"/>
  <c r="R67" i="135"/>
  <c r="L69" i="135"/>
  <c r="O69" i="135"/>
  <c r="R69" i="135"/>
  <c r="L72" i="135"/>
  <c r="O72" i="135"/>
  <c r="R72" i="135"/>
  <c r="L73" i="135"/>
  <c r="O73" i="135"/>
  <c r="R73" i="135"/>
  <c r="L74" i="135"/>
  <c r="O74" i="135"/>
  <c r="R74" i="135"/>
  <c r="B3" i="136"/>
  <c r="H6" i="136"/>
  <c r="J6" i="136"/>
  <c r="L6" i="136"/>
  <c r="N6" i="136"/>
  <c r="O6" i="136"/>
  <c r="R6" i="136"/>
  <c r="H7" i="136"/>
  <c r="J7" i="136"/>
  <c r="L7" i="136"/>
  <c r="O7" i="136"/>
  <c r="R7" i="136"/>
  <c r="S7" i="136"/>
  <c r="J8" i="136"/>
  <c r="L8" i="136"/>
  <c r="O8" i="136"/>
  <c r="R8" i="136"/>
  <c r="S8" i="136"/>
  <c r="H10" i="136"/>
  <c r="J10" i="136"/>
  <c r="L10" i="136"/>
  <c r="N10" i="136"/>
  <c r="O10" i="136"/>
  <c r="R10" i="136"/>
  <c r="O11" i="136"/>
  <c r="R11" i="136"/>
  <c r="H12" i="136"/>
  <c r="J12" i="136"/>
  <c r="L12" i="136"/>
  <c r="O12" i="136"/>
  <c r="R12" i="136"/>
  <c r="S12" i="136"/>
  <c r="J13" i="136"/>
  <c r="L13" i="136"/>
  <c r="O13" i="136"/>
  <c r="R13" i="136"/>
  <c r="S13" i="136"/>
  <c r="H15" i="136"/>
  <c r="J15" i="136"/>
  <c r="L15" i="136"/>
  <c r="N15" i="136"/>
  <c r="O15" i="136"/>
  <c r="R15" i="136"/>
  <c r="H16" i="136"/>
  <c r="J16" i="136"/>
  <c r="L16" i="136"/>
  <c r="O16" i="136"/>
  <c r="R16" i="136"/>
  <c r="S16" i="136"/>
  <c r="J17" i="136"/>
  <c r="L17" i="136"/>
  <c r="O17" i="136"/>
  <c r="R17" i="136"/>
  <c r="S17" i="136"/>
  <c r="H19" i="136"/>
  <c r="J19" i="136"/>
  <c r="L19" i="136"/>
  <c r="N19" i="136"/>
  <c r="O19" i="136"/>
  <c r="R19" i="136"/>
  <c r="O20" i="136"/>
  <c r="R20" i="136"/>
  <c r="O21" i="136"/>
  <c r="R21" i="136"/>
  <c r="H22" i="136"/>
  <c r="J22" i="136"/>
  <c r="L22" i="136"/>
  <c r="O22" i="136"/>
  <c r="R22" i="136"/>
  <c r="S22" i="136"/>
  <c r="J23" i="136"/>
  <c r="L23" i="136"/>
  <c r="O23" i="136"/>
  <c r="R23" i="136"/>
  <c r="S23" i="136"/>
  <c r="H25" i="136"/>
  <c r="J25" i="136"/>
  <c r="L25" i="136"/>
  <c r="N25" i="136"/>
  <c r="O25" i="136"/>
  <c r="R25" i="136"/>
  <c r="H26" i="136"/>
  <c r="J26" i="136"/>
  <c r="L26" i="136"/>
  <c r="O26" i="136"/>
  <c r="R26" i="136"/>
  <c r="S26" i="136"/>
  <c r="J27" i="136"/>
  <c r="L27" i="136"/>
  <c r="O27" i="136"/>
  <c r="R27" i="136"/>
  <c r="S27" i="136"/>
  <c r="H29" i="136"/>
  <c r="J29" i="136"/>
  <c r="L29" i="136"/>
  <c r="N29" i="136"/>
  <c r="O29" i="136"/>
  <c r="R29" i="136"/>
  <c r="H30" i="136"/>
  <c r="J30" i="136"/>
  <c r="L30" i="136"/>
  <c r="O30" i="136"/>
  <c r="R30" i="136"/>
  <c r="S30" i="136"/>
  <c r="J31" i="136"/>
  <c r="L31" i="136"/>
  <c r="O31" i="136"/>
  <c r="R31" i="136"/>
  <c r="S31" i="136"/>
  <c r="H33" i="136"/>
  <c r="J33" i="136"/>
  <c r="L33" i="136"/>
  <c r="N33" i="136"/>
  <c r="O33" i="136"/>
  <c r="R33" i="136"/>
  <c r="O34" i="136"/>
  <c r="R34" i="136"/>
  <c r="O35" i="136"/>
  <c r="R35" i="136"/>
  <c r="H36" i="136"/>
  <c r="J36" i="136"/>
  <c r="L36" i="136"/>
  <c r="O36" i="136"/>
  <c r="R36" i="136"/>
  <c r="S36" i="136"/>
  <c r="J37" i="136"/>
  <c r="L37" i="136"/>
  <c r="O37" i="136"/>
  <c r="R37" i="136"/>
  <c r="S37" i="136"/>
  <c r="H39" i="136"/>
  <c r="J39" i="136"/>
  <c r="L39" i="136"/>
  <c r="N39" i="136"/>
  <c r="O39" i="136"/>
  <c r="R39" i="136"/>
  <c r="H40" i="136"/>
  <c r="J40" i="136"/>
  <c r="L40" i="136"/>
  <c r="O40" i="136"/>
  <c r="R40" i="136"/>
  <c r="S40" i="136"/>
  <c r="J41" i="136"/>
  <c r="L41" i="136"/>
  <c r="O41" i="136"/>
  <c r="R41" i="136"/>
  <c r="S41" i="136"/>
  <c r="H43" i="136"/>
  <c r="J43" i="136"/>
  <c r="L43" i="136"/>
  <c r="N43" i="136"/>
  <c r="O43" i="136"/>
  <c r="R43" i="136"/>
  <c r="H44" i="136"/>
  <c r="J44" i="136"/>
  <c r="L44" i="136"/>
  <c r="O44" i="136"/>
  <c r="R44" i="136"/>
  <c r="S44" i="136"/>
  <c r="J45" i="136"/>
  <c r="L45" i="136"/>
  <c r="O45" i="136"/>
  <c r="R45" i="136"/>
  <c r="S45" i="136"/>
  <c r="H47" i="136"/>
  <c r="L47" i="136"/>
  <c r="N47" i="136"/>
  <c r="O47" i="136"/>
  <c r="R47" i="136"/>
  <c r="H48" i="136"/>
  <c r="J48" i="136"/>
  <c r="L48" i="136"/>
  <c r="O48" i="136"/>
  <c r="R48" i="136"/>
  <c r="S48" i="136"/>
  <c r="J49" i="136"/>
  <c r="L49" i="136"/>
  <c r="O49" i="136"/>
  <c r="R49" i="136"/>
  <c r="S49" i="136"/>
  <c r="H51" i="136"/>
  <c r="J51" i="136"/>
  <c r="L51" i="136"/>
  <c r="N51" i="136"/>
  <c r="O51" i="136"/>
  <c r="R51" i="136"/>
  <c r="H52" i="136"/>
  <c r="J52" i="136"/>
  <c r="L52" i="136"/>
  <c r="O52" i="136"/>
  <c r="R52" i="136"/>
  <c r="S52" i="136"/>
  <c r="J53" i="136"/>
  <c r="L53" i="136"/>
  <c r="O53" i="136"/>
  <c r="R53" i="136"/>
  <c r="S53" i="136"/>
  <c r="H55" i="136"/>
  <c r="J55" i="136"/>
  <c r="N55" i="136"/>
  <c r="O55" i="136"/>
  <c r="R55" i="136"/>
  <c r="H56" i="136"/>
  <c r="J56" i="136"/>
  <c r="O56" i="136"/>
  <c r="R56" i="136"/>
  <c r="S56" i="136"/>
  <c r="J57" i="136"/>
  <c r="L57" i="136"/>
  <c r="O57" i="136"/>
  <c r="R57" i="136"/>
  <c r="S57" i="136"/>
  <c r="F59" i="136"/>
  <c r="G59" i="136"/>
  <c r="J59" i="136"/>
  <c r="K59" i="136"/>
  <c r="L59" i="136"/>
  <c r="N59" i="136"/>
  <c r="O59" i="136"/>
  <c r="Q59" i="136"/>
  <c r="R59" i="136"/>
  <c r="S59" i="136"/>
  <c r="J62" i="136"/>
  <c r="L62" i="136"/>
  <c r="O62" i="136"/>
  <c r="R62" i="136"/>
  <c r="J63" i="136"/>
  <c r="L63" i="136"/>
  <c r="O63" i="136"/>
  <c r="R63" i="136"/>
  <c r="J64" i="136"/>
  <c r="L64" i="136"/>
  <c r="O64" i="136"/>
  <c r="R64" i="136"/>
  <c r="J65" i="136"/>
  <c r="L65" i="136"/>
  <c r="O65" i="136"/>
  <c r="R65" i="136"/>
  <c r="G67" i="136"/>
  <c r="J67" i="136"/>
  <c r="K67" i="136"/>
  <c r="L67" i="136"/>
  <c r="N67" i="136"/>
  <c r="O67" i="136"/>
  <c r="Q67" i="136"/>
  <c r="R67" i="136"/>
  <c r="L69" i="136"/>
  <c r="O69" i="136"/>
  <c r="R69" i="136"/>
  <c r="L72" i="136"/>
  <c r="O72" i="136"/>
  <c r="R72" i="136"/>
  <c r="L73" i="136"/>
  <c r="O73" i="136"/>
  <c r="R73" i="136"/>
  <c r="L74" i="136"/>
  <c r="O74" i="136"/>
  <c r="R74" i="136"/>
  <c r="B3" i="137"/>
  <c r="H6" i="137"/>
  <c r="J6" i="137"/>
  <c r="L6" i="137"/>
  <c r="N6" i="137"/>
  <c r="O6" i="137"/>
  <c r="R6" i="137"/>
  <c r="H7" i="137"/>
  <c r="J7" i="137"/>
  <c r="L7" i="137"/>
  <c r="O7" i="137"/>
  <c r="R7" i="137"/>
  <c r="S7" i="137"/>
  <c r="J8" i="137"/>
  <c r="L8" i="137"/>
  <c r="O8" i="137"/>
  <c r="R8" i="137"/>
  <c r="S8" i="137"/>
  <c r="H10" i="137"/>
  <c r="J10" i="137"/>
  <c r="L10" i="137"/>
  <c r="N10" i="137"/>
  <c r="O10" i="137"/>
  <c r="R10" i="137"/>
  <c r="O11" i="137"/>
  <c r="R11" i="137"/>
  <c r="H12" i="137"/>
  <c r="J12" i="137"/>
  <c r="L12" i="137"/>
  <c r="O12" i="137"/>
  <c r="R12" i="137"/>
  <c r="S12" i="137"/>
  <c r="J13" i="137"/>
  <c r="L13" i="137"/>
  <c r="O13" i="137"/>
  <c r="R13" i="137"/>
  <c r="S13" i="137"/>
  <c r="H15" i="137"/>
  <c r="J15" i="137"/>
  <c r="L15" i="137"/>
  <c r="N15" i="137"/>
  <c r="O15" i="137"/>
  <c r="R15" i="137"/>
  <c r="H16" i="137"/>
  <c r="J16" i="137"/>
  <c r="L16" i="137"/>
  <c r="O16" i="137"/>
  <c r="R16" i="137"/>
  <c r="S16" i="137"/>
  <c r="J17" i="137"/>
  <c r="L17" i="137"/>
  <c r="O17" i="137"/>
  <c r="R17" i="137"/>
  <c r="S17" i="137"/>
  <c r="H19" i="137"/>
  <c r="J19" i="137"/>
  <c r="L19" i="137"/>
  <c r="N19" i="137"/>
  <c r="O19" i="137"/>
  <c r="R19" i="137"/>
  <c r="O20" i="137"/>
  <c r="R20" i="137"/>
  <c r="O21" i="137"/>
  <c r="R21" i="137"/>
  <c r="H22" i="137"/>
  <c r="J22" i="137"/>
  <c r="L22" i="137"/>
  <c r="O22" i="137"/>
  <c r="R22" i="137"/>
  <c r="S22" i="137"/>
  <c r="J23" i="137"/>
  <c r="L23" i="137"/>
  <c r="O23" i="137"/>
  <c r="R23" i="137"/>
  <c r="S23" i="137"/>
  <c r="H25" i="137"/>
  <c r="J25" i="137"/>
  <c r="L25" i="137"/>
  <c r="N25" i="137"/>
  <c r="O25" i="137"/>
  <c r="R25" i="137"/>
  <c r="H26" i="137"/>
  <c r="J26" i="137"/>
  <c r="L26" i="137"/>
  <c r="O26" i="137"/>
  <c r="R26" i="137"/>
  <c r="S26" i="137"/>
  <c r="J27" i="137"/>
  <c r="L27" i="137"/>
  <c r="O27" i="137"/>
  <c r="R27" i="137"/>
  <c r="S27" i="137"/>
  <c r="H29" i="137"/>
  <c r="J29" i="137"/>
  <c r="L29" i="137"/>
  <c r="N29" i="137"/>
  <c r="O29" i="137"/>
  <c r="R29" i="137"/>
  <c r="H30" i="137"/>
  <c r="J30" i="137"/>
  <c r="L30" i="137"/>
  <c r="O30" i="137"/>
  <c r="R30" i="137"/>
  <c r="S30" i="137"/>
  <c r="J31" i="137"/>
  <c r="L31" i="137"/>
  <c r="O31" i="137"/>
  <c r="R31" i="137"/>
  <c r="S31" i="137"/>
  <c r="H33" i="137"/>
  <c r="J33" i="137"/>
  <c r="L33" i="137"/>
  <c r="N33" i="137"/>
  <c r="O33" i="137"/>
  <c r="R33" i="137"/>
  <c r="O34" i="137"/>
  <c r="R34" i="137"/>
  <c r="O35" i="137"/>
  <c r="R35" i="137"/>
  <c r="H36" i="137"/>
  <c r="J36" i="137"/>
  <c r="L36" i="137"/>
  <c r="O36" i="137"/>
  <c r="R36" i="137"/>
  <c r="S36" i="137"/>
  <c r="J37" i="137"/>
  <c r="L37" i="137"/>
  <c r="O37" i="137"/>
  <c r="R37" i="137"/>
  <c r="S37" i="137"/>
  <c r="H39" i="137"/>
  <c r="J39" i="137"/>
  <c r="L39" i="137"/>
  <c r="N39" i="137"/>
  <c r="O39" i="137"/>
  <c r="R39" i="137"/>
  <c r="H40" i="137"/>
  <c r="J40" i="137"/>
  <c r="L40" i="137"/>
  <c r="O40" i="137"/>
  <c r="R40" i="137"/>
  <c r="S40" i="137"/>
  <c r="J41" i="137"/>
  <c r="L41" i="137"/>
  <c r="O41" i="137"/>
  <c r="R41" i="137"/>
  <c r="S41" i="137"/>
  <c r="H43" i="137"/>
  <c r="J43" i="137"/>
  <c r="L43" i="137"/>
  <c r="N43" i="137"/>
  <c r="O43" i="137"/>
  <c r="R43" i="137"/>
  <c r="H44" i="137"/>
  <c r="J44" i="137"/>
  <c r="L44" i="137"/>
  <c r="O44" i="137"/>
  <c r="R44" i="137"/>
  <c r="S44" i="137"/>
  <c r="J45" i="137"/>
  <c r="L45" i="137"/>
  <c r="O45" i="137"/>
  <c r="R45" i="137"/>
  <c r="S45" i="137"/>
  <c r="H47" i="137"/>
  <c r="L47" i="137"/>
  <c r="N47" i="137"/>
  <c r="O47" i="137"/>
  <c r="R47" i="137"/>
  <c r="H48" i="137"/>
  <c r="J48" i="137"/>
  <c r="L48" i="137"/>
  <c r="O48" i="137"/>
  <c r="R48" i="137"/>
  <c r="S48" i="137"/>
  <c r="J49" i="137"/>
  <c r="L49" i="137"/>
  <c r="O49" i="137"/>
  <c r="R49" i="137"/>
  <c r="S49" i="137"/>
  <c r="H51" i="137"/>
  <c r="J51" i="137"/>
  <c r="L51" i="137"/>
  <c r="N51" i="137"/>
  <c r="O51" i="137"/>
  <c r="R51" i="137"/>
  <c r="H52" i="137"/>
  <c r="J52" i="137"/>
  <c r="L52" i="137"/>
  <c r="O52" i="137"/>
  <c r="R52" i="137"/>
  <c r="S52" i="137"/>
  <c r="J53" i="137"/>
  <c r="L53" i="137"/>
  <c r="O53" i="137"/>
  <c r="R53" i="137"/>
  <c r="S53" i="137"/>
  <c r="H55" i="137"/>
  <c r="J55" i="137"/>
  <c r="N55" i="137"/>
  <c r="O55" i="137"/>
  <c r="R55" i="137"/>
  <c r="H56" i="137"/>
  <c r="J56" i="137"/>
  <c r="O56" i="137"/>
  <c r="R56" i="137"/>
  <c r="S56" i="137"/>
  <c r="J57" i="137"/>
  <c r="L57" i="137"/>
  <c r="O57" i="137"/>
  <c r="R57" i="137"/>
  <c r="S57" i="137"/>
  <c r="F59" i="137"/>
  <c r="G59" i="137"/>
  <c r="J59" i="137"/>
  <c r="K59" i="137"/>
  <c r="L59" i="137"/>
  <c r="N59" i="137"/>
  <c r="O59" i="137"/>
  <c r="Q59" i="137"/>
  <c r="R59" i="137"/>
  <c r="S59" i="137"/>
  <c r="J62" i="137"/>
  <c r="L62" i="137"/>
  <c r="O62" i="137"/>
  <c r="R62" i="137"/>
  <c r="J63" i="137"/>
  <c r="L63" i="137"/>
  <c r="O63" i="137"/>
  <c r="R63" i="137"/>
  <c r="J64" i="137"/>
  <c r="L64" i="137"/>
  <c r="O64" i="137"/>
  <c r="R64" i="137"/>
  <c r="J65" i="137"/>
  <c r="L65" i="137"/>
  <c r="O65" i="137"/>
  <c r="R65" i="137"/>
  <c r="G67" i="137"/>
  <c r="J67" i="137"/>
  <c r="K67" i="137"/>
  <c r="L67" i="137"/>
  <c r="N67" i="137"/>
  <c r="O67" i="137"/>
  <c r="Q67" i="137"/>
  <c r="R67" i="137"/>
  <c r="L69" i="137"/>
  <c r="O69" i="137"/>
  <c r="R69" i="137"/>
  <c r="L72" i="137"/>
  <c r="O72" i="137"/>
  <c r="R72" i="137"/>
  <c r="L73" i="137"/>
  <c r="O73" i="137"/>
  <c r="R73" i="137"/>
  <c r="L74" i="137"/>
  <c r="O74" i="137"/>
  <c r="R74" i="137"/>
  <c r="B3" i="138"/>
  <c r="H6" i="138"/>
  <c r="J6" i="138"/>
  <c r="L6" i="138"/>
  <c r="N6" i="138"/>
  <c r="O6" i="138"/>
  <c r="R6" i="138"/>
  <c r="H7" i="138"/>
  <c r="J7" i="138"/>
  <c r="L7" i="138"/>
  <c r="O7" i="138"/>
  <c r="R7" i="138"/>
  <c r="S7" i="138"/>
  <c r="J8" i="138"/>
  <c r="L8" i="138"/>
  <c r="O8" i="138"/>
  <c r="R8" i="138"/>
  <c r="S8" i="138"/>
  <c r="H10" i="138"/>
  <c r="J10" i="138"/>
  <c r="L10" i="138"/>
  <c r="N10" i="138"/>
  <c r="O10" i="138"/>
  <c r="R10" i="138"/>
  <c r="O11" i="138"/>
  <c r="R11" i="138"/>
  <c r="H12" i="138"/>
  <c r="J12" i="138"/>
  <c r="L12" i="138"/>
  <c r="O12" i="138"/>
  <c r="R12" i="138"/>
  <c r="S12" i="138"/>
  <c r="J13" i="138"/>
  <c r="L13" i="138"/>
  <c r="O13" i="138"/>
  <c r="R13" i="138"/>
  <c r="S13" i="138"/>
  <c r="H15" i="138"/>
  <c r="J15" i="138"/>
  <c r="L15" i="138"/>
  <c r="N15" i="138"/>
  <c r="O15" i="138"/>
  <c r="R15" i="138"/>
  <c r="H16" i="138"/>
  <c r="J16" i="138"/>
  <c r="L16" i="138"/>
  <c r="O16" i="138"/>
  <c r="R16" i="138"/>
  <c r="S16" i="138"/>
  <c r="J17" i="138"/>
  <c r="L17" i="138"/>
  <c r="O17" i="138"/>
  <c r="R17" i="138"/>
  <c r="S17" i="138"/>
  <c r="H19" i="138"/>
  <c r="J19" i="138"/>
  <c r="L19" i="138"/>
  <c r="N19" i="138"/>
  <c r="O19" i="138"/>
  <c r="R19" i="138"/>
  <c r="O20" i="138"/>
  <c r="R20" i="138"/>
  <c r="O21" i="138"/>
  <c r="R21" i="138"/>
  <c r="H22" i="138"/>
  <c r="J22" i="138"/>
  <c r="L22" i="138"/>
  <c r="O22" i="138"/>
  <c r="R22" i="138"/>
  <c r="S22" i="138"/>
  <c r="J23" i="138"/>
  <c r="L23" i="138"/>
  <c r="O23" i="138"/>
  <c r="R23" i="138"/>
  <c r="S23" i="138"/>
  <c r="H25" i="138"/>
  <c r="J25" i="138"/>
  <c r="L25" i="138"/>
  <c r="N25" i="138"/>
  <c r="O25" i="138"/>
  <c r="R25" i="138"/>
  <c r="H26" i="138"/>
  <c r="J26" i="138"/>
  <c r="L26" i="138"/>
  <c r="O26" i="138"/>
  <c r="R26" i="138"/>
  <c r="S26" i="138"/>
  <c r="J27" i="138"/>
  <c r="L27" i="138"/>
  <c r="O27" i="138"/>
  <c r="R27" i="138"/>
  <c r="S27" i="138"/>
  <c r="H29" i="138"/>
  <c r="J29" i="138"/>
  <c r="L29" i="138"/>
  <c r="N29" i="138"/>
  <c r="O29" i="138"/>
  <c r="R29" i="138"/>
  <c r="H30" i="138"/>
  <c r="J30" i="138"/>
  <c r="L30" i="138"/>
  <c r="O30" i="138"/>
  <c r="R30" i="138"/>
  <c r="S30" i="138"/>
  <c r="J31" i="138"/>
  <c r="L31" i="138"/>
  <c r="O31" i="138"/>
  <c r="R31" i="138"/>
  <c r="S31" i="138"/>
  <c r="H33" i="138"/>
  <c r="J33" i="138"/>
  <c r="L33" i="138"/>
  <c r="N33" i="138"/>
  <c r="O33" i="138"/>
  <c r="R33" i="138"/>
  <c r="O34" i="138"/>
  <c r="R34" i="138"/>
  <c r="O35" i="138"/>
  <c r="R35" i="138"/>
  <c r="H36" i="138"/>
  <c r="J36" i="138"/>
  <c r="L36" i="138"/>
  <c r="O36" i="138"/>
  <c r="S36" i="138"/>
  <c r="J37" i="138"/>
  <c r="L37" i="138"/>
  <c r="O37" i="138"/>
  <c r="R37" i="138"/>
  <c r="S37" i="138"/>
  <c r="H39" i="138"/>
  <c r="J39" i="138"/>
  <c r="L39" i="138"/>
  <c r="N39" i="138"/>
  <c r="O39" i="138"/>
  <c r="R39" i="138"/>
  <c r="H40" i="138"/>
  <c r="J40" i="138"/>
  <c r="L40" i="138"/>
  <c r="O40" i="138"/>
  <c r="R40" i="138"/>
  <c r="S40" i="138"/>
  <c r="J41" i="138"/>
  <c r="L41" i="138"/>
  <c r="O41" i="138"/>
  <c r="R41" i="138"/>
  <c r="S41" i="138"/>
  <c r="H43" i="138"/>
  <c r="J43" i="138"/>
  <c r="L43" i="138"/>
  <c r="N43" i="138"/>
  <c r="O43" i="138"/>
  <c r="R43" i="138"/>
  <c r="H44" i="138"/>
  <c r="J44" i="138"/>
  <c r="L44" i="138"/>
  <c r="O44" i="138"/>
  <c r="S44" i="138"/>
  <c r="J45" i="138"/>
  <c r="L45" i="138"/>
  <c r="O45" i="138"/>
  <c r="R45" i="138"/>
  <c r="S45" i="138"/>
  <c r="H47" i="138"/>
  <c r="L47" i="138"/>
  <c r="N47" i="138"/>
  <c r="O47" i="138"/>
  <c r="R47" i="138"/>
  <c r="H48" i="138"/>
  <c r="J48" i="138"/>
  <c r="L48" i="138"/>
  <c r="O48" i="138"/>
  <c r="S48" i="138"/>
  <c r="J49" i="138"/>
  <c r="L49" i="138"/>
  <c r="O49" i="138"/>
  <c r="R49" i="138"/>
  <c r="S49" i="138"/>
  <c r="H51" i="138"/>
  <c r="J51" i="138"/>
  <c r="L51" i="138"/>
  <c r="N51" i="138"/>
  <c r="O51" i="138"/>
  <c r="R51" i="138"/>
  <c r="H52" i="138"/>
  <c r="J52" i="138"/>
  <c r="L52" i="138"/>
  <c r="O52" i="138"/>
  <c r="S52" i="138"/>
  <c r="J53" i="138"/>
  <c r="L53" i="138"/>
  <c r="O53" i="138"/>
  <c r="R53" i="138"/>
  <c r="S53" i="138"/>
  <c r="H55" i="138"/>
  <c r="J55" i="138"/>
  <c r="N55" i="138"/>
  <c r="O55" i="138"/>
  <c r="R55" i="138"/>
  <c r="H56" i="138"/>
  <c r="J56" i="138"/>
  <c r="O56" i="138"/>
  <c r="R56" i="138"/>
  <c r="S56" i="138"/>
  <c r="J57" i="138"/>
  <c r="L57" i="138"/>
  <c r="O57" i="138"/>
  <c r="R57" i="138"/>
  <c r="S57" i="138"/>
  <c r="F59" i="138"/>
  <c r="G59" i="138"/>
  <c r="J59" i="138"/>
  <c r="K59" i="138"/>
  <c r="L59" i="138"/>
  <c r="N59" i="138"/>
  <c r="O59" i="138"/>
  <c r="Q59" i="138"/>
  <c r="R59" i="138"/>
  <c r="S59" i="138"/>
  <c r="J62" i="138"/>
  <c r="L62" i="138"/>
  <c r="O62" i="138"/>
  <c r="R62" i="138"/>
  <c r="J63" i="138"/>
  <c r="L63" i="138"/>
  <c r="O63" i="138"/>
  <c r="R63" i="138"/>
  <c r="J64" i="138"/>
  <c r="L64" i="138"/>
  <c r="O64" i="138"/>
  <c r="R64" i="138"/>
  <c r="J65" i="138"/>
  <c r="L65" i="138"/>
  <c r="O65" i="138"/>
  <c r="R65" i="138"/>
  <c r="G67" i="138"/>
  <c r="J67" i="138"/>
  <c r="K67" i="138"/>
  <c r="L67" i="138"/>
  <c r="N67" i="138"/>
  <c r="O67" i="138"/>
  <c r="Q67" i="138"/>
  <c r="R67" i="138"/>
  <c r="L69" i="138"/>
  <c r="O69" i="138"/>
  <c r="R69" i="138"/>
  <c r="L72" i="138"/>
  <c r="O72" i="138"/>
  <c r="R72" i="138"/>
  <c r="L73" i="138"/>
  <c r="O73" i="138"/>
  <c r="R73" i="138"/>
  <c r="L74" i="138"/>
  <c r="O74" i="138"/>
  <c r="R74" i="138"/>
  <c r="B3" i="139"/>
  <c r="H6" i="139"/>
  <c r="J6" i="139"/>
  <c r="N6" i="139"/>
  <c r="O6" i="139"/>
  <c r="R6" i="139"/>
  <c r="H7" i="139"/>
  <c r="J7" i="139"/>
  <c r="L7" i="139"/>
  <c r="O7" i="139"/>
  <c r="R7" i="139"/>
  <c r="S7" i="139"/>
  <c r="J8" i="139"/>
  <c r="L8" i="139"/>
  <c r="O8" i="139"/>
  <c r="R8" i="139"/>
  <c r="S8" i="139"/>
  <c r="H10" i="139"/>
  <c r="J10" i="139"/>
  <c r="N10" i="139"/>
  <c r="O10" i="139"/>
  <c r="R10" i="139"/>
  <c r="O11" i="139"/>
  <c r="R11" i="139"/>
  <c r="H12" i="139"/>
  <c r="J12" i="139"/>
  <c r="L12" i="139"/>
  <c r="O12" i="139"/>
  <c r="R12" i="139"/>
  <c r="S12" i="139"/>
  <c r="J13" i="139"/>
  <c r="L13" i="139"/>
  <c r="O13" i="139"/>
  <c r="R13" i="139"/>
  <c r="S13" i="139"/>
  <c r="H15" i="139"/>
  <c r="J15" i="139"/>
  <c r="L15" i="139"/>
  <c r="N15" i="139"/>
  <c r="O15" i="139"/>
  <c r="R15" i="139"/>
  <c r="H16" i="139"/>
  <c r="J16" i="139"/>
  <c r="L16" i="139"/>
  <c r="O16" i="139"/>
  <c r="R16" i="139"/>
  <c r="S16" i="139"/>
  <c r="J17" i="139"/>
  <c r="L17" i="139"/>
  <c r="O17" i="139"/>
  <c r="R17" i="139"/>
  <c r="S17" i="139"/>
  <c r="H19" i="139"/>
  <c r="J19" i="139"/>
  <c r="L19" i="139"/>
  <c r="N19" i="139"/>
  <c r="O19" i="139"/>
  <c r="R19" i="139"/>
  <c r="O20" i="139"/>
  <c r="R20" i="139"/>
  <c r="O21" i="139"/>
  <c r="R21" i="139"/>
  <c r="O22" i="139"/>
  <c r="R22" i="139"/>
  <c r="H23" i="139"/>
  <c r="J23" i="139"/>
  <c r="L23" i="139"/>
  <c r="O23" i="139"/>
  <c r="R23" i="139"/>
  <c r="S23" i="139"/>
  <c r="J24" i="139"/>
  <c r="L24" i="139"/>
  <c r="O24" i="139"/>
  <c r="R24" i="139"/>
  <c r="S24" i="139"/>
  <c r="H26" i="139"/>
  <c r="J26" i="139"/>
  <c r="L26" i="139"/>
  <c r="N26" i="139"/>
  <c r="O26" i="139"/>
  <c r="R26" i="139"/>
  <c r="H27" i="139"/>
  <c r="J27" i="139"/>
  <c r="L27" i="139"/>
  <c r="O27" i="139"/>
  <c r="R27" i="139"/>
  <c r="S27" i="139"/>
  <c r="J28" i="139"/>
  <c r="L28" i="139"/>
  <c r="O28" i="139"/>
  <c r="R28" i="139"/>
  <c r="S28" i="139"/>
  <c r="H30" i="139"/>
  <c r="J30" i="139"/>
  <c r="N30" i="139"/>
  <c r="O30" i="139"/>
  <c r="R30" i="139"/>
  <c r="H31" i="139"/>
  <c r="J31" i="139"/>
  <c r="L31" i="139"/>
  <c r="O31" i="139"/>
  <c r="R31" i="139"/>
  <c r="S31" i="139"/>
  <c r="J32" i="139"/>
  <c r="L32" i="139"/>
  <c r="O32" i="139"/>
  <c r="R32" i="139"/>
  <c r="S32" i="139"/>
  <c r="H34" i="139"/>
  <c r="J34" i="139"/>
  <c r="L34" i="139"/>
  <c r="N34" i="139"/>
  <c r="O34" i="139"/>
  <c r="R34" i="139"/>
  <c r="O35" i="139"/>
  <c r="R35" i="139"/>
  <c r="O36" i="139"/>
  <c r="R36" i="139"/>
  <c r="O37" i="139"/>
  <c r="R37" i="139"/>
  <c r="H38" i="139"/>
  <c r="J38" i="139"/>
  <c r="L38" i="139"/>
  <c r="O38" i="139"/>
  <c r="R38" i="139"/>
  <c r="S38" i="139"/>
  <c r="J39" i="139"/>
  <c r="L39" i="139"/>
  <c r="O39" i="139"/>
  <c r="R39" i="139"/>
  <c r="S39" i="139"/>
  <c r="H41" i="139"/>
  <c r="J41" i="139"/>
  <c r="N41" i="139"/>
  <c r="O41" i="139"/>
  <c r="R41" i="139"/>
  <c r="H42" i="139"/>
  <c r="J42" i="139"/>
  <c r="L42" i="139"/>
  <c r="O42" i="139"/>
  <c r="R42" i="139"/>
  <c r="S42" i="139"/>
  <c r="J43" i="139"/>
  <c r="L43" i="139"/>
  <c r="O43" i="139"/>
  <c r="R43" i="139"/>
  <c r="S43" i="139"/>
  <c r="H45" i="139"/>
  <c r="J45" i="139"/>
  <c r="N45" i="139"/>
  <c r="O45" i="139"/>
  <c r="R45" i="139"/>
  <c r="H46" i="139"/>
  <c r="J46" i="139"/>
  <c r="L46" i="139"/>
  <c r="O46" i="139"/>
  <c r="R46" i="139"/>
  <c r="S46" i="139"/>
  <c r="J47" i="139"/>
  <c r="L47" i="139"/>
  <c r="O47" i="139"/>
  <c r="R47" i="139"/>
  <c r="S47" i="139"/>
  <c r="H49" i="139"/>
  <c r="N49" i="139"/>
  <c r="O49" i="139"/>
  <c r="R49" i="139"/>
  <c r="H50" i="139"/>
  <c r="J50" i="139"/>
  <c r="L50" i="139"/>
  <c r="O50" i="139"/>
  <c r="R50" i="139"/>
  <c r="S50" i="139"/>
  <c r="J51" i="139"/>
  <c r="L51" i="139"/>
  <c r="O51" i="139"/>
  <c r="R51" i="139"/>
  <c r="S51" i="139"/>
  <c r="H53" i="139"/>
  <c r="J53" i="139"/>
  <c r="N53" i="139"/>
  <c r="O53" i="139"/>
  <c r="R53" i="139"/>
  <c r="H54" i="139"/>
  <c r="J54" i="139"/>
  <c r="L54" i="139"/>
  <c r="O54" i="139"/>
  <c r="R54" i="139"/>
  <c r="S54" i="139"/>
  <c r="J55" i="139"/>
  <c r="L55" i="139"/>
  <c r="O55" i="139"/>
  <c r="R55" i="139"/>
  <c r="S55" i="139"/>
  <c r="H57" i="139"/>
  <c r="J57" i="139"/>
  <c r="N57" i="139"/>
  <c r="O57" i="139"/>
  <c r="R57" i="139"/>
  <c r="H58" i="139"/>
  <c r="J58" i="139"/>
  <c r="O58" i="139"/>
  <c r="R58" i="139"/>
  <c r="S58" i="139"/>
  <c r="J59" i="139"/>
  <c r="L59" i="139"/>
  <c r="O59" i="139"/>
  <c r="R59" i="139"/>
  <c r="S59" i="139"/>
  <c r="F61" i="139"/>
  <c r="G61" i="139"/>
  <c r="J61" i="139"/>
  <c r="K61" i="139"/>
  <c r="L61" i="139"/>
  <c r="N61" i="139"/>
  <c r="O61" i="139"/>
  <c r="Q61" i="139"/>
  <c r="R61" i="139"/>
  <c r="S61" i="139"/>
  <c r="J64" i="139"/>
  <c r="L64" i="139"/>
  <c r="O64" i="139"/>
  <c r="R64" i="139"/>
  <c r="J65" i="139"/>
  <c r="L65" i="139"/>
  <c r="O65" i="139"/>
  <c r="R65" i="139"/>
  <c r="J66" i="139"/>
  <c r="L66" i="139"/>
  <c r="O66" i="139"/>
  <c r="R66" i="139"/>
  <c r="J67" i="139"/>
  <c r="L67" i="139"/>
  <c r="O67" i="139"/>
  <c r="R67" i="139"/>
  <c r="G69" i="139"/>
  <c r="J69" i="139"/>
  <c r="K69" i="139"/>
  <c r="L69" i="139"/>
  <c r="N69" i="139"/>
  <c r="O69" i="139"/>
  <c r="Q69" i="139"/>
  <c r="R69" i="139"/>
  <c r="L71" i="139"/>
  <c r="O71" i="139"/>
  <c r="R71" i="139"/>
  <c r="L74" i="139"/>
  <c r="O74" i="139"/>
  <c r="R74" i="139"/>
  <c r="L75" i="139"/>
  <c r="O75" i="139"/>
  <c r="R75" i="139"/>
  <c r="L76" i="139"/>
  <c r="O76" i="139"/>
  <c r="R76" i="139"/>
  <c r="B3" i="123"/>
  <c r="H6" i="123"/>
  <c r="J6" i="123"/>
  <c r="L6" i="123"/>
  <c r="N6" i="123"/>
  <c r="O6" i="123"/>
  <c r="R6" i="123"/>
  <c r="H7" i="123"/>
  <c r="J7" i="123"/>
  <c r="L7" i="123"/>
  <c r="O7" i="123"/>
  <c r="R7" i="123"/>
  <c r="S7" i="123"/>
  <c r="J8" i="123"/>
  <c r="L8" i="123"/>
  <c r="O8" i="123"/>
  <c r="R8" i="123"/>
  <c r="S8" i="123"/>
  <c r="H10" i="123"/>
  <c r="J10" i="123"/>
  <c r="L10" i="123"/>
  <c r="N10" i="123"/>
  <c r="O10" i="123"/>
  <c r="R10" i="123"/>
  <c r="H11" i="123"/>
  <c r="J11" i="123"/>
  <c r="L11" i="123"/>
  <c r="O11" i="123"/>
  <c r="R11" i="123"/>
  <c r="S11" i="123"/>
  <c r="J12" i="123"/>
  <c r="L12" i="123"/>
  <c r="O12" i="123"/>
  <c r="R12" i="123"/>
  <c r="S12" i="123"/>
  <c r="H14" i="123"/>
  <c r="J14" i="123"/>
  <c r="L14" i="123"/>
  <c r="N14" i="123"/>
  <c r="O14" i="123"/>
  <c r="R14" i="123"/>
  <c r="H15" i="123"/>
  <c r="J15" i="123"/>
  <c r="L15" i="123"/>
  <c r="O15" i="123"/>
  <c r="R15" i="123"/>
  <c r="S15" i="123"/>
  <c r="J16" i="123"/>
  <c r="L16" i="123"/>
  <c r="O16" i="123"/>
  <c r="R16" i="123"/>
  <c r="S16" i="123"/>
  <c r="H18" i="123"/>
  <c r="J18" i="123"/>
  <c r="L18" i="123"/>
  <c r="N18" i="123"/>
  <c r="O18" i="123"/>
  <c r="R18" i="123"/>
  <c r="H20" i="123"/>
  <c r="J20" i="123"/>
  <c r="L20" i="123"/>
  <c r="O20" i="123"/>
  <c r="R20" i="123"/>
  <c r="S20" i="123"/>
  <c r="J21" i="123"/>
  <c r="L21" i="123"/>
  <c r="O21" i="123"/>
  <c r="R21" i="123"/>
  <c r="S21" i="123"/>
  <c r="H23" i="123"/>
  <c r="J23" i="123"/>
  <c r="L23" i="123"/>
  <c r="N23" i="123"/>
  <c r="O23" i="123"/>
  <c r="R23" i="123"/>
  <c r="H24" i="123"/>
  <c r="J24" i="123"/>
  <c r="L24" i="123"/>
  <c r="O24" i="123"/>
  <c r="R24" i="123"/>
  <c r="S24" i="123"/>
  <c r="J25" i="123"/>
  <c r="L25" i="123"/>
  <c r="O25" i="123"/>
  <c r="R25" i="123"/>
  <c r="S25" i="123"/>
  <c r="H27" i="123"/>
  <c r="J27" i="123"/>
  <c r="L27" i="123"/>
  <c r="N27" i="123"/>
  <c r="O27" i="123"/>
  <c r="R27" i="123"/>
  <c r="H28" i="123"/>
  <c r="J28" i="123"/>
  <c r="L28" i="123"/>
  <c r="O28" i="123"/>
  <c r="R28" i="123"/>
  <c r="S28" i="123"/>
  <c r="J29" i="123"/>
  <c r="L29" i="123"/>
  <c r="O29" i="123"/>
  <c r="R29" i="123"/>
  <c r="S29" i="123"/>
  <c r="H31" i="123"/>
  <c r="J31" i="123"/>
  <c r="L31" i="123"/>
  <c r="N31" i="123"/>
  <c r="O31" i="123"/>
  <c r="R31" i="123"/>
  <c r="H33" i="123"/>
  <c r="J33" i="123"/>
  <c r="L33" i="123"/>
  <c r="O33" i="123"/>
  <c r="R33" i="123"/>
  <c r="S33" i="123"/>
  <c r="J34" i="123"/>
  <c r="L34" i="123"/>
  <c r="O34" i="123"/>
  <c r="R34" i="123"/>
  <c r="S34" i="123"/>
  <c r="H36" i="123"/>
  <c r="J36" i="123"/>
  <c r="L36" i="123"/>
  <c r="N36" i="123"/>
  <c r="O36" i="123"/>
  <c r="R36" i="123"/>
  <c r="H37" i="123"/>
  <c r="J37" i="123"/>
  <c r="L37" i="123"/>
  <c r="O37" i="123"/>
  <c r="R37" i="123"/>
  <c r="S37" i="123"/>
  <c r="J38" i="123"/>
  <c r="L38" i="123"/>
  <c r="O38" i="123"/>
  <c r="R38" i="123"/>
  <c r="S38" i="123"/>
  <c r="H40" i="123"/>
  <c r="J40" i="123"/>
  <c r="L40" i="123"/>
  <c r="N40" i="123"/>
  <c r="O40" i="123"/>
  <c r="R40" i="123"/>
  <c r="H41" i="123"/>
  <c r="J41" i="123"/>
  <c r="L41" i="123"/>
  <c r="O41" i="123"/>
  <c r="R41" i="123"/>
  <c r="S41" i="123"/>
  <c r="J42" i="123"/>
  <c r="L42" i="123"/>
  <c r="O42" i="123"/>
  <c r="R42" i="123"/>
  <c r="S42" i="123"/>
  <c r="H44" i="123"/>
  <c r="L44" i="123"/>
  <c r="N44" i="123"/>
  <c r="O44" i="123"/>
  <c r="R44" i="123"/>
  <c r="H45" i="123"/>
  <c r="J45" i="123"/>
  <c r="L45" i="123"/>
  <c r="O45" i="123"/>
  <c r="R45" i="123"/>
  <c r="S45" i="123"/>
  <c r="J46" i="123"/>
  <c r="L46" i="123"/>
  <c r="O46" i="123"/>
  <c r="R46" i="123"/>
  <c r="S46" i="123"/>
  <c r="H48" i="123"/>
  <c r="J48" i="123"/>
  <c r="L48" i="123"/>
  <c r="N48" i="123"/>
  <c r="O48" i="123"/>
  <c r="R48" i="123"/>
  <c r="H49" i="123"/>
  <c r="J49" i="123"/>
  <c r="L49" i="123"/>
  <c r="O49" i="123"/>
  <c r="R49" i="123"/>
  <c r="S49" i="123"/>
  <c r="J50" i="123"/>
  <c r="L50" i="123"/>
  <c r="O50" i="123"/>
  <c r="R50" i="123"/>
  <c r="S50" i="123"/>
  <c r="H52" i="123"/>
  <c r="J52" i="123"/>
  <c r="L52" i="123"/>
  <c r="N52" i="123"/>
  <c r="O52" i="123"/>
  <c r="R52" i="123"/>
  <c r="H53" i="123"/>
  <c r="J53" i="123"/>
  <c r="L53" i="123"/>
  <c r="O53" i="123"/>
  <c r="R53" i="123"/>
  <c r="S53" i="123"/>
  <c r="J54" i="123"/>
  <c r="L54" i="123"/>
  <c r="O54" i="123"/>
  <c r="R54" i="123"/>
  <c r="S54" i="123"/>
  <c r="F56" i="123"/>
  <c r="G56" i="123"/>
  <c r="J56" i="123"/>
  <c r="K56" i="123"/>
  <c r="L56" i="123"/>
  <c r="N56" i="123"/>
  <c r="O56" i="123"/>
  <c r="Q56" i="123"/>
  <c r="R56" i="123"/>
  <c r="S56" i="123"/>
  <c r="J59" i="123"/>
  <c r="L59" i="123"/>
  <c r="O59" i="123"/>
  <c r="R59" i="123"/>
  <c r="J60" i="123"/>
  <c r="L60" i="123"/>
  <c r="O60" i="123"/>
  <c r="R60" i="123"/>
  <c r="J61" i="123"/>
  <c r="L61" i="123"/>
  <c r="O61" i="123"/>
  <c r="R61" i="123"/>
  <c r="J62" i="123"/>
  <c r="L62" i="123"/>
  <c r="O62" i="123"/>
  <c r="R62" i="123"/>
  <c r="G64" i="123"/>
  <c r="J64" i="123"/>
  <c r="K64" i="123"/>
  <c r="L64" i="123"/>
  <c r="N64" i="123"/>
  <c r="O64" i="123"/>
  <c r="Q64" i="123"/>
  <c r="R64" i="123"/>
  <c r="L66" i="123"/>
  <c r="O66" i="123"/>
  <c r="R66" i="123"/>
  <c r="L68" i="123"/>
  <c r="O68" i="123"/>
  <c r="R68" i="123"/>
  <c r="L69" i="123"/>
  <c r="O69" i="123"/>
  <c r="R69" i="123"/>
  <c r="L70" i="123"/>
  <c r="O70" i="123"/>
  <c r="R70" i="123"/>
  <c r="B3" i="124"/>
  <c r="H6" i="124"/>
  <c r="J6" i="124"/>
  <c r="L6" i="124"/>
  <c r="N6" i="124"/>
  <c r="O6" i="124"/>
  <c r="R6" i="124"/>
  <c r="H7" i="124"/>
  <c r="J7" i="124"/>
  <c r="L7" i="124"/>
  <c r="O7" i="124"/>
  <c r="R7" i="124"/>
  <c r="S7" i="124"/>
  <c r="J8" i="124"/>
  <c r="L8" i="124"/>
  <c r="O8" i="124"/>
  <c r="R8" i="124"/>
  <c r="S8" i="124"/>
  <c r="H10" i="124"/>
  <c r="J10" i="124"/>
  <c r="L10" i="124"/>
  <c r="N10" i="124"/>
  <c r="O10" i="124"/>
  <c r="R10" i="124"/>
  <c r="H11" i="124"/>
  <c r="J11" i="124"/>
  <c r="O11" i="124"/>
  <c r="R11" i="124"/>
  <c r="S11" i="124"/>
  <c r="J12" i="124"/>
  <c r="L12" i="124"/>
  <c r="O12" i="124"/>
  <c r="R12" i="124"/>
  <c r="S12" i="124"/>
  <c r="H14" i="124"/>
  <c r="J14" i="124"/>
  <c r="L14" i="124"/>
  <c r="N14" i="124"/>
  <c r="O14" i="124"/>
  <c r="R14" i="124"/>
  <c r="H15" i="124"/>
  <c r="J15" i="124"/>
  <c r="L15" i="124"/>
  <c r="O15" i="124"/>
  <c r="R15" i="124"/>
  <c r="S15" i="124"/>
  <c r="J16" i="124"/>
  <c r="L16" i="124"/>
  <c r="O16" i="124"/>
  <c r="R16" i="124"/>
  <c r="S16" i="124"/>
  <c r="H18" i="124"/>
  <c r="J18" i="124"/>
  <c r="N18" i="124"/>
  <c r="O18" i="124"/>
  <c r="R18" i="124"/>
  <c r="O19" i="124"/>
  <c r="R19" i="124"/>
  <c r="H20" i="124"/>
  <c r="J20" i="124"/>
  <c r="L20" i="124"/>
  <c r="O20" i="124"/>
  <c r="R20" i="124"/>
  <c r="S20" i="124"/>
  <c r="J21" i="124"/>
  <c r="L21" i="124"/>
  <c r="O21" i="124"/>
  <c r="R21" i="124"/>
  <c r="S21" i="124"/>
  <c r="H23" i="124"/>
  <c r="J23" i="124"/>
  <c r="L23" i="124"/>
  <c r="N23" i="124"/>
  <c r="O23" i="124"/>
  <c r="R23" i="124"/>
  <c r="H24" i="124"/>
  <c r="J24" i="124"/>
  <c r="L24" i="124"/>
  <c r="O24" i="124"/>
  <c r="R24" i="124"/>
  <c r="S24" i="124"/>
  <c r="J25" i="124"/>
  <c r="L25" i="124"/>
  <c r="O25" i="124"/>
  <c r="R25" i="124"/>
  <c r="S25" i="124"/>
  <c r="H27" i="124"/>
  <c r="J27" i="124"/>
  <c r="L27" i="124"/>
  <c r="N27" i="124"/>
  <c r="O27" i="124"/>
  <c r="R27" i="124"/>
  <c r="H28" i="124"/>
  <c r="J28" i="124"/>
  <c r="L28" i="124"/>
  <c r="O28" i="124"/>
  <c r="R28" i="124"/>
  <c r="S28" i="124"/>
  <c r="J29" i="124"/>
  <c r="L29" i="124"/>
  <c r="O29" i="124"/>
  <c r="R29" i="124"/>
  <c r="S29" i="124"/>
  <c r="H31" i="124"/>
  <c r="J31" i="124"/>
  <c r="N31" i="124"/>
  <c r="O31" i="124"/>
  <c r="R31" i="124"/>
  <c r="O32" i="124"/>
  <c r="R32" i="124"/>
  <c r="H33" i="124"/>
  <c r="J33" i="124"/>
  <c r="O33" i="124"/>
  <c r="R33" i="124"/>
  <c r="S33" i="124"/>
  <c r="J34" i="124"/>
  <c r="L34" i="124"/>
  <c r="O34" i="124"/>
  <c r="R34" i="124"/>
  <c r="S34" i="124"/>
  <c r="H36" i="124"/>
  <c r="J36" i="124"/>
  <c r="L36" i="124"/>
  <c r="N36" i="124"/>
  <c r="O36" i="124"/>
  <c r="R36" i="124"/>
  <c r="H37" i="124"/>
  <c r="J37" i="124"/>
  <c r="O37" i="124"/>
  <c r="R37" i="124"/>
  <c r="S37" i="124"/>
  <c r="J38" i="124"/>
  <c r="L38" i="124"/>
  <c r="O38" i="124"/>
  <c r="R38" i="124"/>
  <c r="S38" i="124"/>
  <c r="H40" i="124"/>
  <c r="J40" i="124"/>
  <c r="L40" i="124"/>
  <c r="N40" i="124"/>
  <c r="O40" i="124"/>
  <c r="R40" i="124"/>
  <c r="H41" i="124"/>
  <c r="J41" i="124"/>
  <c r="L41" i="124"/>
  <c r="O41" i="124"/>
  <c r="R41" i="124"/>
  <c r="S41" i="124"/>
  <c r="J42" i="124"/>
  <c r="L42" i="124"/>
  <c r="O42" i="124"/>
  <c r="R42" i="124"/>
  <c r="S42" i="124"/>
  <c r="H44" i="124"/>
  <c r="L44" i="124"/>
  <c r="N44" i="124"/>
  <c r="O44" i="124"/>
  <c r="R44" i="124"/>
  <c r="H45" i="124"/>
  <c r="J45" i="124"/>
  <c r="L45" i="124"/>
  <c r="O45" i="124"/>
  <c r="R45" i="124"/>
  <c r="S45" i="124"/>
  <c r="J46" i="124"/>
  <c r="L46" i="124"/>
  <c r="O46" i="124"/>
  <c r="R46" i="124"/>
  <c r="S46" i="124"/>
  <c r="H48" i="124"/>
  <c r="J48" i="124"/>
  <c r="L48" i="124"/>
  <c r="N48" i="124"/>
  <c r="O48" i="124"/>
  <c r="R48" i="124"/>
  <c r="H49" i="124"/>
  <c r="J49" i="124"/>
  <c r="L49" i="124"/>
  <c r="O49" i="124"/>
  <c r="R49" i="124"/>
  <c r="S49" i="124"/>
  <c r="J50" i="124"/>
  <c r="L50" i="124"/>
  <c r="O50" i="124"/>
  <c r="R50" i="124"/>
  <c r="S50" i="124"/>
  <c r="H52" i="124"/>
  <c r="J52" i="124"/>
  <c r="L52" i="124"/>
  <c r="N52" i="124"/>
  <c r="O52" i="124"/>
  <c r="R52" i="124"/>
  <c r="H53" i="124"/>
  <c r="J53" i="124"/>
  <c r="L53" i="124"/>
  <c r="O53" i="124"/>
  <c r="R53" i="124"/>
  <c r="S53" i="124"/>
  <c r="J54" i="124"/>
  <c r="L54" i="124"/>
  <c r="O54" i="124"/>
  <c r="R54" i="124"/>
  <c r="S54" i="124"/>
  <c r="F56" i="124"/>
  <c r="G56" i="124"/>
  <c r="J56" i="124"/>
  <c r="K56" i="124"/>
  <c r="L56" i="124"/>
  <c r="N56" i="124"/>
  <c r="O56" i="124"/>
  <c r="Q56" i="124"/>
  <c r="R56" i="124"/>
  <c r="S56" i="124"/>
  <c r="J59" i="124"/>
  <c r="L59" i="124"/>
  <c r="O59" i="124"/>
  <c r="R59" i="124"/>
  <c r="J60" i="124"/>
  <c r="L60" i="124"/>
  <c r="O60" i="124"/>
  <c r="R60" i="124"/>
  <c r="J61" i="124"/>
  <c r="L61" i="124"/>
  <c r="O61" i="124"/>
  <c r="R61" i="124"/>
  <c r="J62" i="124"/>
  <c r="L62" i="124"/>
  <c r="O62" i="124"/>
  <c r="R62" i="124"/>
  <c r="G64" i="124"/>
  <c r="J64" i="124"/>
  <c r="K64" i="124"/>
  <c r="L64" i="124"/>
  <c r="N64" i="124"/>
  <c r="O64" i="124"/>
  <c r="Q64" i="124"/>
  <c r="R64" i="124"/>
  <c r="L66" i="124"/>
  <c r="O66" i="124"/>
  <c r="R66" i="124"/>
  <c r="L69" i="124"/>
  <c r="O69" i="124"/>
  <c r="R69" i="124"/>
  <c r="L70" i="124"/>
  <c r="O70" i="124"/>
  <c r="R70" i="124"/>
  <c r="L71" i="124"/>
  <c r="O71" i="124"/>
  <c r="R71" i="124"/>
  <c r="B3" i="125"/>
  <c r="H6" i="125"/>
  <c r="J6" i="125"/>
  <c r="L6" i="125"/>
  <c r="N6" i="125"/>
  <c r="O6" i="125"/>
  <c r="R6" i="125"/>
  <c r="H7" i="125"/>
  <c r="J7" i="125"/>
  <c r="O7" i="125"/>
  <c r="R7" i="125"/>
  <c r="S7" i="125"/>
  <c r="J8" i="125"/>
  <c r="L8" i="125"/>
  <c r="O8" i="125"/>
  <c r="R8" i="125"/>
  <c r="S8" i="125"/>
  <c r="H10" i="125"/>
  <c r="J10" i="125"/>
  <c r="L10" i="125"/>
  <c r="N10" i="125"/>
  <c r="O10" i="125"/>
  <c r="R10" i="125"/>
  <c r="H11" i="125"/>
  <c r="J11" i="125"/>
  <c r="L11" i="125"/>
  <c r="O11" i="125"/>
  <c r="R11" i="125"/>
  <c r="S11" i="125"/>
  <c r="J12" i="125"/>
  <c r="L12" i="125"/>
  <c r="O12" i="125"/>
  <c r="R12" i="125"/>
  <c r="S12" i="125"/>
  <c r="H14" i="125"/>
  <c r="J14" i="125"/>
  <c r="L14" i="125"/>
  <c r="N14" i="125"/>
  <c r="O14" i="125"/>
  <c r="R14" i="125"/>
  <c r="H15" i="125"/>
  <c r="J15" i="125"/>
  <c r="O15" i="125"/>
  <c r="R15" i="125"/>
  <c r="S15" i="125"/>
  <c r="J16" i="125"/>
  <c r="L16" i="125"/>
  <c r="O16" i="125"/>
  <c r="R16" i="125"/>
  <c r="S16" i="125"/>
  <c r="H18" i="125"/>
  <c r="J18" i="125"/>
  <c r="L18" i="125"/>
  <c r="N18" i="125"/>
  <c r="O18" i="125"/>
  <c r="R18" i="125"/>
  <c r="H19" i="125"/>
  <c r="J19" i="125"/>
  <c r="O19" i="125"/>
  <c r="R19" i="125"/>
  <c r="S19" i="125"/>
  <c r="J20" i="125"/>
  <c r="L20" i="125"/>
  <c r="O20" i="125"/>
  <c r="R20" i="125"/>
  <c r="S20" i="125"/>
  <c r="H22" i="125"/>
  <c r="J22" i="125"/>
  <c r="L22" i="125"/>
  <c r="N22" i="125"/>
  <c r="O22" i="125"/>
  <c r="R22" i="125"/>
  <c r="H23" i="125"/>
  <c r="J23" i="125"/>
  <c r="O23" i="125"/>
  <c r="R23" i="125"/>
  <c r="S23" i="125"/>
  <c r="J24" i="125"/>
  <c r="L24" i="125"/>
  <c r="O24" i="125"/>
  <c r="R24" i="125"/>
  <c r="S24" i="125"/>
  <c r="H26" i="125"/>
  <c r="J26" i="125"/>
  <c r="L26" i="125"/>
  <c r="N26" i="125"/>
  <c r="O26" i="125"/>
  <c r="R26" i="125"/>
  <c r="H27" i="125"/>
  <c r="J27" i="125"/>
  <c r="O27" i="125"/>
  <c r="R27" i="125"/>
  <c r="S27" i="125"/>
  <c r="J28" i="125"/>
  <c r="L28" i="125"/>
  <c r="O28" i="125"/>
  <c r="R28" i="125"/>
  <c r="S28" i="125"/>
  <c r="H30" i="125"/>
  <c r="J30" i="125"/>
  <c r="L30" i="125"/>
  <c r="N30" i="125"/>
  <c r="O30" i="125"/>
  <c r="R30" i="125"/>
  <c r="H31" i="125"/>
  <c r="J31" i="125"/>
  <c r="O31" i="125"/>
  <c r="R31" i="125"/>
  <c r="S31" i="125"/>
  <c r="J32" i="125"/>
  <c r="L32" i="125"/>
  <c r="O32" i="125"/>
  <c r="R32" i="125"/>
  <c r="S32" i="125"/>
  <c r="H34" i="125"/>
  <c r="J34" i="125"/>
  <c r="L34" i="125"/>
  <c r="N34" i="125"/>
  <c r="O34" i="125"/>
  <c r="R34" i="125"/>
  <c r="H35" i="125"/>
  <c r="J35" i="125"/>
  <c r="L35" i="125"/>
  <c r="O35" i="125"/>
  <c r="R35" i="125"/>
  <c r="S35" i="125"/>
  <c r="J36" i="125"/>
  <c r="L36" i="125"/>
  <c r="O36" i="125"/>
  <c r="R36" i="125"/>
  <c r="S36" i="125"/>
  <c r="H38" i="125"/>
  <c r="J38" i="125"/>
  <c r="L38" i="125"/>
  <c r="N38" i="125"/>
  <c r="O38" i="125"/>
  <c r="R38" i="125"/>
  <c r="H39" i="125"/>
  <c r="J39" i="125"/>
  <c r="L39" i="125"/>
  <c r="O39" i="125"/>
  <c r="R39" i="125"/>
  <c r="S39" i="125"/>
  <c r="J40" i="125"/>
  <c r="L40" i="125"/>
  <c r="O40" i="125"/>
  <c r="R40" i="125"/>
  <c r="S40" i="125"/>
  <c r="H42" i="125"/>
  <c r="L42" i="125"/>
  <c r="N42" i="125"/>
  <c r="O42" i="125"/>
  <c r="R42" i="125"/>
  <c r="H43" i="125"/>
  <c r="J43" i="125"/>
  <c r="O43" i="125"/>
  <c r="R43" i="125"/>
  <c r="S43" i="125"/>
  <c r="J44" i="125"/>
  <c r="L44" i="125"/>
  <c r="O44" i="125"/>
  <c r="R44" i="125"/>
  <c r="S44" i="125"/>
  <c r="H46" i="125"/>
  <c r="J46" i="125"/>
  <c r="L46" i="125"/>
  <c r="N46" i="125"/>
  <c r="O46" i="125"/>
  <c r="R46" i="125"/>
  <c r="H47" i="125"/>
  <c r="J47" i="125"/>
  <c r="L47" i="125"/>
  <c r="O47" i="125"/>
  <c r="R47" i="125"/>
  <c r="S47" i="125"/>
  <c r="J48" i="125"/>
  <c r="L48" i="125"/>
  <c r="O48" i="125"/>
  <c r="R48" i="125"/>
  <c r="S48" i="125"/>
  <c r="H50" i="125"/>
  <c r="J50" i="125"/>
  <c r="L50" i="125"/>
  <c r="N50" i="125"/>
  <c r="O50" i="125"/>
  <c r="R50" i="125"/>
  <c r="H51" i="125"/>
  <c r="J51" i="125"/>
  <c r="O51" i="125"/>
  <c r="R51" i="125"/>
  <c r="S51" i="125"/>
  <c r="J52" i="125"/>
  <c r="L52" i="125"/>
  <c r="O52" i="125"/>
  <c r="R52" i="125"/>
  <c r="S52" i="125"/>
  <c r="F54" i="125"/>
  <c r="G54" i="125"/>
  <c r="J54" i="125"/>
  <c r="K54" i="125"/>
  <c r="L54" i="125"/>
  <c r="N54" i="125"/>
  <c r="O54" i="125"/>
  <c r="Q54" i="125"/>
  <c r="R54" i="125"/>
  <c r="S54" i="125"/>
  <c r="J57" i="125"/>
  <c r="L57" i="125"/>
  <c r="O57" i="125"/>
  <c r="R57" i="125"/>
  <c r="J58" i="125"/>
  <c r="L58" i="125"/>
  <c r="O58" i="125"/>
  <c r="R58" i="125"/>
  <c r="J59" i="125"/>
  <c r="L59" i="125"/>
  <c r="O59" i="125"/>
  <c r="R59" i="125"/>
  <c r="J60" i="125"/>
  <c r="L60" i="125"/>
  <c r="O60" i="125"/>
  <c r="R60" i="125"/>
  <c r="G62" i="125"/>
  <c r="J62" i="125"/>
  <c r="K62" i="125"/>
  <c r="L62" i="125"/>
  <c r="N62" i="125"/>
  <c r="O62" i="125"/>
  <c r="Q62" i="125"/>
  <c r="R62" i="125"/>
  <c r="L64" i="125"/>
  <c r="O64" i="125"/>
  <c r="R64" i="125"/>
  <c r="L67" i="125"/>
  <c r="O67" i="125"/>
  <c r="R67" i="125"/>
  <c r="L68" i="125"/>
  <c r="O68" i="125"/>
  <c r="R68" i="125"/>
  <c r="L69" i="125"/>
  <c r="O69" i="125"/>
  <c r="R69" i="125"/>
  <c r="B3" i="126"/>
  <c r="H6" i="126"/>
  <c r="J6" i="126"/>
  <c r="N6" i="126"/>
  <c r="O6" i="126"/>
  <c r="R6" i="126"/>
  <c r="H7" i="126"/>
  <c r="J7" i="126"/>
  <c r="O7" i="126"/>
  <c r="R7" i="126"/>
  <c r="S7" i="126"/>
  <c r="J8" i="126"/>
  <c r="L8" i="126"/>
  <c r="O8" i="126"/>
  <c r="R8" i="126"/>
  <c r="S8" i="126"/>
  <c r="H10" i="126"/>
  <c r="J10" i="126"/>
  <c r="L10" i="126"/>
  <c r="N10" i="126"/>
  <c r="O10" i="126"/>
  <c r="R10" i="126"/>
  <c r="H11" i="126"/>
  <c r="J11" i="126"/>
  <c r="L11" i="126"/>
  <c r="O11" i="126"/>
  <c r="R11" i="126"/>
  <c r="S11" i="126"/>
  <c r="J12" i="126"/>
  <c r="L12" i="126"/>
  <c r="O12" i="126"/>
  <c r="R12" i="126"/>
  <c r="S12" i="126"/>
  <c r="H14" i="126"/>
  <c r="J14" i="126"/>
  <c r="N14" i="126"/>
  <c r="O14" i="126"/>
  <c r="R14" i="126"/>
  <c r="H15" i="126"/>
  <c r="J15" i="126"/>
  <c r="L15" i="126"/>
  <c r="O15" i="126"/>
  <c r="R15" i="126"/>
  <c r="S15" i="126"/>
  <c r="J16" i="126"/>
  <c r="L16" i="126"/>
  <c r="O16" i="126"/>
  <c r="R16" i="126"/>
  <c r="S16" i="126"/>
  <c r="H18" i="126"/>
  <c r="J18" i="126"/>
  <c r="N18" i="126"/>
  <c r="O18" i="126"/>
  <c r="R18" i="126"/>
  <c r="H20" i="126"/>
  <c r="J20" i="126"/>
  <c r="L20" i="126"/>
  <c r="O20" i="126"/>
  <c r="R20" i="126"/>
  <c r="S20" i="126"/>
  <c r="J21" i="126"/>
  <c r="L21" i="126"/>
  <c r="O21" i="126"/>
  <c r="R21" i="126"/>
  <c r="S21" i="126"/>
  <c r="H23" i="126"/>
  <c r="J23" i="126"/>
  <c r="L23" i="126"/>
  <c r="N23" i="126"/>
  <c r="O23" i="126"/>
  <c r="R23" i="126"/>
  <c r="H24" i="126"/>
  <c r="J24" i="126"/>
  <c r="L24" i="126"/>
  <c r="O24" i="126"/>
  <c r="R24" i="126"/>
  <c r="S24" i="126"/>
  <c r="J25" i="126"/>
  <c r="L25" i="126"/>
  <c r="O25" i="126"/>
  <c r="R25" i="126"/>
  <c r="S25" i="126"/>
  <c r="H27" i="126"/>
  <c r="J27" i="126"/>
  <c r="L27" i="126"/>
  <c r="N27" i="126"/>
  <c r="O27" i="126"/>
  <c r="R27" i="126"/>
  <c r="H28" i="126"/>
  <c r="J28" i="126"/>
  <c r="L28" i="126"/>
  <c r="O28" i="126"/>
  <c r="R28" i="126"/>
  <c r="S28" i="126"/>
  <c r="J29" i="126"/>
  <c r="L29" i="126"/>
  <c r="O29" i="126"/>
  <c r="R29" i="126"/>
  <c r="S29" i="126"/>
  <c r="H31" i="126"/>
  <c r="J31" i="126"/>
  <c r="N31" i="126"/>
  <c r="O31" i="126"/>
  <c r="R31" i="126"/>
  <c r="H32" i="126"/>
  <c r="J32" i="126"/>
  <c r="L32" i="126"/>
  <c r="O32" i="126"/>
  <c r="R32" i="126"/>
  <c r="S32" i="126"/>
  <c r="J33" i="126"/>
  <c r="L33" i="126"/>
  <c r="O33" i="126"/>
  <c r="R33" i="126"/>
  <c r="S33" i="126"/>
  <c r="H35" i="126"/>
  <c r="J35" i="126"/>
  <c r="L35" i="126"/>
  <c r="N35" i="126"/>
  <c r="O35" i="126"/>
  <c r="R35" i="126"/>
  <c r="H36" i="126"/>
  <c r="J36" i="126"/>
  <c r="L36" i="126"/>
  <c r="O36" i="126"/>
  <c r="R36" i="126"/>
  <c r="S36" i="126"/>
  <c r="J37" i="126"/>
  <c r="L37" i="126"/>
  <c r="O37" i="126"/>
  <c r="R37" i="126"/>
  <c r="S37" i="126"/>
  <c r="H39" i="126"/>
  <c r="J39" i="126"/>
  <c r="N39" i="126"/>
  <c r="O39" i="126"/>
  <c r="R39" i="126"/>
  <c r="H40" i="126"/>
  <c r="J40" i="126"/>
  <c r="L40" i="126"/>
  <c r="O40" i="126"/>
  <c r="R40" i="126"/>
  <c r="S40" i="126"/>
  <c r="J41" i="126"/>
  <c r="L41" i="126"/>
  <c r="O41" i="126"/>
  <c r="R41" i="126"/>
  <c r="S41" i="126"/>
  <c r="H43" i="126"/>
  <c r="N43" i="126"/>
  <c r="O43" i="126"/>
  <c r="R43" i="126"/>
  <c r="H44" i="126"/>
  <c r="J44" i="126"/>
  <c r="L44" i="126"/>
  <c r="O44" i="126"/>
  <c r="R44" i="126"/>
  <c r="S44" i="126"/>
  <c r="J45" i="126"/>
  <c r="L45" i="126"/>
  <c r="O45" i="126"/>
  <c r="R45" i="126"/>
  <c r="S45" i="126"/>
  <c r="H47" i="126"/>
  <c r="J47" i="126"/>
  <c r="N47" i="126"/>
  <c r="O47" i="126"/>
  <c r="R47" i="126"/>
  <c r="H48" i="126"/>
  <c r="J48" i="126"/>
  <c r="L48" i="126"/>
  <c r="O48" i="126"/>
  <c r="R48" i="126"/>
  <c r="S48" i="126"/>
  <c r="J49" i="126"/>
  <c r="L49" i="126"/>
  <c r="O49" i="126"/>
  <c r="R49" i="126"/>
  <c r="S49" i="126"/>
  <c r="H51" i="126"/>
  <c r="J51" i="126"/>
  <c r="N51" i="126"/>
  <c r="O51" i="126"/>
  <c r="R51" i="126"/>
  <c r="H52" i="126"/>
  <c r="J52" i="126"/>
  <c r="L52" i="126"/>
  <c r="O52" i="126"/>
  <c r="R52" i="126"/>
  <c r="S52" i="126"/>
  <c r="J53" i="126"/>
  <c r="L53" i="126"/>
  <c r="O53" i="126"/>
  <c r="R53" i="126"/>
  <c r="S53" i="126"/>
  <c r="F55" i="126"/>
  <c r="G55" i="126"/>
  <c r="J55" i="126"/>
  <c r="K55" i="126"/>
  <c r="L55" i="126"/>
  <c r="N55" i="126"/>
  <c r="O55" i="126"/>
  <c r="Q55" i="126"/>
  <c r="R55" i="126"/>
  <c r="S55" i="126"/>
  <c r="J58" i="126"/>
  <c r="L58" i="126"/>
  <c r="O58" i="126"/>
  <c r="R58" i="126"/>
  <c r="J59" i="126"/>
  <c r="L59" i="126"/>
  <c r="O59" i="126"/>
  <c r="R59" i="126"/>
  <c r="J60" i="126"/>
  <c r="L60" i="126"/>
  <c r="O60" i="126"/>
  <c r="R60" i="126"/>
  <c r="J61" i="126"/>
  <c r="L61" i="126"/>
  <c r="O61" i="126"/>
  <c r="R61" i="126"/>
  <c r="G63" i="126"/>
  <c r="J63" i="126"/>
  <c r="K63" i="126"/>
  <c r="L63" i="126"/>
  <c r="N63" i="126"/>
  <c r="O63" i="126"/>
  <c r="Q63" i="126"/>
  <c r="R63" i="126"/>
  <c r="L65" i="126"/>
  <c r="O65" i="126"/>
  <c r="R65" i="126"/>
  <c r="L68" i="126"/>
  <c r="O68" i="126"/>
  <c r="R68" i="126"/>
  <c r="L69" i="126"/>
  <c r="O69" i="126"/>
  <c r="R69" i="126"/>
  <c r="L70" i="126"/>
  <c r="O70" i="126"/>
  <c r="R70" i="126"/>
  <c r="B3" i="14"/>
  <c r="H6" i="14"/>
  <c r="J6" i="14"/>
  <c r="L6" i="14"/>
  <c r="N6" i="14"/>
  <c r="R6" i="14"/>
  <c r="H7" i="14"/>
  <c r="J7" i="14"/>
  <c r="L7" i="14"/>
  <c r="R7" i="14"/>
  <c r="S7" i="14"/>
  <c r="J8" i="14"/>
  <c r="L8" i="14"/>
  <c r="O8" i="14"/>
  <c r="R8" i="14"/>
  <c r="S8" i="14"/>
  <c r="H10" i="14"/>
  <c r="J10" i="14"/>
  <c r="L10" i="14"/>
  <c r="N10" i="14"/>
  <c r="O10" i="14"/>
  <c r="R10" i="14"/>
  <c r="O11" i="14"/>
  <c r="R11" i="14"/>
  <c r="H12" i="14"/>
  <c r="J12" i="14"/>
  <c r="L12" i="14"/>
  <c r="O12" i="14"/>
  <c r="R12" i="14"/>
  <c r="S12" i="14"/>
  <c r="J13" i="14"/>
  <c r="L13" i="14"/>
  <c r="O13" i="14"/>
  <c r="R13" i="14"/>
  <c r="S13" i="14"/>
  <c r="H15" i="14"/>
  <c r="J15" i="14"/>
  <c r="L15" i="14"/>
  <c r="N15" i="14"/>
  <c r="O15" i="14"/>
  <c r="R15" i="14"/>
  <c r="H16" i="14"/>
  <c r="J16" i="14"/>
  <c r="L16" i="14"/>
  <c r="O16" i="14"/>
  <c r="R16" i="14"/>
  <c r="S16" i="14"/>
  <c r="J17" i="14"/>
  <c r="L17" i="14"/>
  <c r="O17" i="14"/>
  <c r="R17" i="14"/>
  <c r="S17" i="14"/>
  <c r="H19" i="14"/>
  <c r="J19" i="14"/>
  <c r="L19" i="14"/>
  <c r="N19" i="14"/>
  <c r="O19" i="14"/>
  <c r="R19" i="14"/>
  <c r="O20" i="14"/>
  <c r="R20" i="14"/>
  <c r="O21" i="14"/>
  <c r="R21" i="14"/>
  <c r="H22" i="14"/>
  <c r="J22" i="14"/>
  <c r="L22" i="14"/>
  <c r="O22" i="14"/>
  <c r="R22" i="14"/>
  <c r="S22" i="14"/>
  <c r="J23" i="14"/>
  <c r="L23" i="14"/>
  <c r="O23" i="14"/>
  <c r="R23" i="14"/>
  <c r="S23" i="14"/>
  <c r="H25" i="14"/>
  <c r="J25" i="14"/>
  <c r="L25" i="14"/>
  <c r="N25" i="14"/>
  <c r="O25" i="14"/>
  <c r="R25" i="14"/>
  <c r="H26" i="14"/>
  <c r="J26" i="14"/>
  <c r="L26" i="14"/>
  <c r="O26" i="14"/>
  <c r="R26" i="14"/>
  <c r="S26" i="14"/>
  <c r="J27" i="14"/>
  <c r="L27" i="14"/>
  <c r="O27" i="14"/>
  <c r="R27" i="14"/>
  <c r="S27" i="14"/>
  <c r="H29" i="14"/>
  <c r="J29" i="14"/>
  <c r="L29" i="14"/>
  <c r="N29" i="14"/>
  <c r="O29" i="14"/>
  <c r="R29" i="14"/>
  <c r="H30" i="14"/>
  <c r="J30" i="14"/>
  <c r="L30" i="14"/>
  <c r="O30" i="14"/>
  <c r="R30" i="14"/>
  <c r="S30" i="14"/>
  <c r="J31" i="14"/>
  <c r="L31" i="14"/>
  <c r="O31" i="14"/>
  <c r="R31" i="14"/>
  <c r="S31" i="14"/>
  <c r="H33" i="14"/>
  <c r="J33" i="14"/>
  <c r="L33" i="14"/>
  <c r="N33" i="14"/>
  <c r="O33" i="14"/>
  <c r="R33" i="14"/>
  <c r="O34" i="14"/>
  <c r="R34" i="14"/>
  <c r="O35" i="14"/>
  <c r="R35" i="14"/>
  <c r="H36" i="14"/>
  <c r="J36" i="14"/>
  <c r="L36" i="14"/>
  <c r="O36" i="14"/>
  <c r="R36" i="14"/>
  <c r="S36" i="14"/>
  <c r="J37" i="14"/>
  <c r="L37" i="14"/>
  <c r="O37" i="14"/>
  <c r="R37" i="14"/>
  <c r="S37" i="14"/>
  <c r="H39" i="14"/>
  <c r="J39" i="14"/>
  <c r="L39" i="14"/>
  <c r="N39" i="14"/>
  <c r="O39" i="14"/>
  <c r="R39" i="14"/>
  <c r="H40" i="14"/>
  <c r="J40" i="14"/>
  <c r="L40" i="14"/>
  <c r="O40" i="14"/>
  <c r="R40" i="14"/>
  <c r="S40" i="14"/>
  <c r="J41" i="14"/>
  <c r="L41" i="14"/>
  <c r="O41" i="14"/>
  <c r="R41" i="14"/>
  <c r="S41" i="14"/>
  <c r="H43" i="14"/>
  <c r="J43" i="14"/>
  <c r="L43" i="14"/>
  <c r="N43" i="14"/>
  <c r="O43" i="14"/>
  <c r="R43" i="14"/>
  <c r="H44" i="14"/>
  <c r="J44" i="14"/>
  <c r="L44" i="14"/>
  <c r="O44" i="14"/>
  <c r="R44" i="14"/>
  <c r="S44" i="14"/>
  <c r="J45" i="14"/>
  <c r="L45" i="14"/>
  <c r="O45" i="14"/>
  <c r="R45" i="14"/>
  <c r="S45" i="14"/>
  <c r="H47" i="14"/>
  <c r="L47" i="14"/>
  <c r="N47" i="14"/>
  <c r="O47" i="14"/>
  <c r="R47" i="14"/>
  <c r="H48" i="14"/>
  <c r="J48" i="14"/>
  <c r="L48" i="14"/>
  <c r="O48" i="14"/>
  <c r="R48" i="14"/>
  <c r="S48" i="14"/>
  <c r="J49" i="14"/>
  <c r="L49" i="14"/>
  <c r="O49" i="14"/>
  <c r="R49" i="14"/>
  <c r="S49" i="14"/>
  <c r="H51" i="14"/>
  <c r="J51" i="14"/>
  <c r="L51" i="14"/>
  <c r="N51" i="14"/>
  <c r="O51" i="14"/>
  <c r="R51" i="14"/>
  <c r="H52" i="14"/>
  <c r="J52" i="14"/>
  <c r="L52" i="14"/>
  <c r="O52" i="14"/>
  <c r="R52" i="14"/>
  <c r="S52" i="14"/>
  <c r="J53" i="14"/>
  <c r="L53" i="14"/>
  <c r="O53" i="14"/>
  <c r="R53" i="14"/>
  <c r="S53" i="14"/>
  <c r="H55" i="14"/>
  <c r="J55" i="14"/>
  <c r="L55" i="14"/>
  <c r="N55" i="14"/>
  <c r="O55" i="14"/>
  <c r="R55" i="14"/>
  <c r="H56" i="14"/>
  <c r="J56" i="14"/>
  <c r="L56" i="14"/>
  <c r="O56" i="14"/>
  <c r="R56" i="14"/>
  <c r="S56" i="14"/>
  <c r="J57" i="14"/>
  <c r="L57" i="14"/>
  <c r="O57" i="14"/>
  <c r="R57" i="14"/>
  <c r="S57" i="14"/>
  <c r="F59" i="14"/>
  <c r="G59" i="14"/>
  <c r="J59" i="14"/>
  <c r="K59" i="14"/>
  <c r="L59" i="14"/>
  <c r="N59" i="14"/>
  <c r="O59" i="14"/>
  <c r="Q59" i="14"/>
  <c r="R59" i="14"/>
  <c r="S59" i="14"/>
  <c r="J62" i="14"/>
  <c r="L62" i="14"/>
  <c r="O62" i="14"/>
  <c r="R62" i="14"/>
  <c r="J63" i="14"/>
  <c r="L63" i="14"/>
  <c r="O63" i="14"/>
  <c r="R63" i="14"/>
  <c r="J64" i="14"/>
  <c r="L64" i="14"/>
  <c r="O64" i="14"/>
  <c r="R64" i="14"/>
  <c r="J65" i="14"/>
  <c r="L65" i="14"/>
  <c r="O65" i="14"/>
  <c r="R65" i="14"/>
  <c r="G67" i="14"/>
  <c r="J67" i="14"/>
  <c r="K67" i="14"/>
  <c r="L67" i="14"/>
  <c r="N67" i="14"/>
  <c r="O67" i="14"/>
  <c r="Q67" i="14"/>
  <c r="R67" i="14"/>
  <c r="L69" i="14"/>
  <c r="O69" i="14"/>
  <c r="R69" i="14"/>
  <c r="L72" i="14"/>
  <c r="O72" i="14"/>
  <c r="R72" i="14"/>
  <c r="L73" i="14"/>
  <c r="O73" i="14"/>
  <c r="R73" i="14"/>
  <c r="L74" i="14"/>
  <c r="O74" i="14"/>
  <c r="R74" i="14"/>
  <c r="B3" i="127"/>
  <c r="H6" i="127"/>
  <c r="J6" i="127"/>
  <c r="L6" i="127"/>
  <c r="N6" i="127"/>
  <c r="O6" i="127"/>
  <c r="R6" i="127"/>
  <c r="H7" i="127"/>
  <c r="J7" i="127"/>
  <c r="L7" i="127"/>
  <c r="O7" i="127"/>
  <c r="R7" i="127"/>
  <c r="S7" i="127"/>
  <c r="J8" i="127"/>
  <c r="L8" i="127"/>
  <c r="O8" i="127"/>
  <c r="R8" i="127"/>
  <c r="S8" i="127"/>
  <c r="H10" i="127"/>
  <c r="J10" i="127"/>
  <c r="L10" i="127"/>
  <c r="N10" i="127"/>
  <c r="O10" i="127"/>
  <c r="R10" i="127"/>
  <c r="O11" i="127"/>
  <c r="R11" i="127"/>
  <c r="H12" i="127"/>
  <c r="J12" i="127"/>
  <c r="L12" i="127"/>
  <c r="O12" i="127"/>
  <c r="R12" i="127"/>
  <c r="S12" i="127"/>
  <c r="J13" i="127"/>
  <c r="L13" i="127"/>
  <c r="O13" i="127"/>
  <c r="R13" i="127"/>
  <c r="S13" i="127"/>
  <c r="H15" i="127"/>
  <c r="J15" i="127"/>
  <c r="L15" i="127"/>
  <c r="N15" i="127"/>
  <c r="O15" i="127"/>
  <c r="R15" i="127"/>
  <c r="H16" i="127"/>
  <c r="J16" i="127"/>
  <c r="L16" i="127"/>
  <c r="O16" i="127"/>
  <c r="R16" i="127"/>
  <c r="S16" i="127"/>
  <c r="J17" i="127"/>
  <c r="L17" i="127"/>
  <c r="O17" i="127"/>
  <c r="R17" i="127"/>
  <c r="S17" i="127"/>
  <c r="H19" i="127"/>
  <c r="J19" i="127"/>
  <c r="L19" i="127"/>
  <c r="N19" i="127"/>
  <c r="O19" i="127"/>
  <c r="R19" i="127"/>
  <c r="O20" i="127"/>
  <c r="R20" i="127"/>
  <c r="O21" i="127"/>
  <c r="R21" i="127"/>
  <c r="H22" i="127"/>
  <c r="J22" i="127"/>
  <c r="L22" i="127"/>
  <c r="O22" i="127"/>
  <c r="R22" i="127"/>
  <c r="S22" i="127"/>
  <c r="J23" i="127"/>
  <c r="L23" i="127"/>
  <c r="O23" i="127"/>
  <c r="R23" i="127"/>
  <c r="S23" i="127"/>
  <c r="H25" i="127"/>
  <c r="J25" i="127"/>
  <c r="L25" i="127"/>
  <c r="N25" i="127"/>
  <c r="O25" i="127"/>
  <c r="R25" i="127"/>
  <c r="H26" i="127"/>
  <c r="J26" i="127"/>
  <c r="L26" i="127"/>
  <c r="O26" i="127"/>
  <c r="R26" i="127"/>
  <c r="S26" i="127"/>
  <c r="J27" i="127"/>
  <c r="L27" i="127"/>
  <c r="O27" i="127"/>
  <c r="R27" i="127"/>
  <c r="S27" i="127"/>
  <c r="H29" i="127"/>
  <c r="J29" i="127"/>
  <c r="L29" i="127"/>
  <c r="N29" i="127"/>
  <c r="O29" i="127"/>
  <c r="R29" i="127"/>
  <c r="H30" i="127"/>
  <c r="J30" i="127"/>
  <c r="L30" i="127"/>
  <c r="O30" i="127"/>
  <c r="R30" i="127"/>
  <c r="S30" i="127"/>
  <c r="J31" i="127"/>
  <c r="L31" i="127"/>
  <c r="O31" i="127"/>
  <c r="R31" i="127"/>
  <c r="S31" i="127"/>
  <c r="H33" i="127"/>
  <c r="J33" i="127"/>
  <c r="L33" i="127"/>
  <c r="N33" i="127"/>
  <c r="O33" i="127"/>
  <c r="R33" i="127"/>
  <c r="O34" i="127"/>
  <c r="R34" i="127"/>
  <c r="O35" i="127"/>
  <c r="R35" i="127"/>
  <c r="H36" i="127"/>
  <c r="J36" i="127"/>
  <c r="L36" i="127"/>
  <c r="O36" i="127"/>
  <c r="R36" i="127"/>
  <c r="S36" i="127"/>
  <c r="J37" i="127"/>
  <c r="L37" i="127"/>
  <c r="O37" i="127"/>
  <c r="R37" i="127"/>
  <c r="S37" i="127"/>
  <c r="H39" i="127"/>
  <c r="J39" i="127"/>
  <c r="L39" i="127"/>
  <c r="N39" i="127"/>
  <c r="O39" i="127"/>
  <c r="R39" i="127"/>
  <c r="H40" i="127"/>
  <c r="J40" i="127"/>
  <c r="L40" i="127"/>
  <c r="O40" i="127"/>
  <c r="R40" i="127"/>
  <c r="S40" i="127"/>
  <c r="J41" i="127"/>
  <c r="L41" i="127"/>
  <c r="O41" i="127"/>
  <c r="R41" i="127"/>
  <c r="S41" i="127"/>
  <c r="H43" i="127"/>
  <c r="J43" i="127"/>
  <c r="L43" i="127"/>
  <c r="N43" i="127"/>
  <c r="O43" i="127"/>
  <c r="R43" i="127"/>
  <c r="H44" i="127"/>
  <c r="J44" i="127"/>
  <c r="L44" i="127"/>
  <c r="O44" i="127"/>
  <c r="R44" i="127"/>
  <c r="S44" i="127"/>
  <c r="J45" i="127"/>
  <c r="L45" i="127"/>
  <c r="O45" i="127"/>
  <c r="R45" i="127"/>
  <c r="S45" i="127"/>
  <c r="H47" i="127"/>
  <c r="L47" i="127"/>
  <c r="N47" i="127"/>
  <c r="O47" i="127"/>
  <c r="R47" i="127"/>
  <c r="H48" i="127"/>
  <c r="J48" i="127"/>
  <c r="L48" i="127"/>
  <c r="O48" i="127"/>
  <c r="R48" i="127"/>
  <c r="S48" i="127"/>
  <c r="J49" i="127"/>
  <c r="L49" i="127"/>
  <c r="O49" i="127"/>
  <c r="R49" i="127"/>
  <c r="S49" i="127"/>
  <c r="H51" i="127"/>
  <c r="J51" i="127"/>
  <c r="L51" i="127"/>
  <c r="N51" i="127"/>
  <c r="O51" i="127"/>
  <c r="R51" i="127"/>
  <c r="H52" i="127"/>
  <c r="J52" i="127"/>
  <c r="L52" i="127"/>
  <c r="O52" i="127"/>
  <c r="R52" i="127"/>
  <c r="S52" i="127"/>
  <c r="J53" i="127"/>
  <c r="L53" i="127"/>
  <c r="O53" i="127"/>
  <c r="R53" i="127"/>
  <c r="S53" i="127"/>
  <c r="H55" i="127"/>
  <c r="J55" i="127"/>
  <c r="L55" i="127"/>
  <c r="N55" i="127"/>
  <c r="O55" i="127"/>
  <c r="R55" i="127"/>
  <c r="H56" i="127"/>
  <c r="J56" i="127"/>
  <c r="L56" i="127"/>
  <c r="O56" i="127"/>
  <c r="R56" i="127"/>
  <c r="S56" i="127"/>
  <c r="J57" i="127"/>
  <c r="L57" i="127"/>
  <c r="O57" i="127"/>
  <c r="R57" i="127"/>
  <c r="S57" i="127"/>
  <c r="F59" i="127"/>
  <c r="G59" i="127"/>
  <c r="J59" i="127"/>
  <c r="K59" i="127"/>
  <c r="L59" i="127"/>
  <c r="N59" i="127"/>
  <c r="O59" i="127"/>
  <c r="Q59" i="127"/>
  <c r="R59" i="127"/>
  <c r="S59" i="127"/>
  <c r="J62" i="127"/>
  <c r="L62" i="127"/>
  <c r="O62" i="127"/>
  <c r="R62" i="127"/>
  <c r="J63" i="127"/>
  <c r="L63" i="127"/>
  <c r="O63" i="127"/>
  <c r="R63" i="127"/>
  <c r="J64" i="127"/>
  <c r="L64" i="127"/>
  <c r="O64" i="127"/>
  <c r="R64" i="127"/>
  <c r="J65" i="127"/>
  <c r="L65" i="127"/>
  <c r="O65" i="127"/>
  <c r="R65" i="127"/>
  <c r="G67" i="127"/>
  <c r="J67" i="127"/>
  <c r="K67" i="127"/>
  <c r="L67" i="127"/>
  <c r="N67" i="127"/>
  <c r="O67" i="127"/>
  <c r="Q67" i="127"/>
  <c r="R67" i="127"/>
  <c r="L69" i="127"/>
  <c r="O69" i="127"/>
  <c r="R69" i="127"/>
  <c r="L72" i="127"/>
  <c r="O72" i="127"/>
  <c r="R72" i="127"/>
  <c r="L73" i="127"/>
  <c r="O73" i="127"/>
  <c r="R73" i="127"/>
  <c r="L74" i="127"/>
  <c r="O74" i="127"/>
  <c r="R74" i="127"/>
  <c r="B4" i="2"/>
  <c r="G4" i="2"/>
  <c r="H4" i="2"/>
  <c r="I4" i="2"/>
  <c r="K4" i="2"/>
  <c r="L4" i="2"/>
  <c r="M4" i="2"/>
  <c r="Q4" i="2"/>
  <c r="T4" i="2"/>
  <c r="Y4" i="2"/>
  <c r="AA4" i="2"/>
  <c r="AB4" i="2"/>
  <c r="AD4" i="2"/>
  <c r="AF4" i="2"/>
  <c r="AH4" i="2"/>
  <c r="AI4" i="2"/>
  <c r="B5" i="2"/>
  <c r="G5" i="2"/>
  <c r="H5" i="2"/>
  <c r="I5" i="2"/>
  <c r="K5" i="2"/>
  <c r="L5" i="2"/>
  <c r="M5" i="2"/>
  <c r="Q5" i="2"/>
  <c r="T5" i="2"/>
  <c r="Y5" i="2"/>
  <c r="AA5" i="2"/>
  <c r="AB5" i="2"/>
  <c r="AD5" i="2"/>
  <c r="AF5" i="2"/>
  <c r="AH5" i="2"/>
  <c r="AI5" i="2"/>
  <c r="B6" i="2"/>
  <c r="C6" i="2"/>
  <c r="G6" i="2"/>
  <c r="H6" i="2"/>
  <c r="I6" i="2"/>
  <c r="K6" i="2"/>
  <c r="L6" i="2"/>
  <c r="M6" i="2"/>
  <c r="Q6" i="2"/>
  <c r="T6" i="2"/>
  <c r="Y6" i="2"/>
  <c r="AA6" i="2"/>
  <c r="AB6" i="2"/>
  <c r="AD6" i="2"/>
  <c r="AF6" i="2"/>
  <c r="AH6" i="2"/>
  <c r="AI6" i="2"/>
  <c r="B7" i="2"/>
  <c r="C7" i="2"/>
  <c r="E7" i="2"/>
  <c r="G7" i="2"/>
  <c r="H7" i="2"/>
  <c r="I7" i="2"/>
  <c r="K7" i="2"/>
  <c r="M7" i="2"/>
  <c r="O7" i="2"/>
  <c r="Q7" i="2"/>
  <c r="T7" i="2"/>
  <c r="Y7" i="2"/>
  <c r="AA7" i="2"/>
  <c r="AB7" i="2"/>
  <c r="AD7" i="2"/>
  <c r="AF7" i="2"/>
  <c r="AH7" i="2"/>
  <c r="AI7" i="2"/>
  <c r="B8" i="2"/>
  <c r="C8" i="2"/>
  <c r="E8" i="2"/>
  <c r="F8" i="2"/>
  <c r="G8" i="2"/>
  <c r="H8" i="2"/>
  <c r="I8" i="2"/>
  <c r="K8" i="2"/>
  <c r="M8" i="2"/>
  <c r="Q8" i="2"/>
  <c r="S8" i="2"/>
  <c r="T8" i="2"/>
  <c r="Y8" i="2"/>
  <c r="AA8" i="2"/>
  <c r="AB8" i="2"/>
  <c r="AD8" i="2"/>
  <c r="AF8" i="2"/>
  <c r="AH8" i="2"/>
  <c r="AI8" i="2"/>
  <c r="B9" i="2"/>
  <c r="C9" i="2"/>
  <c r="E9" i="2"/>
  <c r="G9" i="2"/>
  <c r="H9" i="2"/>
  <c r="I9" i="2"/>
  <c r="K9" i="2"/>
  <c r="M9" i="2"/>
  <c r="Q9" i="2"/>
  <c r="T9" i="2"/>
  <c r="V9" i="2"/>
  <c r="Y9" i="2"/>
  <c r="AA9" i="2"/>
  <c r="AB9" i="2"/>
  <c r="AD9" i="2"/>
  <c r="AF9" i="2"/>
  <c r="AH9" i="2"/>
  <c r="AI9" i="2"/>
  <c r="B10" i="2"/>
  <c r="C10" i="2"/>
  <c r="E10" i="2"/>
  <c r="G10" i="2"/>
  <c r="H10" i="2"/>
  <c r="I10" i="2"/>
  <c r="K10" i="2"/>
  <c r="M10" i="2"/>
  <c r="Q10" i="2"/>
  <c r="T10" i="2"/>
  <c r="Y10" i="2"/>
  <c r="AA10" i="2"/>
  <c r="AB10" i="2"/>
  <c r="AD10" i="2"/>
  <c r="AF10" i="2"/>
  <c r="AH10" i="2"/>
  <c r="AI10" i="2"/>
  <c r="B11" i="2"/>
  <c r="C11" i="2"/>
  <c r="E11" i="2"/>
  <c r="F11" i="2"/>
  <c r="G11" i="2"/>
  <c r="H11" i="2"/>
  <c r="I11" i="2"/>
  <c r="K11" i="2"/>
  <c r="M11" i="2"/>
  <c r="O11" i="2"/>
  <c r="Q11" i="2"/>
  <c r="T11" i="2"/>
  <c r="V11" i="2"/>
  <c r="Y11" i="2"/>
  <c r="AA11" i="2"/>
  <c r="AB11" i="2"/>
  <c r="AD11" i="2"/>
  <c r="AF11" i="2"/>
  <c r="AH11" i="2"/>
  <c r="AI11" i="2"/>
  <c r="B12" i="2"/>
  <c r="C12" i="2"/>
  <c r="E12" i="2"/>
  <c r="F12" i="2"/>
  <c r="G12" i="2"/>
  <c r="H12" i="2"/>
  <c r="I12" i="2"/>
  <c r="K12" i="2"/>
  <c r="M12" i="2"/>
  <c r="O12" i="2"/>
  <c r="Q12" i="2"/>
  <c r="T12" i="2"/>
  <c r="V12" i="2"/>
  <c r="Y12" i="2"/>
  <c r="AA12" i="2"/>
  <c r="AB12" i="2"/>
  <c r="AD12" i="2"/>
  <c r="AF12" i="2"/>
  <c r="AH12" i="2"/>
  <c r="AI12" i="2"/>
  <c r="B13" i="2"/>
  <c r="C13" i="2"/>
  <c r="E13" i="2"/>
  <c r="F13" i="2"/>
  <c r="G13" i="2"/>
  <c r="H13" i="2"/>
  <c r="I13" i="2"/>
  <c r="K13" i="2"/>
  <c r="M13" i="2"/>
  <c r="T13" i="2"/>
  <c r="Y13" i="2"/>
  <c r="AA13" i="2"/>
  <c r="AB13" i="2"/>
  <c r="AD13" i="2"/>
  <c r="AF13" i="2"/>
  <c r="AH13" i="2"/>
  <c r="AI13" i="2"/>
  <c r="B14" i="2"/>
  <c r="C14" i="2"/>
  <c r="E14" i="2"/>
  <c r="F14" i="2"/>
  <c r="G14" i="2"/>
  <c r="H14" i="2"/>
  <c r="I14" i="2"/>
  <c r="K14" i="2"/>
  <c r="M14" i="2"/>
  <c r="T14" i="2"/>
  <c r="Y14" i="2"/>
  <c r="AA14" i="2"/>
  <c r="AB14" i="2"/>
  <c r="AD14" i="2"/>
  <c r="AF14" i="2"/>
  <c r="AH14" i="2"/>
  <c r="AI14" i="2"/>
  <c r="B15" i="2"/>
  <c r="C15" i="2"/>
  <c r="E15" i="2"/>
  <c r="F15" i="2"/>
  <c r="G15" i="2"/>
  <c r="H15" i="2"/>
  <c r="I15" i="2"/>
  <c r="K15" i="2"/>
  <c r="M15" i="2"/>
  <c r="O15" i="2"/>
  <c r="T15" i="2"/>
  <c r="Y15" i="2"/>
  <c r="AA15" i="2"/>
  <c r="AB15" i="2"/>
  <c r="AD15" i="2"/>
  <c r="AF15" i="2"/>
  <c r="AH15" i="2"/>
  <c r="AI15" i="2"/>
  <c r="B16" i="2"/>
  <c r="C16" i="2"/>
  <c r="E16" i="2"/>
  <c r="G16" i="2"/>
  <c r="H16" i="2"/>
  <c r="I16" i="2"/>
  <c r="K16" i="2"/>
  <c r="M16" i="2"/>
  <c r="O16" i="2"/>
  <c r="Q16" i="2"/>
  <c r="T16" i="2"/>
  <c r="Y16" i="2"/>
  <c r="AA16" i="2"/>
  <c r="AB16" i="2"/>
  <c r="AD16" i="2"/>
  <c r="AF16" i="2"/>
  <c r="AH16" i="2"/>
  <c r="AI16" i="2"/>
  <c r="B17" i="2"/>
  <c r="C17" i="2"/>
  <c r="E17" i="2"/>
  <c r="G17" i="2"/>
  <c r="H17" i="2"/>
  <c r="I17" i="2"/>
  <c r="K17" i="2"/>
  <c r="M17" i="2"/>
  <c r="T17" i="2"/>
  <c r="Y17" i="2"/>
  <c r="AA17" i="2"/>
  <c r="AB17" i="2"/>
  <c r="AD17" i="2"/>
  <c r="AF17" i="2"/>
  <c r="AH17" i="2"/>
  <c r="AI17" i="2"/>
  <c r="B18" i="2"/>
  <c r="C18" i="2"/>
  <c r="E18" i="2"/>
  <c r="G18" i="2"/>
  <c r="H18" i="2"/>
  <c r="I18" i="2"/>
  <c r="K18" i="2"/>
  <c r="M18" i="2"/>
  <c r="T18" i="2"/>
  <c r="Y18" i="2"/>
  <c r="AA18" i="2"/>
  <c r="AB18" i="2"/>
  <c r="AD18" i="2"/>
  <c r="AF18" i="2"/>
  <c r="AH18" i="2"/>
  <c r="AI18" i="2"/>
  <c r="B19" i="2"/>
  <c r="C19" i="2"/>
  <c r="E19" i="2"/>
  <c r="G19" i="2"/>
  <c r="H19" i="2"/>
  <c r="I19" i="2"/>
  <c r="K19" i="2"/>
  <c r="M19" i="2"/>
  <c r="T19" i="2"/>
  <c r="Y19" i="2"/>
  <c r="AA19" i="2"/>
  <c r="AB19" i="2"/>
  <c r="AD19" i="2"/>
  <c r="AF19" i="2"/>
  <c r="AH19" i="2"/>
  <c r="AI19" i="2"/>
  <c r="B20" i="2"/>
  <c r="C20" i="2"/>
  <c r="E20" i="2"/>
  <c r="G20" i="2"/>
  <c r="H20" i="2"/>
  <c r="I20" i="2"/>
  <c r="K20" i="2"/>
  <c r="M20" i="2"/>
  <c r="Q20" i="2"/>
  <c r="T20" i="2"/>
  <c r="Y20" i="2"/>
  <c r="AA20" i="2"/>
  <c r="AB20" i="2"/>
  <c r="AD20" i="2"/>
  <c r="AF20" i="2"/>
  <c r="AH20" i="2"/>
  <c r="AI20" i="2"/>
  <c r="B21" i="2"/>
  <c r="C21" i="2"/>
  <c r="E21" i="2"/>
  <c r="G21" i="2"/>
  <c r="H21" i="2"/>
  <c r="I21" i="2"/>
  <c r="K21" i="2"/>
  <c r="M21" i="2"/>
  <c r="Q21" i="2"/>
  <c r="T21" i="2"/>
  <c r="Y21" i="2"/>
  <c r="AA21" i="2"/>
  <c r="AB21" i="2"/>
  <c r="AD21" i="2"/>
  <c r="AF21" i="2"/>
  <c r="AH21" i="2"/>
  <c r="AI21" i="2"/>
  <c r="B22" i="2"/>
  <c r="C22" i="2"/>
  <c r="E22" i="2"/>
  <c r="G22" i="2"/>
  <c r="H22" i="2"/>
  <c r="I22" i="2"/>
  <c r="K22" i="2"/>
  <c r="M22" i="2"/>
  <c r="Q22" i="2"/>
  <c r="T22" i="2"/>
  <c r="Y22" i="2"/>
  <c r="AA22" i="2"/>
  <c r="AB22" i="2"/>
  <c r="AD22" i="2"/>
  <c r="AF22" i="2"/>
  <c r="AH22" i="2"/>
  <c r="AI22" i="2"/>
  <c r="B23" i="2"/>
  <c r="C23" i="2"/>
  <c r="E23" i="2"/>
  <c r="G23" i="2"/>
  <c r="H23" i="2"/>
  <c r="I23" i="2"/>
  <c r="K23" i="2"/>
  <c r="M23" i="2"/>
  <c r="Q23" i="2"/>
  <c r="T23" i="2"/>
  <c r="Y23" i="2"/>
  <c r="AA23" i="2"/>
  <c r="AB23" i="2"/>
  <c r="AD23" i="2"/>
  <c r="AF23" i="2"/>
  <c r="AH23" i="2"/>
  <c r="AI23" i="2"/>
  <c r="B24" i="2"/>
  <c r="C24" i="2"/>
  <c r="D24" i="2"/>
  <c r="E24" i="2"/>
  <c r="G24" i="2"/>
  <c r="I24" i="2"/>
  <c r="K24" i="2"/>
  <c r="M24" i="2"/>
  <c r="Q24" i="2"/>
  <c r="T24" i="2"/>
  <c r="Y24" i="2"/>
  <c r="AA24" i="2"/>
  <c r="AB24" i="2"/>
  <c r="AD24" i="2"/>
  <c r="AF24" i="2"/>
  <c r="AH24" i="2"/>
  <c r="AI24" i="2"/>
  <c r="B25" i="2"/>
  <c r="C25" i="2"/>
  <c r="D25" i="2"/>
  <c r="E25" i="2"/>
  <c r="G25" i="2"/>
  <c r="I25" i="2"/>
  <c r="K25" i="2"/>
  <c r="M25" i="2"/>
  <c r="Q25" i="2"/>
  <c r="T25" i="2"/>
  <c r="Y25" i="2"/>
  <c r="AA25" i="2"/>
  <c r="AB25" i="2"/>
  <c r="AD25" i="2"/>
  <c r="AF25" i="2"/>
  <c r="AH25" i="2"/>
  <c r="AI25" i="2"/>
  <c r="B26" i="2"/>
  <c r="C26" i="2"/>
  <c r="D26" i="2"/>
  <c r="E26" i="2"/>
  <c r="G26" i="2"/>
  <c r="I26" i="2"/>
  <c r="K26" i="2"/>
  <c r="M26" i="2"/>
  <c r="Q26" i="2"/>
  <c r="T26" i="2"/>
  <c r="Y26" i="2"/>
  <c r="AA26" i="2"/>
  <c r="AB26" i="2"/>
  <c r="AD26" i="2"/>
  <c r="AF26" i="2"/>
  <c r="AH26" i="2"/>
  <c r="AI26" i="2"/>
  <c r="B27" i="2"/>
  <c r="C27" i="2"/>
  <c r="D27" i="2"/>
  <c r="E27" i="2"/>
  <c r="G27" i="2"/>
  <c r="I27" i="2"/>
  <c r="K27" i="2"/>
  <c r="M27" i="2"/>
  <c r="Q27" i="2"/>
  <c r="T27" i="2"/>
  <c r="Y27" i="2"/>
  <c r="AA27" i="2"/>
  <c r="AB27" i="2"/>
  <c r="AD27" i="2"/>
  <c r="AF27" i="2"/>
  <c r="AH27" i="2"/>
  <c r="AI27" i="2"/>
  <c r="B28" i="2"/>
  <c r="C28" i="2"/>
  <c r="E28" i="2"/>
  <c r="F28" i="2"/>
  <c r="G28" i="2"/>
  <c r="I28" i="2"/>
  <c r="K28" i="2"/>
  <c r="M28" i="2"/>
  <c r="Q28" i="2"/>
  <c r="T28" i="2"/>
  <c r="Y28" i="2"/>
  <c r="AA28" i="2"/>
  <c r="AB28" i="2"/>
  <c r="AD28" i="2"/>
  <c r="AF28" i="2"/>
  <c r="AH28" i="2"/>
  <c r="AI28" i="2"/>
  <c r="B29" i="2"/>
  <c r="C29" i="2"/>
  <c r="E29" i="2"/>
  <c r="G29" i="2"/>
  <c r="I29" i="2"/>
  <c r="K29" i="2"/>
  <c r="M29" i="2"/>
  <c r="Q29" i="2"/>
  <c r="T29" i="2"/>
  <c r="Y29" i="2"/>
  <c r="AA29" i="2"/>
  <c r="AB29" i="2"/>
  <c r="AD29" i="2"/>
  <c r="AF29" i="2"/>
  <c r="AH29" i="2"/>
  <c r="AI29" i="2"/>
  <c r="B30" i="2"/>
  <c r="C30" i="2"/>
  <c r="E30" i="2"/>
  <c r="G30" i="2"/>
  <c r="I30" i="2"/>
  <c r="K30" i="2"/>
  <c r="M30" i="2"/>
  <c r="Q30" i="2"/>
  <c r="T30" i="2"/>
  <c r="Y30" i="2"/>
  <c r="AA30" i="2"/>
  <c r="AB30" i="2"/>
  <c r="AD30" i="2"/>
  <c r="AF30" i="2"/>
  <c r="AH30" i="2"/>
  <c r="AI30" i="2"/>
  <c r="G31" i="2"/>
  <c r="I31" i="2"/>
  <c r="T31" i="2"/>
  <c r="Y31" i="2"/>
  <c r="AB31" i="2"/>
  <c r="G32" i="2"/>
  <c r="I32" i="2"/>
  <c r="T32" i="2"/>
  <c r="Y32" i="2"/>
  <c r="AB32" i="2"/>
  <c r="G33" i="2"/>
  <c r="I33" i="2"/>
  <c r="T33" i="2"/>
  <c r="Y33" i="2"/>
  <c r="AB33" i="2"/>
  <c r="B35" i="2"/>
  <c r="C35" i="2"/>
  <c r="E35" i="2"/>
  <c r="F35" i="2"/>
  <c r="G35" i="2"/>
  <c r="H35" i="2"/>
  <c r="I35" i="2"/>
  <c r="K35" i="2"/>
  <c r="L35" i="2"/>
  <c r="M35" i="2"/>
  <c r="N35" i="2"/>
  <c r="O35" i="2"/>
  <c r="Q35" i="2"/>
  <c r="R35" i="2"/>
  <c r="S35" i="2"/>
  <c r="T35" i="2"/>
  <c r="V35" i="2"/>
  <c r="Y35" i="2"/>
  <c r="AA35" i="2"/>
  <c r="AE35" i="2"/>
  <c r="AB39" i="2"/>
  <c r="AE39" i="2"/>
  <c r="B3" i="116"/>
  <c r="H6" i="116"/>
  <c r="J6" i="116"/>
  <c r="L6" i="116"/>
  <c r="N6" i="116"/>
  <c r="O6" i="116"/>
  <c r="R6" i="116"/>
  <c r="O7" i="116"/>
  <c r="R7" i="116"/>
  <c r="H8" i="116"/>
  <c r="J8" i="116"/>
  <c r="L8" i="116"/>
  <c r="O8" i="116"/>
  <c r="R8" i="116"/>
  <c r="S8" i="116"/>
  <c r="J9" i="116"/>
  <c r="L9" i="116"/>
  <c r="O9" i="116"/>
  <c r="R9" i="116"/>
  <c r="S9" i="116"/>
  <c r="H11" i="116"/>
  <c r="J11" i="116"/>
  <c r="L11" i="116"/>
  <c r="N11" i="116"/>
  <c r="O11" i="116"/>
  <c r="R11" i="116"/>
  <c r="H12" i="116"/>
  <c r="O12" i="116"/>
  <c r="R12" i="116"/>
  <c r="O13" i="116"/>
  <c r="R13" i="116"/>
  <c r="H14" i="116"/>
  <c r="J14" i="116"/>
  <c r="L14" i="116"/>
  <c r="O14" i="116"/>
  <c r="R14" i="116"/>
  <c r="S14" i="116"/>
  <c r="J15" i="116"/>
  <c r="L15" i="116"/>
  <c r="O15" i="116"/>
  <c r="R15" i="116"/>
  <c r="S15" i="116"/>
  <c r="H17" i="116"/>
  <c r="J17" i="116"/>
  <c r="L17" i="116"/>
  <c r="N17" i="116"/>
  <c r="O17" i="116"/>
  <c r="R17" i="116"/>
  <c r="O18" i="116"/>
  <c r="R18" i="116"/>
  <c r="O19" i="116"/>
  <c r="R19" i="116"/>
  <c r="H20" i="116"/>
  <c r="J20" i="116"/>
  <c r="L20" i="116"/>
  <c r="O20" i="116"/>
  <c r="R20" i="116"/>
  <c r="S20" i="116"/>
  <c r="J21" i="116"/>
  <c r="L21" i="116"/>
  <c r="O21" i="116"/>
  <c r="R21" i="116"/>
  <c r="S21" i="116"/>
  <c r="H23" i="116"/>
  <c r="J23" i="116"/>
  <c r="L23" i="116"/>
  <c r="N23" i="116"/>
  <c r="O23" i="116"/>
  <c r="R23" i="116"/>
  <c r="H24" i="116"/>
  <c r="O24" i="116"/>
  <c r="R24" i="116"/>
  <c r="O25" i="116"/>
  <c r="R25" i="116"/>
  <c r="O26" i="116"/>
  <c r="R26" i="116"/>
  <c r="H27" i="116"/>
  <c r="J27" i="116"/>
  <c r="L27" i="116"/>
  <c r="O27" i="116"/>
  <c r="R27" i="116"/>
  <c r="S27" i="116"/>
  <c r="J28" i="116"/>
  <c r="L28" i="116"/>
  <c r="O28" i="116"/>
  <c r="R28" i="116"/>
  <c r="S28" i="116"/>
  <c r="H30" i="116"/>
  <c r="J30" i="116"/>
  <c r="L30" i="116"/>
  <c r="N30" i="116"/>
  <c r="O30" i="116"/>
  <c r="R30" i="116"/>
  <c r="O31" i="116"/>
  <c r="R31" i="116"/>
  <c r="H32" i="116"/>
  <c r="J32" i="116"/>
  <c r="L32" i="116"/>
  <c r="O32" i="116"/>
  <c r="R32" i="116"/>
  <c r="S32" i="116"/>
  <c r="J33" i="116"/>
  <c r="L33" i="116"/>
  <c r="O33" i="116"/>
  <c r="R33" i="116"/>
  <c r="S33" i="116"/>
  <c r="H35" i="116"/>
  <c r="J35" i="116"/>
  <c r="L35" i="116"/>
  <c r="N35" i="116"/>
  <c r="O35" i="116"/>
  <c r="R35" i="116"/>
  <c r="O36" i="116"/>
  <c r="R36" i="116"/>
  <c r="H37" i="116"/>
  <c r="J37" i="116"/>
  <c r="L37" i="116"/>
  <c r="O37" i="116"/>
  <c r="R37" i="116"/>
  <c r="S37" i="116"/>
  <c r="J38" i="116"/>
  <c r="L38" i="116"/>
  <c r="O38" i="116"/>
  <c r="R38" i="116"/>
  <c r="S38" i="116"/>
  <c r="H40" i="116"/>
  <c r="J40" i="116"/>
  <c r="L40" i="116"/>
  <c r="N40" i="116"/>
  <c r="O40" i="116"/>
  <c r="R40" i="116"/>
  <c r="O41" i="116"/>
  <c r="R41" i="116"/>
  <c r="O42" i="116"/>
  <c r="R42" i="116"/>
  <c r="H43" i="116"/>
  <c r="J43" i="116"/>
  <c r="L43" i="116"/>
  <c r="O43" i="116"/>
  <c r="R43" i="116"/>
  <c r="S43" i="116"/>
  <c r="J44" i="116"/>
  <c r="L44" i="116"/>
  <c r="O44" i="116"/>
  <c r="R44" i="116"/>
  <c r="S44" i="116"/>
  <c r="H46" i="116"/>
  <c r="J46" i="116"/>
  <c r="L46" i="116"/>
  <c r="N46" i="116"/>
  <c r="O46" i="116"/>
  <c r="R46" i="116"/>
  <c r="O47" i="116"/>
  <c r="R47" i="116"/>
  <c r="O48" i="116"/>
  <c r="R48" i="116"/>
  <c r="H49" i="116"/>
  <c r="J49" i="116"/>
  <c r="L49" i="116"/>
  <c r="O49" i="116"/>
  <c r="R49" i="116"/>
  <c r="S49" i="116"/>
  <c r="J50" i="116"/>
  <c r="L50" i="116"/>
  <c r="O50" i="116"/>
  <c r="R50" i="116"/>
  <c r="S50" i="116"/>
  <c r="H52" i="116"/>
  <c r="J52" i="116"/>
  <c r="L52" i="116"/>
  <c r="N52" i="116"/>
  <c r="O52" i="116"/>
  <c r="R52" i="116"/>
  <c r="O53" i="116"/>
  <c r="R53" i="116"/>
  <c r="H54" i="116"/>
  <c r="J54" i="116"/>
  <c r="L54" i="116"/>
  <c r="O54" i="116"/>
  <c r="R54" i="116"/>
  <c r="S54" i="116"/>
  <c r="J55" i="116"/>
  <c r="L55" i="116"/>
  <c r="O55" i="116"/>
  <c r="R55" i="116"/>
  <c r="S55" i="116"/>
  <c r="H57" i="116"/>
  <c r="J57" i="116"/>
  <c r="L57" i="116"/>
  <c r="N57" i="116"/>
  <c r="O57" i="116"/>
  <c r="R57" i="116"/>
  <c r="O58" i="116"/>
  <c r="R58" i="116"/>
  <c r="H59" i="116"/>
  <c r="J59" i="116"/>
  <c r="L59" i="116"/>
  <c r="O59" i="116"/>
  <c r="R59" i="116"/>
  <c r="S59" i="116"/>
  <c r="J60" i="116"/>
  <c r="L60" i="116"/>
  <c r="O60" i="116"/>
  <c r="R60" i="116"/>
  <c r="S60" i="116"/>
  <c r="J62" i="116"/>
  <c r="L62" i="116"/>
  <c r="N62" i="116"/>
  <c r="O62" i="116"/>
  <c r="R62" i="116"/>
  <c r="O63" i="116"/>
  <c r="R63" i="116"/>
  <c r="J64" i="116"/>
  <c r="L64" i="116"/>
  <c r="O64" i="116"/>
  <c r="R64" i="116"/>
  <c r="S64" i="116"/>
  <c r="J65" i="116"/>
  <c r="L65" i="116"/>
  <c r="O65" i="116"/>
  <c r="R65" i="116"/>
  <c r="S65" i="116"/>
  <c r="J67" i="116"/>
  <c r="L67" i="116"/>
  <c r="N67" i="116"/>
  <c r="O67" i="116"/>
  <c r="R67" i="116"/>
  <c r="O68" i="116"/>
  <c r="R68" i="116"/>
  <c r="J69" i="116"/>
  <c r="L69" i="116"/>
  <c r="O69" i="116"/>
  <c r="R69" i="116"/>
  <c r="S69" i="116"/>
  <c r="J70" i="116"/>
  <c r="L70" i="116"/>
  <c r="O70" i="116"/>
  <c r="R70" i="116"/>
  <c r="S70" i="116"/>
  <c r="F72" i="116"/>
  <c r="G72" i="116"/>
  <c r="K72" i="116"/>
  <c r="L72" i="116"/>
  <c r="N72" i="116"/>
  <c r="O72" i="116"/>
  <c r="Q72" i="116"/>
  <c r="R72" i="116"/>
  <c r="S72" i="116"/>
  <c r="J75" i="116"/>
  <c r="L75" i="116"/>
  <c r="O75" i="116"/>
  <c r="R75" i="116"/>
  <c r="J76" i="116"/>
  <c r="L76" i="116"/>
  <c r="O76" i="116"/>
  <c r="R76" i="116"/>
  <c r="J77" i="116"/>
  <c r="L77" i="116"/>
  <c r="O77" i="116"/>
  <c r="R77" i="116"/>
  <c r="J78" i="116"/>
  <c r="L78" i="116"/>
  <c r="O78" i="116"/>
  <c r="R78" i="116"/>
  <c r="J80" i="116"/>
  <c r="L80" i="116"/>
  <c r="O80" i="116"/>
  <c r="R80" i="116"/>
  <c r="L82" i="116"/>
  <c r="O82" i="116"/>
  <c r="R82" i="116"/>
  <c r="B3" i="15"/>
  <c r="H6" i="15"/>
  <c r="J6" i="15"/>
  <c r="L6" i="15"/>
  <c r="O6" i="15"/>
  <c r="R6" i="15"/>
  <c r="H7" i="15"/>
  <c r="J7" i="15"/>
  <c r="L7" i="15"/>
  <c r="O7" i="15"/>
  <c r="R7" i="15"/>
  <c r="S7" i="15"/>
  <c r="J8" i="15"/>
  <c r="L8" i="15"/>
  <c r="O8" i="15"/>
  <c r="R8" i="15"/>
  <c r="S8" i="15"/>
  <c r="H10" i="15"/>
  <c r="J10" i="15"/>
  <c r="L10" i="15"/>
  <c r="O10" i="15"/>
  <c r="R10" i="15"/>
  <c r="H11" i="15"/>
  <c r="J11" i="15"/>
  <c r="L11" i="15"/>
  <c r="O11" i="15"/>
  <c r="R11" i="15"/>
  <c r="S11" i="15"/>
  <c r="J12" i="15"/>
  <c r="L12" i="15"/>
  <c r="O12" i="15"/>
  <c r="R12" i="15"/>
  <c r="S12" i="15"/>
  <c r="H14" i="15"/>
  <c r="J14" i="15"/>
  <c r="L14" i="15"/>
  <c r="O14" i="15"/>
  <c r="R14" i="15"/>
  <c r="H15" i="15"/>
  <c r="J15" i="15"/>
  <c r="L15" i="15"/>
  <c r="O15" i="15"/>
  <c r="R15" i="15"/>
  <c r="S15" i="15"/>
  <c r="J16" i="15"/>
  <c r="L16" i="15"/>
  <c r="O16" i="15"/>
  <c r="R16" i="15"/>
  <c r="S16" i="15"/>
  <c r="H18" i="15"/>
  <c r="J18" i="15"/>
  <c r="L18" i="15"/>
  <c r="O18" i="15"/>
  <c r="R18" i="15"/>
  <c r="H19" i="15"/>
  <c r="J19" i="15"/>
  <c r="L19" i="15"/>
  <c r="O19" i="15"/>
  <c r="R19" i="15"/>
  <c r="S19" i="15"/>
  <c r="J20" i="15"/>
  <c r="L20" i="15"/>
  <c r="O20" i="15"/>
  <c r="R20" i="15"/>
  <c r="S20" i="15"/>
  <c r="H22" i="15"/>
  <c r="J22" i="15"/>
  <c r="L22" i="15"/>
  <c r="O22" i="15"/>
  <c r="R22" i="15"/>
  <c r="H23" i="15"/>
  <c r="J23" i="15"/>
  <c r="L23" i="15"/>
  <c r="O23" i="15"/>
  <c r="R23" i="15"/>
  <c r="S23" i="15"/>
  <c r="J24" i="15"/>
  <c r="L24" i="15"/>
  <c r="O24" i="15"/>
  <c r="R24" i="15"/>
  <c r="S24" i="15"/>
  <c r="H26" i="15"/>
  <c r="J26" i="15"/>
  <c r="L26" i="15"/>
  <c r="O26" i="15"/>
  <c r="R26" i="15"/>
  <c r="H27" i="15"/>
  <c r="J27" i="15"/>
  <c r="L27" i="15"/>
  <c r="O27" i="15"/>
  <c r="R27" i="15"/>
  <c r="S27" i="15"/>
  <c r="J28" i="15"/>
  <c r="L28" i="15"/>
  <c r="O28" i="15"/>
  <c r="R28" i="15"/>
  <c r="S28" i="15"/>
  <c r="H30" i="15"/>
  <c r="J30" i="15"/>
  <c r="L30" i="15"/>
  <c r="O30" i="15"/>
  <c r="R30" i="15"/>
  <c r="H31" i="15"/>
  <c r="J31" i="15"/>
  <c r="L31" i="15"/>
  <c r="O31" i="15"/>
  <c r="R31" i="15"/>
  <c r="S31" i="15"/>
  <c r="J32" i="15"/>
  <c r="L32" i="15"/>
  <c r="O32" i="15"/>
  <c r="R32" i="15"/>
  <c r="S32" i="15"/>
  <c r="H34" i="15"/>
  <c r="J34" i="15"/>
  <c r="L34" i="15"/>
  <c r="O34" i="15"/>
  <c r="R34" i="15"/>
  <c r="H35" i="15"/>
  <c r="J35" i="15"/>
  <c r="L35" i="15"/>
  <c r="O35" i="15"/>
  <c r="R35" i="15"/>
  <c r="S35" i="15"/>
  <c r="J36" i="15"/>
  <c r="L36" i="15"/>
  <c r="O36" i="15"/>
  <c r="R36" i="15"/>
  <c r="S36" i="15"/>
  <c r="H38" i="15"/>
  <c r="J38" i="15"/>
  <c r="L38" i="15"/>
  <c r="O38" i="15"/>
  <c r="R38" i="15"/>
  <c r="H39" i="15"/>
  <c r="J39" i="15"/>
  <c r="L39" i="15"/>
  <c r="O39" i="15"/>
  <c r="R39" i="15"/>
  <c r="S39" i="15"/>
  <c r="J40" i="15"/>
  <c r="L40" i="15"/>
  <c r="O40" i="15"/>
  <c r="R40" i="15"/>
  <c r="S40" i="15"/>
  <c r="H42" i="15"/>
  <c r="J42" i="15"/>
  <c r="L42" i="15"/>
  <c r="O42" i="15"/>
  <c r="R42" i="15"/>
  <c r="H43" i="15"/>
  <c r="J43" i="15"/>
  <c r="L43" i="15"/>
  <c r="O43" i="15"/>
  <c r="R43" i="15"/>
  <c r="S43" i="15"/>
  <c r="J44" i="15"/>
  <c r="L44" i="15"/>
  <c r="O44" i="15"/>
  <c r="R44" i="15"/>
  <c r="S44" i="15"/>
  <c r="H46" i="15"/>
  <c r="J46" i="15"/>
  <c r="L46" i="15"/>
  <c r="O46" i="15"/>
  <c r="R46" i="15"/>
  <c r="H47" i="15"/>
  <c r="J47" i="15"/>
  <c r="L47" i="15"/>
  <c r="O47" i="15"/>
  <c r="R47" i="15"/>
  <c r="S47" i="15"/>
  <c r="J48" i="15"/>
  <c r="L48" i="15"/>
  <c r="O48" i="15"/>
  <c r="R48" i="15"/>
  <c r="S48" i="15"/>
  <c r="H50" i="15"/>
  <c r="J50" i="15"/>
  <c r="L50" i="15"/>
  <c r="O50" i="15"/>
  <c r="R50" i="15"/>
  <c r="H51" i="15"/>
  <c r="J51" i="15"/>
  <c r="L51" i="15"/>
  <c r="O51" i="15"/>
  <c r="R51" i="15"/>
  <c r="S51" i="15"/>
  <c r="J52" i="15"/>
  <c r="L52" i="15"/>
  <c r="O52" i="15"/>
  <c r="R52" i="15"/>
  <c r="S52" i="15"/>
  <c r="F54" i="15"/>
  <c r="G54" i="15"/>
  <c r="K54" i="15"/>
  <c r="L54" i="15"/>
  <c r="N54" i="15"/>
  <c r="O54" i="15"/>
  <c r="Q54" i="15"/>
  <c r="R54" i="15"/>
  <c r="J57" i="15"/>
  <c r="L57" i="15"/>
  <c r="O57" i="15"/>
  <c r="R57" i="15"/>
  <c r="J58" i="15"/>
  <c r="L58" i="15"/>
  <c r="O58" i="15"/>
  <c r="R58" i="15"/>
  <c r="J59" i="15"/>
  <c r="L59" i="15"/>
  <c r="O59" i="15"/>
  <c r="R59" i="15"/>
  <c r="J60" i="15"/>
  <c r="L60" i="15"/>
  <c r="O60" i="15"/>
  <c r="R60" i="15"/>
  <c r="J62" i="15"/>
  <c r="L62" i="15"/>
  <c r="O62" i="15"/>
  <c r="R62" i="15"/>
  <c r="B3" i="140"/>
  <c r="H6" i="140"/>
  <c r="J6" i="140"/>
  <c r="L6" i="140"/>
  <c r="N6" i="140"/>
  <c r="O6" i="140"/>
  <c r="R6" i="140"/>
  <c r="H7" i="140"/>
  <c r="J7" i="140"/>
  <c r="L7" i="140"/>
  <c r="O7" i="140"/>
  <c r="R7" i="140"/>
  <c r="S7" i="140"/>
  <c r="J8" i="140"/>
  <c r="L8" i="140"/>
  <c r="O8" i="140"/>
  <c r="R8" i="140"/>
  <c r="S8" i="140"/>
  <c r="H10" i="140"/>
  <c r="J10" i="140"/>
  <c r="L10" i="140"/>
  <c r="N10" i="140"/>
  <c r="O10" i="140"/>
  <c r="R10" i="140"/>
  <c r="O11" i="140"/>
  <c r="R11" i="140"/>
  <c r="H12" i="140"/>
  <c r="J12" i="140"/>
  <c r="L12" i="140"/>
  <c r="O12" i="140"/>
  <c r="R12" i="140"/>
  <c r="S12" i="140"/>
  <c r="J13" i="140"/>
  <c r="L13" i="140"/>
  <c r="O13" i="140"/>
  <c r="R13" i="140"/>
  <c r="S13" i="140"/>
  <c r="H15" i="140"/>
  <c r="J15" i="140"/>
  <c r="L15" i="140"/>
  <c r="N15" i="140"/>
  <c r="O15" i="140"/>
  <c r="R15" i="140"/>
  <c r="H16" i="140"/>
  <c r="J16" i="140"/>
  <c r="L16" i="140"/>
  <c r="O16" i="140"/>
  <c r="R16" i="140"/>
  <c r="S16" i="140"/>
  <c r="J17" i="140"/>
  <c r="L17" i="140"/>
  <c r="O17" i="140"/>
  <c r="R17" i="140"/>
  <c r="S17" i="140"/>
  <c r="H19" i="140"/>
  <c r="J19" i="140"/>
  <c r="L19" i="140"/>
  <c r="N19" i="140"/>
  <c r="O19" i="140"/>
  <c r="R19" i="140"/>
  <c r="O20" i="140"/>
  <c r="R20" i="140"/>
  <c r="O21" i="140"/>
  <c r="R21" i="140"/>
  <c r="O22" i="140"/>
  <c r="R22" i="140"/>
  <c r="O23" i="140"/>
  <c r="R23" i="140"/>
  <c r="O24" i="140"/>
  <c r="R24" i="140"/>
  <c r="H25" i="140"/>
  <c r="J25" i="140"/>
  <c r="L25" i="140"/>
  <c r="O25" i="140"/>
  <c r="R25" i="140"/>
  <c r="S25" i="140"/>
  <c r="J26" i="140"/>
  <c r="L26" i="140"/>
  <c r="O26" i="140"/>
  <c r="R26" i="140"/>
  <c r="S26" i="140"/>
  <c r="H28" i="140"/>
  <c r="J28" i="140"/>
  <c r="L28" i="140"/>
  <c r="N28" i="140"/>
  <c r="O28" i="140"/>
  <c r="R28" i="140"/>
  <c r="H29" i="140"/>
  <c r="J29" i="140"/>
  <c r="L29" i="140"/>
  <c r="O29" i="140"/>
  <c r="R29" i="140"/>
  <c r="S29" i="140"/>
  <c r="J30" i="140"/>
  <c r="L30" i="140"/>
  <c r="O30" i="140"/>
  <c r="R30" i="140"/>
  <c r="S30" i="140"/>
  <c r="H32" i="140"/>
  <c r="J32" i="140"/>
  <c r="L32" i="140"/>
  <c r="N32" i="140"/>
  <c r="O32" i="140"/>
  <c r="R32" i="140"/>
  <c r="H33" i="140"/>
  <c r="J33" i="140"/>
  <c r="L33" i="140"/>
  <c r="O33" i="140"/>
  <c r="R33" i="140"/>
  <c r="S33" i="140"/>
  <c r="J34" i="140"/>
  <c r="L34" i="140"/>
  <c r="O34" i="140"/>
  <c r="R34" i="140"/>
  <c r="S34" i="140"/>
  <c r="H36" i="140"/>
  <c r="J36" i="140"/>
  <c r="L36" i="140"/>
  <c r="N36" i="140"/>
  <c r="O36" i="140"/>
  <c r="R36" i="140"/>
  <c r="O37" i="140"/>
  <c r="R37" i="140"/>
  <c r="O38" i="140"/>
  <c r="R38" i="140"/>
  <c r="O39" i="140"/>
  <c r="R39" i="140"/>
  <c r="O40" i="140"/>
  <c r="R40" i="140"/>
  <c r="O41" i="140"/>
  <c r="R41" i="140"/>
  <c r="H42" i="140"/>
  <c r="J42" i="140"/>
  <c r="L42" i="140"/>
  <c r="O42" i="140"/>
  <c r="R42" i="140"/>
  <c r="S42" i="140"/>
  <c r="J43" i="140"/>
  <c r="L43" i="140"/>
  <c r="O43" i="140"/>
  <c r="R43" i="140"/>
  <c r="S43" i="140"/>
  <c r="H45" i="140"/>
  <c r="J45" i="140"/>
  <c r="L45" i="140"/>
  <c r="N45" i="140"/>
  <c r="O45" i="140"/>
  <c r="R45" i="140"/>
  <c r="H46" i="140"/>
  <c r="J46" i="140"/>
  <c r="L46" i="140"/>
  <c r="O46" i="140"/>
  <c r="R46" i="140"/>
  <c r="S46" i="140"/>
  <c r="J47" i="140"/>
  <c r="L47" i="140"/>
  <c r="O47" i="140"/>
  <c r="R47" i="140"/>
  <c r="S47" i="140"/>
  <c r="H49" i="140"/>
  <c r="J49" i="140"/>
  <c r="L49" i="140"/>
  <c r="N49" i="140"/>
  <c r="O49" i="140"/>
  <c r="R49" i="140"/>
  <c r="H50" i="140"/>
  <c r="J50" i="140"/>
  <c r="L50" i="140"/>
  <c r="O50" i="140"/>
  <c r="R50" i="140"/>
  <c r="S50" i="140"/>
  <c r="J51" i="140"/>
  <c r="L51" i="140"/>
  <c r="O51" i="140"/>
  <c r="R51" i="140"/>
  <c r="S51" i="140"/>
  <c r="H53" i="140"/>
  <c r="L53" i="140"/>
  <c r="N53" i="140"/>
  <c r="O53" i="140"/>
  <c r="R53" i="140"/>
  <c r="H54" i="140"/>
  <c r="J54" i="140"/>
  <c r="L54" i="140"/>
  <c r="O54" i="140"/>
  <c r="R54" i="140"/>
  <c r="S54" i="140"/>
  <c r="J55" i="140"/>
  <c r="L55" i="140"/>
  <c r="O55" i="140"/>
  <c r="R55" i="140"/>
  <c r="S55" i="140"/>
  <c r="H57" i="140"/>
  <c r="J57" i="140"/>
  <c r="L57" i="140"/>
  <c r="N57" i="140"/>
  <c r="O57" i="140"/>
  <c r="R57" i="140"/>
  <c r="H58" i="140"/>
  <c r="J58" i="140"/>
  <c r="L58" i="140"/>
  <c r="O58" i="140"/>
  <c r="R58" i="140"/>
  <c r="S58" i="140"/>
  <c r="J59" i="140"/>
  <c r="L59" i="140"/>
  <c r="O59" i="140"/>
  <c r="R59" i="140"/>
  <c r="S59" i="140"/>
  <c r="H61" i="140"/>
  <c r="J61" i="140"/>
  <c r="L61" i="140"/>
  <c r="N61" i="140"/>
  <c r="O61" i="140"/>
  <c r="R61" i="140"/>
  <c r="H62" i="140"/>
  <c r="J62" i="140"/>
  <c r="L62" i="140"/>
  <c r="O62" i="140"/>
  <c r="R62" i="140"/>
  <c r="S62" i="140"/>
  <c r="J63" i="140"/>
  <c r="L63" i="140"/>
  <c r="O63" i="140"/>
  <c r="R63" i="140"/>
  <c r="S63" i="140"/>
  <c r="F65" i="140"/>
  <c r="G65" i="140"/>
  <c r="J65" i="140"/>
  <c r="K65" i="140"/>
  <c r="L65" i="140"/>
  <c r="N65" i="140"/>
  <c r="O65" i="140"/>
  <c r="Q65" i="140"/>
  <c r="R65" i="140"/>
  <c r="S65" i="140"/>
  <c r="J68" i="140"/>
  <c r="L68" i="140"/>
  <c r="O68" i="140"/>
  <c r="R68" i="140"/>
  <c r="J69" i="140"/>
  <c r="L69" i="140"/>
  <c r="O69" i="140"/>
  <c r="R69" i="140"/>
  <c r="J70" i="140"/>
  <c r="L70" i="140"/>
  <c r="O70" i="140"/>
  <c r="R70" i="140"/>
  <c r="J71" i="140"/>
  <c r="L71" i="140"/>
  <c r="O71" i="140"/>
  <c r="R71" i="140"/>
  <c r="G73" i="140"/>
  <c r="J73" i="140"/>
  <c r="K73" i="140"/>
  <c r="L73" i="140"/>
  <c r="N73" i="140"/>
  <c r="O73" i="140"/>
  <c r="Q73" i="140"/>
  <c r="R73" i="140"/>
  <c r="L75" i="140"/>
  <c r="O75" i="140"/>
  <c r="R75" i="140"/>
  <c r="L78" i="140"/>
  <c r="O78" i="140"/>
  <c r="R78" i="140"/>
  <c r="L79" i="140"/>
  <c r="O79" i="140"/>
  <c r="R79" i="140"/>
  <c r="L80" i="140"/>
  <c r="O80" i="140"/>
  <c r="R80" i="140"/>
</calcChain>
</file>

<file path=xl/sharedStrings.xml><?xml version="1.0" encoding="utf-8"?>
<sst xmlns="http://schemas.openxmlformats.org/spreadsheetml/2006/main" count="3488" uniqueCount="130">
  <si>
    <t>coh 3-15</t>
  </si>
  <si>
    <t>Contract</t>
  </si>
  <si>
    <t>Seq</t>
  </si>
  <si>
    <t>mli</t>
  </si>
  <si>
    <t>base</t>
  </si>
  <si>
    <t>forecast</t>
  </si>
  <si>
    <t>intraday</t>
  </si>
  <si>
    <t>coh 5-2</t>
  </si>
  <si>
    <t>op/mkt</t>
  </si>
  <si>
    <t>name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</si>
  <si>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</si>
  <si>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</si>
  <si>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</si>
  <si>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</si>
  <si>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</si>
  <si>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</si>
  <si>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</si>
  <si>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</si>
  <si>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</si>
  <si>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</si>
  <si>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23n-2</t>
  </si>
  <si>
    <t>23n-7</t>
  </si>
  <si>
    <t>23-1</t>
  </si>
  <si>
    <t>23-3</t>
  </si>
  <si>
    <t>23-4</t>
  </si>
  <si>
    <t>23-5</t>
  </si>
  <si>
    <t>23-6</t>
  </si>
  <si>
    <t>23-8</t>
  </si>
  <si>
    <t>23-9</t>
  </si>
  <si>
    <t>24-35</t>
  </si>
  <si>
    <t>24-39</t>
  </si>
  <si>
    <t>Receipt</t>
  </si>
  <si>
    <t>TOTAL</t>
  </si>
  <si>
    <t>STOW</t>
  </si>
  <si>
    <t>Portsmouth</t>
  </si>
  <si>
    <t>Parma</t>
  </si>
  <si>
    <t>Sandusky</t>
  </si>
  <si>
    <t>Toledo</t>
  </si>
  <si>
    <t>Lima</t>
  </si>
  <si>
    <t>Alliance</t>
  </si>
  <si>
    <t>Columbus</t>
  </si>
  <si>
    <t>Dayton</t>
  </si>
  <si>
    <t>Mansfield</t>
  </si>
  <si>
    <t>Ohio Misc</t>
  </si>
  <si>
    <t>Pittsburgh</t>
  </si>
  <si>
    <t>New Castle</t>
  </si>
  <si>
    <t xml:space="preserve"> +bank/-penalty</t>
  </si>
  <si>
    <t xml:space="preserve"> strg chg</t>
  </si>
  <si>
    <t>23n</t>
  </si>
  <si>
    <t>22STOW</t>
  </si>
  <si>
    <t>23nSTOW</t>
  </si>
  <si>
    <t>23STOW</t>
  </si>
  <si>
    <t>24STOW</t>
  </si>
  <si>
    <t>STOI</t>
  </si>
  <si>
    <t>don’t nom</t>
  </si>
  <si>
    <t>TOTAL BANK PENALTY</t>
  </si>
  <si>
    <t>Actuals</t>
  </si>
  <si>
    <t>Burn Ticket</t>
  </si>
  <si>
    <t>Strg Ticket</t>
  </si>
  <si>
    <t>joann nom</t>
  </si>
  <si>
    <t>500/489</t>
  </si>
  <si>
    <t>CES A09 gas</t>
  </si>
  <si>
    <t>pool gas</t>
  </si>
  <si>
    <t>Tenn Brinker 2891</t>
  </si>
  <si>
    <t>15/15</t>
  </si>
  <si>
    <t>Paulding - 19600</t>
  </si>
  <si>
    <t>Tetco Hkr</t>
  </si>
  <si>
    <t>Leb- TX Gas - T006057</t>
  </si>
  <si>
    <t>Leb- TX Gas - T015904</t>
  </si>
  <si>
    <t>Panhandle - 012941</t>
  </si>
  <si>
    <t>equitable</t>
  </si>
  <si>
    <t>capacity</t>
  </si>
  <si>
    <t>total used</t>
  </si>
  <si>
    <t>555/543</t>
  </si>
  <si>
    <t>kara</t>
  </si>
  <si>
    <t xml:space="preserve">kara </t>
  </si>
  <si>
    <t xml:space="preserve">Tenn Brinker 2891 - </t>
  </si>
  <si>
    <t>Panhandle - 016890</t>
  </si>
  <si>
    <t>5000/4894</t>
  </si>
  <si>
    <t xml:space="preserve"> </t>
  </si>
  <si>
    <t>Target</t>
  </si>
  <si>
    <t>note: injection strg ticket</t>
  </si>
  <si>
    <t>See Intraday Sheet</t>
  </si>
  <si>
    <t>steve</t>
  </si>
  <si>
    <t>Total nom</t>
  </si>
  <si>
    <t>mdq=54327</t>
  </si>
  <si>
    <t>3 and 4</t>
  </si>
  <si>
    <t>redirected Leach from STOI to Choice</t>
  </si>
  <si>
    <t>Date</t>
  </si>
  <si>
    <t>SST</t>
  </si>
  <si>
    <t>FT</t>
  </si>
  <si>
    <t>Overrun</t>
  </si>
  <si>
    <t>MDQ</t>
  </si>
  <si>
    <t>Total</t>
  </si>
  <si>
    <t>CHOICE</t>
  </si>
  <si>
    <t>CES</t>
  </si>
  <si>
    <t>ENA</t>
  </si>
  <si>
    <t>Actual</t>
  </si>
  <si>
    <t>Forecast</t>
  </si>
  <si>
    <t>Strg Var</t>
  </si>
  <si>
    <t>DAYTON</t>
  </si>
  <si>
    <t>CALP</t>
  </si>
  <si>
    <t>NET</t>
  </si>
  <si>
    <t>STRG</t>
  </si>
  <si>
    <t>CHOICE MARKET DEMAND - TRANSPORT USED</t>
  </si>
  <si>
    <t>CES MKT</t>
  </si>
  <si>
    <t>ENA MKT</t>
  </si>
  <si>
    <t>other</t>
  </si>
  <si>
    <t>mdq</t>
  </si>
  <si>
    <t>overrun</t>
  </si>
  <si>
    <t>per navigator 5230</t>
  </si>
  <si>
    <t>ACCUM</t>
  </si>
  <si>
    <t>1</t>
  </si>
  <si>
    <t>2</t>
  </si>
  <si>
    <t>MDQ = 8527</t>
  </si>
  <si>
    <t xml:space="preserve">Balance </t>
  </si>
  <si>
    <t>Mar 31,2000</t>
  </si>
  <si>
    <t>STORAGE WITHDRAWAL</t>
  </si>
  <si>
    <t>STORAGE INJECTION</t>
  </si>
  <si>
    <t>TCO STORAGE</t>
  </si>
  <si>
    <t>GOAL INJ</t>
  </si>
  <si>
    <t>STG BAL</t>
  </si>
  <si>
    <t>TRANS</t>
  </si>
  <si>
    <t>Balance</t>
  </si>
  <si>
    <t>April 30,2000</t>
  </si>
  <si>
    <t>MDQ = 3473</t>
  </si>
  <si>
    <t>MDQ = 3000</t>
  </si>
  <si>
    <t>ARISTECH</t>
  </si>
  <si>
    <t>steve nominates</t>
  </si>
  <si>
    <t>Aristech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</si>
</sst>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i/>
      <sz val="8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b/>
      <u/>
      <sz val="10"/>
      <color indexed="10"/>
      <name val="Arial"/>
      <family val="2"/>
    </font>
    <font>
      <b/>
      <i/>
      <sz val="10"/>
      <name val="Arial"/>
      <family val="2"/>
    </font>
    <font>
      <b/>
      <sz val="12"/>
      <color indexed="10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gray06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10" fontId="2" fillId="0" borderId="0" xfId="0" applyNumberFormat="1" applyFont="1" applyBorder="1" applyAlignment="1">
      <alignment horizontal="center"/>
    </xf>
    <xf numFmtId="10" fontId="0" fillId="0" borderId="0" xfId="0" applyNumberFormat="1"/>
    <xf numFmtId="10" fontId="1" fillId="0" borderId="0" xfId="0" applyNumberFormat="1" applyFont="1"/>
    <xf numFmtId="3" fontId="0" fillId="0" borderId="0" xfId="0" applyNumberFormat="1"/>
    <xf numFmtId="3" fontId="1" fillId="0" borderId="0" xfId="0" applyNumberFormat="1" applyFont="1"/>
    <xf numFmtId="3" fontId="2" fillId="0" borderId="1" xfId="0" applyNumberFormat="1" applyFont="1" applyBorder="1" applyAlignment="1">
      <alignment horizontal="center"/>
    </xf>
    <xf numFmtId="3" fontId="3" fillId="0" borderId="0" xfId="0" applyNumberFormat="1" applyFont="1"/>
    <xf numFmtId="3" fontId="4" fillId="0" borderId="0" xfId="0" applyNumberFormat="1" applyFont="1"/>
    <xf numFmtId="3" fontId="0" fillId="0" borderId="0" xfId="0" applyNumberFormat="1" applyBorder="1"/>
    <xf numFmtId="3" fontId="0" fillId="0" borderId="2" xfId="0" applyNumberFormat="1" applyBorder="1"/>
    <xf numFmtId="0" fontId="0" fillId="0" borderId="0" xfId="0" applyAlignment="1">
      <alignment horizontal="right"/>
    </xf>
    <xf numFmtId="3" fontId="4" fillId="0" borderId="2" xfId="0" applyNumberFormat="1" applyFont="1" applyBorder="1"/>
    <xf numFmtId="3" fontId="3" fillId="0" borderId="2" xfId="0" applyNumberFormat="1" applyFont="1" applyBorder="1"/>
    <xf numFmtId="3" fontId="3" fillId="0" borderId="0" xfId="0" applyNumberFormat="1" applyFont="1" applyBorder="1"/>
    <xf numFmtId="3" fontId="2" fillId="0" borderId="0" xfId="0" applyNumberFormat="1" applyFont="1" applyBorder="1" applyAlignment="1">
      <alignment horizontal="center"/>
    </xf>
    <xf numFmtId="3" fontId="4" fillId="2" borderId="0" xfId="0" applyNumberFormat="1" applyFont="1" applyFill="1"/>
    <xf numFmtId="3" fontId="0" fillId="3" borderId="2" xfId="0" applyNumberFormat="1" applyFill="1" applyBorder="1"/>
    <xf numFmtId="3" fontId="4" fillId="3" borderId="0" xfId="0" applyNumberFormat="1" applyFont="1" applyFill="1"/>
    <xf numFmtId="3" fontId="4" fillId="4" borderId="0" xfId="0" applyNumberFormat="1" applyFont="1" applyFill="1"/>
    <xf numFmtId="10" fontId="0" fillId="0" borderId="0" xfId="0" applyNumberFormat="1" applyAlignment="1">
      <alignment horizontal="left"/>
    </xf>
    <xf numFmtId="10" fontId="0" fillId="0" borderId="2" xfId="0" applyNumberFormat="1" applyBorder="1" applyAlignment="1">
      <alignment horizontal="left"/>
    </xf>
    <xf numFmtId="3" fontId="5" fillId="0" borderId="0" xfId="0" applyNumberFormat="1" applyFont="1"/>
    <xf numFmtId="3" fontId="6" fillId="0" borderId="3" xfId="0" applyNumberFormat="1" applyFont="1" applyBorder="1"/>
    <xf numFmtId="0" fontId="7" fillId="0" borderId="4" xfId="0" applyFont="1" applyBorder="1"/>
    <xf numFmtId="0" fontId="0" fillId="0" borderId="5" xfId="0" applyBorder="1"/>
    <xf numFmtId="0" fontId="0" fillId="0" borderId="0" xfId="0" applyFill="1"/>
    <xf numFmtId="0" fontId="0" fillId="0" borderId="0" xfId="0" applyFill="1" applyAlignment="1">
      <alignment horizontal="left"/>
    </xf>
    <xf numFmtId="10" fontId="0" fillId="0" borderId="0" xfId="0" applyNumberFormat="1" applyFill="1"/>
    <xf numFmtId="3" fontId="0" fillId="0" borderId="0" xfId="0" applyNumberFormat="1" applyFill="1"/>
    <xf numFmtId="3" fontId="4" fillId="0" borderId="0" xfId="0" applyNumberFormat="1" applyFont="1" applyFill="1"/>
    <xf numFmtId="3" fontId="0" fillId="0" borderId="2" xfId="0" applyNumberFormat="1" applyFill="1" applyBorder="1"/>
    <xf numFmtId="3" fontId="3" fillId="0" borderId="2" xfId="0" applyNumberFormat="1" applyFont="1" applyFill="1" applyBorder="1"/>
    <xf numFmtId="3" fontId="4" fillId="0" borderId="2" xfId="0" applyNumberFormat="1" applyFont="1" applyFill="1" applyBorder="1"/>
    <xf numFmtId="3" fontId="0" fillId="0" borderId="0" xfId="0" applyNumberFormat="1" applyFill="1" applyBorder="1"/>
    <xf numFmtId="3" fontId="3" fillId="0" borderId="0" xfId="0" applyNumberFormat="1" applyFont="1" applyFill="1" applyBorder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Fill="1"/>
    <xf numFmtId="0" fontId="8" fillId="0" borderId="0" xfId="0" applyFont="1"/>
    <xf numFmtId="0" fontId="8" fillId="0" borderId="6" xfId="0" applyFont="1" applyBorder="1"/>
    <xf numFmtId="0" fontId="3" fillId="0" borderId="0" xfId="0" applyFont="1" applyAlignment="1">
      <alignment horizontal="left"/>
    </xf>
    <xf numFmtId="0" fontId="3" fillId="0" borderId="0" xfId="0" applyFont="1" applyBorder="1"/>
    <xf numFmtId="0" fontId="3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6" xfId="0" applyFont="1" applyBorder="1"/>
    <xf numFmtId="3" fontId="8" fillId="0" borderId="0" xfId="0" applyNumberFormat="1" applyFont="1"/>
    <xf numFmtId="0" fontId="12" fillId="0" borderId="0" xfId="0" applyFont="1"/>
    <xf numFmtId="3" fontId="12" fillId="0" borderId="0" xfId="0" applyNumberFormat="1" applyFont="1"/>
    <xf numFmtId="3" fontId="1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3" fontId="14" fillId="0" borderId="0" xfId="0" applyNumberFormat="1" applyFont="1"/>
    <xf numFmtId="0" fontId="0" fillId="3" borderId="0" xfId="0" applyFill="1"/>
    <xf numFmtId="0" fontId="0" fillId="3" borderId="0" xfId="0" applyFill="1" applyAlignment="1">
      <alignment horizontal="left"/>
    </xf>
    <xf numFmtId="0" fontId="3" fillId="3" borderId="0" xfId="0" applyFont="1" applyFill="1" applyAlignment="1">
      <alignment horizontal="left"/>
    </xf>
    <xf numFmtId="0" fontId="2" fillId="3" borderId="0" xfId="0" applyFont="1" applyFill="1" applyBorder="1"/>
    <xf numFmtId="10" fontId="0" fillId="3" borderId="0" xfId="0" applyNumberFormat="1" applyFill="1"/>
    <xf numFmtId="3" fontId="8" fillId="3" borderId="0" xfId="0" applyNumberFormat="1" applyFont="1" applyFill="1"/>
    <xf numFmtId="3" fontId="15" fillId="3" borderId="0" xfId="0" applyNumberFormat="1" applyFont="1" applyFill="1"/>
    <xf numFmtId="16" fontId="0" fillId="3" borderId="0" xfId="0" applyNumberFormat="1" applyFill="1" applyAlignment="1">
      <alignment horizontal="left"/>
    </xf>
    <xf numFmtId="3" fontId="14" fillId="0" borderId="2" xfId="0" applyNumberFormat="1" applyFont="1" applyBorder="1"/>
    <xf numFmtId="16" fontId="0" fillId="0" borderId="0" xfId="0" applyNumberFormat="1"/>
    <xf numFmtId="0" fontId="8" fillId="0" borderId="1" xfId="0" applyFont="1" applyBorder="1"/>
    <xf numFmtId="0" fontId="8" fillId="5" borderId="0" xfId="0" applyFont="1" applyFill="1" applyAlignment="1">
      <alignment horizontal="center"/>
    </xf>
    <xf numFmtId="0" fontId="8" fillId="5" borderId="1" xfId="0" applyFont="1" applyFill="1" applyBorder="1"/>
    <xf numFmtId="0" fontId="8" fillId="0" borderId="0" xfId="0" applyFont="1" applyBorder="1"/>
    <xf numFmtId="0" fontId="0" fillId="0" borderId="7" xfId="0" applyBorder="1"/>
    <xf numFmtId="0" fontId="8" fillId="0" borderId="8" xfId="0" applyFont="1" applyBorder="1"/>
    <xf numFmtId="3" fontId="0" fillId="0" borderId="9" xfId="0" applyNumberFormat="1" applyBorder="1"/>
    <xf numFmtId="0" fontId="0" fillId="0" borderId="9" xfId="0" applyBorder="1"/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/>
    <xf numFmtId="16" fontId="4" fillId="0" borderId="0" xfId="0" applyNumberFormat="1" applyFont="1"/>
    <xf numFmtId="3" fontId="4" fillId="0" borderId="9" xfId="0" applyNumberFormat="1" applyFont="1" applyBorder="1"/>
    <xf numFmtId="0" fontId="4" fillId="0" borderId="0" xfId="0" applyFont="1"/>
    <xf numFmtId="16" fontId="16" fillId="0" borderId="0" xfId="0" applyNumberFormat="1" applyFont="1"/>
    <xf numFmtId="3" fontId="16" fillId="0" borderId="0" xfId="0" applyNumberFormat="1" applyFont="1"/>
    <xf numFmtId="3" fontId="16" fillId="0" borderId="9" xfId="0" applyNumberFormat="1" applyFont="1" applyBorder="1"/>
    <xf numFmtId="0" fontId="16" fillId="0" borderId="0" xfId="0" applyFont="1"/>
    <xf numFmtId="16" fontId="0" fillId="3" borderId="0" xfId="0" quotePrefix="1" applyNumberForma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9" xfId="0" applyFont="1" applyBorder="1"/>
    <xf numFmtId="0" fontId="4" fillId="0" borderId="9" xfId="0" applyFont="1" applyBorder="1"/>
    <xf numFmtId="0" fontId="16" fillId="0" borderId="9" xfId="0" applyFont="1" applyBorder="1"/>
    <xf numFmtId="0" fontId="8" fillId="5" borderId="0" xfId="0" applyFont="1" applyFill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U64"/>
  <sheetViews>
    <sheetView topLeftCell="E1" workbookViewId="0">
      <selection activeCell="D1" sqref="D1:F2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479</v>
      </c>
      <c r="L6" s="14">
        <v>239</v>
      </c>
      <c r="M6" s="14"/>
      <c r="N6" s="25">
        <f>ROUND(+K6,0)</f>
        <v>479</v>
      </c>
      <c r="O6" s="14">
        <f>ROUND(+L6,0)</f>
        <v>239</v>
      </c>
      <c r="P6" s="14"/>
      <c r="Q6" s="24">
        <v>150</v>
      </c>
      <c r="R6" s="14">
        <f>+O6</f>
        <v>239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240</v>
      </c>
      <c r="M7" s="16"/>
      <c r="N7" s="16"/>
      <c r="O7" s="18">
        <f>ROUND(+L7,0)</f>
        <v>240</v>
      </c>
      <c r="P7" s="14"/>
      <c r="R7" s="23">
        <f>ROUND(+Q6-N6+O7,0)</f>
        <v>-89</v>
      </c>
      <c r="S7" s="10">
        <f>+R7-O7</f>
        <v>-329</v>
      </c>
      <c r="T7" t="s">
        <v>47</v>
      </c>
    </row>
    <row r="8" spans="1:20" x14ac:dyDescent="0.2">
      <c r="J8" s="10">
        <f>SUM(J6:J7)</f>
        <v>492</v>
      </c>
      <c r="L8" s="10">
        <f>SUM(L6:L7)</f>
        <v>479</v>
      </c>
      <c r="O8" s="10">
        <f>ROUND(+L8,0)</f>
        <v>479</v>
      </c>
      <c r="R8" s="10">
        <f>SUM(R6:R7)</f>
        <v>150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5728</v>
      </c>
      <c r="L10" s="14">
        <f>ROUND(+K10*H10,0)</f>
        <v>2864</v>
      </c>
      <c r="M10" s="14"/>
      <c r="N10" s="25">
        <f>ROUND(+K10,0)</f>
        <v>5728</v>
      </c>
      <c r="O10" s="14">
        <f>ROUND(+L10,0)</f>
        <v>2864</v>
      </c>
      <c r="P10" s="14"/>
      <c r="Q10" s="24">
        <v>4367</v>
      </c>
      <c r="R10" s="14">
        <f>ROUND(+O10,0)</f>
        <v>2864</v>
      </c>
    </row>
    <row r="11" spans="1:20" ht="13.5" thickBot="1" x14ac:dyDescent="0.25">
      <c r="A11">
        <v>67693</v>
      </c>
      <c r="B11" s="1">
        <v>25</v>
      </c>
      <c r="H11" s="8">
        <f>+$B$2</f>
        <v>0.5</v>
      </c>
      <c r="I11" s="1" t="s">
        <v>50</v>
      </c>
      <c r="J11" s="16">
        <f>ROUND(+G10*H11,0)</f>
        <v>3204</v>
      </c>
      <c r="K11" s="19"/>
      <c r="L11" s="16">
        <f>ROUND(+K10*H11,0)</f>
        <v>2864</v>
      </c>
      <c r="M11" s="16"/>
      <c r="N11" s="16"/>
      <c r="O11" s="18">
        <f>ROUND(+L11,0)</f>
        <v>2864</v>
      </c>
      <c r="P11" s="16"/>
      <c r="Q11" s="19"/>
      <c r="R11" s="23">
        <f>ROUND(+Q10-N10+O11,0)</f>
        <v>1503</v>
      </c>
      <c r="S11" s="10">
        <f>+R11-O11</f>
        <v>-1361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5728</v>
      </c>
      <c r="M12" s="14"/>
      <c r="O12" s="10">
        <f>ROUND(+L12,0)</f>
        <v>5728</v>
      </c>
      <c r="P12" s="14"/>
      <c r="Q12" s="13"/>
      <c r="R12" s="10">
        <f>SUM(R10:R11)</f>
        <v>4367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</v>
      </c>
      <c r="I14" s="1">
        <v>36907</v>
      </c>
      <c r="J14" s="10">
        <f>ROUND(+G14*H14,0)</f>
        <v>1291</v>
      </c>
      <c r="K14" s="22">
        <v>2303</v>
      </c>
      <c r="L14" s="14">
        <v>1151</v>
      </c>
      <c r="M14" s="14"/>
      <c r="N14" s="25">
        <f>ROUND(+K14,0)</f>
        <v>2303</v>
      </c>
      <c r="O14" s="14">
        <f>ROUND(+L14,0)</f>
        <v>1151</v>
      </c>
      <c r="P14" s="14"/>
      <c r="Q14" s="24">
        <v>1754</v>
      </c>
      <c r="R14" s="14">
        <f>ROUND(+O14,0)</f>
        <v>1151</v>
      </c>
    </row>
    <row r="15" spans="1:20" ht="13.5" thickBot="1" x14ac:dyDescent="0.25">
      <c r="A15">
        <v>67693</v>
      </c>
      <c r="B15" s="1">
        <v>26</v>
      </c>
      <c r="H15" s="8">
        <f>+$B$2</f>
        <v>0.5</v>
      </c>
      <c r="I15" s="1" t="s">
        <v>50</v>
      </c>
      <c r="J15" s="16">
        <f>ROUND(+G14*H15,0)</f>
        <v>1291</v>
      </c>
      <c r="K15" s="19"/>
      <c r="L15" s="16">
        <f>ROUND(+K14*H15,0)</f>
        <v>1152</v>
      </c>
      <c r="M15" s="16"/>
      <c r="N15" s="16"/>
      <c r="O15" s="18">
        <f>ROUND(+L15,0)</f>
        <v>1152</v>
      </c>
      <c r="P15" s="16"/>
      <c r="Q15" s="19"/>
      <c r="R15" s="23">
        <f>ROUND(+Q14-N14+O15,0)</f>
        <v>603</v>
      </c>
      <c r="S15" s="10">
        <f>+R15-O15</f>
        <v>-549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2303</v>
      </c>
      <c r="O16" s="10">
        <f>ROUND(+L16,0)</f>
        <v>2303</v>
      </c>
      <c r="Q16" s="13"/>
      <c r="R16" s="10">
        <f>SUM(R14:R15)</f>
        <v>1754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</v>
      </c>
      <c r="I18" s="1">
        <v>36907</v>
      </c>
      <c r="J18" s="10">
        <f>ROUND(+G18*H18,0)</f>
        <v>5955</v>
      </c>
      <c r="K18" s="22">
        <v>11757</v>
      </c>
      <c r="L18" s="14">
        <v>5878</v>
      </c>
      <c r="M18" s="14"/>
      <c r="N18" s="25">
        <f>ROUND(+K18,0)</f>
        <v>11757</v>
      </c>
      <c r="O18" s="14">
        <f>ROUND(+L18,0)</f>
        <v>5878</v>
      </c>
      <c r="P18" s="14"/>
      <c r="Q18" s="24">
        <v>9012</v>
      </c>
      <c r="R18" s="14">
        <f>ROUND(+O18,0)</f>
        <v>5878</v>
      </c>
    </row>
    <row r="19" spans="1:20" ht="13.5" thickBot="1" x14ac:dyDescent="0.25">
      <c r="A19">
        <v>67693</v>
      </c>
      <c r="B19" s="1">
        <v>16</v>
      </c>
      <c r="H19" s="8">
        <f>+$B$2</f>
        <v>0.5</v>
      </c>
      <c r="I19" s="1" t="s">
        <v>51</v>
      </c>
      <c r="J19" s="16">
        <f>ROUND(+G18*H19,0)</f>
        <v>5955</v>
      </c>
      <c r="K19" s="19"/>
      <c r="L19" s="16">
        <f>ROUND(+K18*H19,0)</f>
        <v>5879</v>
      </c>
      <c r="M19" s="16"/>
      <c r="N19" s="16"/>
      <c r="O19" s="18">
        <f>ROUND(+L19,0)</f>
        <v>5879</v>
      </c>
      <c r="P19" s="16"/>
      <c r="Q19" s="19"/>
      <c r="R19" s="23">
        <f>ROUND(+Q18-N18+O19,0)</f>
        <v>3134</v>
      </c>
      <c r="S19" s="10">
        <f>+R19-O19</f>
        <v>-2745</v>
      </c>
      <c r="T19" t="s">
        <v>47</v>
      </c>
    </row>
    <row r="20" spans="1:20" x14ac:dyDescent="0.2">
      <c r="J20" s="14">
        <f>SUM(J18:J19)</f>
        <v>11910</v>
      </c>
      <c r="K20" s="13"/>
      <c r="L20" s="10">
        <f>SUM(L18:L19)</f>
        <v>11757</v>
      </c>
      <c r="M20" s="14"/>
      <c r="O20" s="10">
        <f>ROUND(+L20,0)</f>
        <v>11757</v>
      </c>
      <c r="P20" s="14"/>
      <c r="Q20" s="13"/>
      <c r="R20" s="10">
        <f>SUM(R18:R19)</f>
        <v>9012</v>
      </c>
      <c r="S20" s="10">
        <f>+R20-Q18</f>
        <v>0</v>
      </c>
      <c r="T20" t="s">
        <v>46</v>
      </c>
    </row>
    <row r="22" spans="1:20" x14ac:dyDescent="0.2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</v>
      </c>
      <c r="I22" s="1">
        <v>36907</v>
      </c>
      <c r="J22" s="10">
        <f>ROUND(+G22*H22,0)</f>
        <v>895</v>
      </c>
      <c r="K22" s="22">
        <v>1771</v>
      </c>
      <c r="L22" s="14">
        <v>885</v>
      </c>
      <c r="M22" s="14"/>
      <c r="N22" s="25">
        <f>ROUND(+K22,0)</f>
        <v>1771</v>
      </c>
      <c r="O22" s="14">
        <f>ROUND(+L22,0)</f>
        <v>885</v>
      </c>
      <c r="P22" s="14"/>
      <c r="Q22" s="24">
        <v>1352</v>
      </c>
      <c r="R22" s="14">
        <f>ROUND(+O22,0)</f>
        <v>885</v>
      </c>
    </row>
    <row r="23" spans="1:20" ht="13.5" thickBot="1" x14ac:dyDescent="0.25">
      <c r="A23">
        <v>67693</v>
      </c>
      <c r="B23" s="1">
        <v>17</v>
      </c>
      <c r="H23" s="8">
        <f>+$B$2</f>
        <v>0.5</v>
      </c>
      <c r="I23" s="1" t="s">
        <v>51</v>
      </c>
      <c r="J23" s="16">
        <f>ROUND(+G22*H23,0)</f>
        <v>895</v>
      </c>
      <c r="K23" s="19"/>
      <c r="L23" s="18">
        <f>ROUND(+K22*H23,0)</f>
        <v>886</v>
      </c>
      <c r="M23" s="18"/>
      <c r="N23" s="16"/>
      <c r="O23" s="18">
        <f>ROUND(+L23,0)</f>
        <v>886</v>
      </c>
      <c r="P23" s="18"/>
      <c r="Q23" s="19"/>
      <c r="R23" s="23">
        <f>ROUND(+Q22-N22+O23,0)</f>
        <v>467</v>
      </c>
      <c r="S23" s="10">
        <f>+R23-O23</f>
        <v>-419</v>
      </c>
      <c r="T23" t="s">
        <v>47</v>
      </c>
    </row>
    <row r="24" spans="1:20" x14ac:dyDescent="0.2">
      <c r="J24" s="10">
        <f>SUM(J22:J23)</f>
        <v>1790</v>
      </c>
      <c r="K24" s="13"/>
      <c r="L24" s="10">
        <f>SUM(L22:L23)</f>
        <v>1771</v>
      </c>
      <c r="O24" s="10">
        <f>ROUND(+L24,0)</f>
        <v>1771</v>
      </c>
      <c r="Q24" s="13"/>
      <c r="R24" s="10">
        <f>SUM(R22:R23)</f>
        <v>1352</v>
      </c>
      <c r="S24" s="10">
        <f>+R24-Q22</f>
        <v>0</v>
      </c>
      <c r="T24" t="s">
        <v>46</v>
      </c>
    </row>
    <row r="26" spans="1:20" x14ac:dyDescent="0.2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</v>
      </c>
      <c r="I26" s="1">
        <v>36907</v>
      </c>
      <c r="J26" s="10">
        <f>ROUND(+G26*H26,0)</f>
        <v>713</v>
      </c>
      <c r="K26" s="22">
        <v>1248</v>
      </c>
      <c r="L26" s="14">
        <f>ROUND(+K26*H26,0)</f>
        <v>624</v>
      </c>
      <c r="M26" s="14"/>
      <c r="N26" s="25">
        <f>ROUND(+K26,0)</f>
        <v>1248</v>
      </c>
      <c r="O26" s="14">
        <f>ROUND(+L26,0)</f>
        <v>624</v>
      </c>
      <c r="P26" s="14"/>
      <c r="Q26" s="24">
        <v>1167</v>
      </c>
      <c r="R26" s="14">
        <f>ROUND(+O26,0)</f>
        <v>624</v>
      </c>
    </row>
    <row r="27" spans="1:20" ht="13.5" thickBot="1" x14ac:dyDescent="0.25">
      <c r="A27">
        <v>67693</v>
      </c>
      <c r="B27" s="1">
        <v>18</v>
      </c>
      <c r="H27" s="8">
        <f>+$B$2</f>
        <v>0.5</v>
      </c>
      <c r="I27" s="1" t="s">
        <v>51</v>
      </c>
      <c r="J27" s="16">
        <f>ROUND(+G26*H27,0)</f>
        <v>713</v>
      </c>
      <c r="K27" s="19"/>
      <c r="L27" s="16">
        <f>ROUND(+K26*H27,0)</f>
        <v>624</v>
      </c>
      <c r="M27" s="16"/>
      <c r="N27" s="16"/>
      <c r="O27" s="18">
        <f>ROUND(+L27,0)</f>
        <v>624</v>
      </c>
      <c r="P27" s="16"/>
      <c r="Q27" s="19"/>
      <c r="R27" s="23">
        <f>ROUND(+Q26-N26+O27,0)</f>
        <v>543</v>
      </c>
      <c r="S27" s="10">
        <f>+R27-O27</f>
        <v>-81</v>
      </c>
      <c r="T27" t="s">
        <v>47</v>
      </c>
    </row>
    <row r="28" spans="1:20" x14ac:dyDescent="0.2">
      <c r="J28" s="10">
        <f>SUM(J26:J27)</f>
        <v>1426</v>
      </c>
      <c r="K28" s="13"/>
      <c r="L28" s="10">
        <f>SUM(L26:L27)</f>
        <v>1248</v>
      </c>
      <c r="O28" s="10">
        <f>ROUND(+L28,0)</f>
        <v>1248</v>
      </c>
      <c r="Q28" s="13"/>
      <c r="R28" s="10">
        <f>SUM(R26:R27)</f>
        <v>1167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</v>
      </c>
      <c r="I30" s="1">
        <v>36907</v>
      </c>
      <c r="J30" s="10">
        <f>ROUND(+G30*H30,0)</f>
        <v>5680</v>
      </c>
      <c r="K30" s="22">
        <v>9202</v>
      </c>
      <c r="L30" s="14">
        <f>ROUND(+K30*H30,0)</f>
        <v>4601</v>
      </c>
      <c r="M30" s="14"/>
      <c r="N30" s="25">
        <f>ROUND(+K30,0)</f>
        <v>9202</v>
      </c>
      <c r="O30" s="14">
        <f>ROUND(+L30,0)</f>
        <v>4601</v>
      </c>
      <c r="P30" s="14"/>
      <c r="Q30" s="24">
        <v>7863</v>
      </c>
      <c r="R30" s="14">
        <f>ROUND(+O30,0)</f>
        <v>4601</v>
      </c>
    </row>
    <row r="31" spans="1:20" ht="13.5" thickBot="1" x14ac:dyDescent="0.25">
      <c r="A31">
        <v>67693</v>
      </c>
      <c r="B31" s="1">
        <v>19</v>
      </c>
      <c r="H31" s="8">
        <f>+$B$2</f>
        <v>0.5</v>
      </c>
      <c r="I31" s="1" t="s">
        <v>51</v>
      </c>
      <c r="J31" s="16">
        <f>ROUND(+G30*H31,0)</f>
        <v>5680</v>
      </c>
      <c r="K31" s="19"/>
      <c r="L31" s="16">
        <f>ROUND(+K30*H31,0)</f>
        <v>4601</v>
      </c>
      <c r="M31" s="16"/>
      <c r="N31" s="16"/>
      <c r="O31" s="18">
        <f>ROUND(+L31,0)</f>
        <v>4601</v>
      </c>
      <c r="P31" s="16"/>
      <c r="Q31" s="19"/>
      <c r="R31" s="23">
        <f>ROUND(+Q30-N30+O31,0)</f>
        <v>3262</v>
      </c>
      <c r="S31" s="10">
        <f>+R31-O31</f>
        <v>-1339</v>
      </c>
      <c r="T31" t="s">
        <v>47</v>
      </c>
    </row>
    <row r="32" spans="1:20" x14ac:dyDescent="0.2">
      <c r="J32" s="10">
        <f>SUM(J30:J31)</f>
        <v>11360</v>
      </c>
      <c r="K32" s="13"/>
      <c r="L32" s="10">
        <f>SUM(L30:L31)</f>
        <v>9202</v>
      </c>
      <c r="O32" s="10">
        <f>ROUND(+L32,0)</f>
        <v>9202</v>
      </c>
      <c r="Q32" s="13"/>
      <c r="R32" s="10">
        <f>SUM(R30:R31)</f>
        <v>7863</v>
      </c>
      <c r="S32" s="10">
        <f>+R32-Q30</f>
        <v>0</v>
      </c>
      <c r="T32" t="s">
        <v>46</v>
      </c>
    </row>
    <row r="34" spans="1:20" ht="12" customHeight="1" x14ac:dyDescent="0.2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</v>
      </c>
      <c r="I34" s="1">
        <v>36907</v>
      </c>
      <c r="J34" s="10">
        <f>ROUND(+G34*H34,0)</f>
        <v>946</v>
      </c>
      <c r="K34" s="22">
        <v>1761</v>
      </c>
      <c r="L34" s="14">
        <v>880</v>
      </c>
      <c r="M34" s="14"/>
      <c r="N34" s="25">
        <f>ROUND(+K34,0)</f>
        <v>1761</v>
      </c>
      <c r="O34" s="14">
        <f>ROUND(+L34,0)</f>
        <v>880</v>
      </c>
      <c r="P34" s="14"/>
      <c r="Q34" s="24">
        <v>1310</v>
      </c>
      <c r="R34" s="14">
        <f>ROUND(+O34,0)</f>
        <v>880</v>
      </c>
    </row>
    <row r="35" spans="1:20" ht="12" customHeight="1" thickBot="1" x14ac:dyDescent="0.25">
      <c r="A35">
        <v>67693</v>
      </c>
      <c r="B35" s="1">
        <v>20</v>
      </c>
      <c r="H35" s="8">
        <f>+$B$2</f>
        <v>0.5</v>
      </c>
      <c r="I35" s="1" t="s">
        <v>51</v>
      </c>
      <c r="J35" s="16">
        <f>ROUND(+G34*H35,0)</f>
        <v>946</v>
      </c>
      <c r="K35" s="19"/>
      <c r="L35" s="16">
        <f>ROUND(+K34*H35,0)</f>
        <v>881</v>
      </c>
      <c r="M35" s="16"/>
      <c r="N35" s="16"/>
      <c r="O35" s="18">
        <f>ROUND(+L35,0)</f>
        <v>881</v>
      </c>
      <c r="P35" s="16"/>
      <c r="Q35" s="19"/>
      <c r="R35" s="23">
        <f>ROUND(+Q34-N34+O35,0)</f>
        <v>430</v>
      </c>
      <c r="S35" s="10">
        <f>+R35-O35</f>
        <v>-451</v>
      </c>
      <c r="T35" t="s">
        <v>47</v>
      </c>
    </row>
    <row r="36" spans="1:20" ht="12" customHeight="1" x14ac:dyDescent="0.2">
      <c r="J36" s="10">
        <f>SUM(J34:J35)</f>
        <v>1892</v>
      </c>
      <c r="K36" s="13"/>
      <c r="L36" s="10">
        <f>SUM(L34:L35)</f>
        <v>1761</v>
      </c>
      <c r="O36" s="10">
        <f>ROUND(+L36,0)</f>
        <v>1761</v>
      </c>
      <c r="Q36" s="13"/>
      <c r="R36" s="10">
        <f>SUM(R34:R35)</f>
        <v>1310</v>
      </c>
      <c r="S36" s="10">
        <f>+R36-Q34</f>
        <v>0</v>
      </c>
      <c r="T36" t="s">
        <v>46</v>
      </c>
    </row>
    <row r="37" spans="1:20" ht="12" customHeight="1" x14ac:dyDescent="0.2"/>
    <row r="38" spans="1:20" x14ac:dyDescent="0.2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</v>
      </c>
      <c r="I38" s="1">
        <v>36907</v>
      </c>
      <c r="J38" s="10">
        <f>ROUND(+G38*H38,0)</f>
        <v>1000</v>
      </c>
      <c r="K38" s="22">
        <v>1587</v>
      </c>
      <c r="L38" s="14">
        <v>793</v>
      </c>
      <c r="M38" s="14"/>
      <c r="N38" s="25">
        <f>ROUND(+K38,0)</f>
        <v>1587</v>
      </c>
      <c r="O38" s="14">
        <f>ROUND(+L38,0)</f>
        <v>793</v>
      </c>
      <c r="P38" s="14"/>
      <c r="Q38" s="24">
        <v>1094</v>
      </c>
      <c r="R38" s="14">
        <f>ROUND(+O38,0)</f>
        <v>793</v>
      </c>
    </row>
    <row r="39" spans="1:20" ht="13.5" thickBot="1" x14ac:dyDescent="0.25">
      <c r="A39">
        <v>67693</v>
      </c>
      <c r="B39" s="1">
        <v>21</v>
      </c>
      <c r="H39" s="8">
        <f>+$B$2</f>
        <v>0.5</v>
      </c>
      <c r="I39" s="1" t="s">
        <v>51</v>
      </c>
      <c r="J39" s="16">
        <f>ROUND(+G38*H39,0)</f>
        <v>1000</v>
      </c>
      <c r="K39" s="19"/>
      <c r="L39" s="16">
        <f>ROUND(+K38*H39,0)</f>
        <v>794</v>
      </c>
      <c r="M39" s="16"/>
      <c r="N39" s="16"/>
      <c r="O39" s="18">
        <f>ROUND(+L39,0)</f>
        <v>794</v>
      </c>
      <c r="P39" s="16"/>
      <c r="Q39" s="19"/>
      <c r="R39" s="23">
        <f>ROUND(+Q38-N38+O39,0)</f>
        <v>301</v>
      </c>
      <c r="S39" s="10">
        <f>+R39-O39</f>
        <v>-493</v>
      </c>
      <c r="T39" t="s">
        <v>47</v>
      </c>
    </row>
    <row r="40" spans="1:20" x14ac:dyDescent="0.2">
      <c r="J40" s="10">
        <f>SUM(J38:J39)</f>
        <v>2000</v>
      </c>
      <c r="L40" s="10">
        <f>SUM(L38:L39)</f>
        <v>1587</v>
      </c>
      <c r="O40" s="10">
        <f>ROUND(+L40,0)</f>
        <v>1587</v>
      </c>
      <c r="R40" s="10">
        <f>SUM(R38:R39)</f>
        <v>1094</v>
      </c>
      <c r="S40" s="10">
        <f>+R40-Q38</f>
        <v>0</v>
      </c>
      <c r="T40" t="s">
        <v>46</v>
      </c>
    </row>
    <row r="42" spans="1:20" x14ac:dyDescent="0.2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</v>
      </c>
      <c r="I42" s="1">
        <v>36907</v>
      </c>
      <c r="J42" s="10">
        <f>ROUND(+G42*H42,0)</f>
        <v>1235</v>
      </c>
      <c r="K42" s="22">
        <v>1981</v>
      </c>
      <c r="L42" s="14">
        <v>990</v>
      </c>
      <c r="M42" s="14"/>
      <c r="N42" s="25">
        <f>ROUND(+K42,0)</f>
        <v>1981</v>
      </c>
      <c r="O42" s="14">
        <f>ROUND(+L42,0)</f>
        <v>990</v>
      </c>
      <c r="P42" s="14"/>
      <c r="Q42" s="24">
        <v>1374</v>
      </c>
      <c r="R42" s="14">
        <f>ROUND(+O42,0)</f>
        <v>990</v>
      </c>
    </row>
    <row r="43" spans="1:20" ht="13.5" thickBot="1" x14ac:dyDescent="0.25">
      <c r="A43">
        <v>67693</v>
      </c>
      <c r="B43" s="1">
        <v>22</v>
      </c>
      <c r="H43" s="8">
        <f>+$B$2</f>
        <v>0.5</v>
      </c>
      <c r="I43" s="1" t="s">
        <v>51</v>
      </c>
      <c r="J43" s="16">
        <f>ROUND(+G42*H43,0)</f>
        <v>1235</v>
      </c>
      <c r="K43" s="19"/>
      <c r="L43" s="16">
        <f>ROUND(+K42*H43,0)</f>
        <v>991</v>
      </c>
      <c r="M43" s="16"/>
      <c r="N43" s="16"/>
      <c r="O43" s="18">
        <f>ROUND(+L43,0)</f>
        <v>991</v>
      </c>
      <c r="P43" s="16"/>
      <c r="Q43" s="19"/>
      <c r="R43" s="23">
        <f>ROUND(+Q42-N42+O43,0)</f>
        <v>384</v>
      </c>
      <c r="S43" s="10">
        <f>+R43-O43</f>
        <v>-607</v>
      </c>
      <c r="T43" t="s">
        <v>47</v>
      </c>
    </row>
    <row r="44" spans="1:20" x14ac:dyDescent="0.2">
      <c r="J44" s="10">
        <f>SUM(J42:J43)</f>
        <v>2470</v>
      </c>
      <c r="K44" s="13"/>
      <c r="L44" s="10">
        <f>SUM(L42:L43)</f>
        <v>1981</v>
      </c>
      <c r="O44" s="10">
        <f>ROUND(+L44,0)</f>
        <v>1981</v>
      </c>
      <c r="Q44" s="13"/>
      <c r="R44" s="10">
        <f>SUM(R42:R43)</f>
        <v>1374</v>
      </c>
      <c r="S44" s="10">
        <f>+R44-Q42</f>
        <v>0</v>
      </c>
      <c r="T44" t="s">
        <v>46</v>
      </c>
    </row>
    <row r="46" spans="1:20" s="32" customFormat="1" x14ac:dyDescent="0.2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</v>
      </c>
      <c r="I46" s="33">
        <v>36907</v>
      </c>
      <c r="J46" s="10">
        <f>ROUND(+G46*H46,0)</f>
        <v>638</v>
      </c>
      <c r="K46" s="22">
        <v>1148</v>
      </c>
      <c r="L46" s="14">
        <f>ROUND(+K46*H46,0)</f>
        <v>574</v>
      </c>
      <c r="M46" s="36"/>
      <c r="N46" s="25">
        <f>ROUND(+K46,0)</f>
        <v>1148</v>
      </c>
      <c r="O46" s="36">
        <f>ROUND(+L46,0)</f>
        <v>574</v>
      </c>
      <c r="P46" s="36"/>
      <c r="Q46" s="24">
        <v>747</v>
      </c>
      <c r="R46" s="36">
        <f>ROUND(+O46,0)</f>
        <v>574</v>
      </c>
    </row>
    <row r="47" spans="1:20" s="32" customFormat="1" ht="13.5" thickBot="1" x14ac:dyDescent="0.25">
      <c r="A47">
        <v>67693</v>
      </c>
      <c r="B47" s="33">
        <v>23</v>
      </c>
      <c r="E47" s="33"/>
      <c r="F47" s="52"/>
      <c r="H47" s="8">
        <f>+$B$2</f>
        <v>0.5</v>
      </c>
      <c r="I47" s="33" t="s">
        <v>52</v>
      </c>
      <c r="J47" s="37">
        <f>ROUND(+G46*H47,0)</f>
        <v>638</v>
      </c>
      <c r="K47" s="38"/>
      <c r="L47" s="37">
        <f>ROUND(+K46*H47,0)</f>
        <v>574</v>
      </c>
      <c r="M47" s="37"/>
      <c r="N47" s="37"/>
      <c r="O47" s="39">
        <f>ROUND(+L47,0)</f>
        <v>574</v>
      </c>
      <c r="P47" s="37"/>
      <c r="Q47" s="38"/>
      <c r="R47" s="23">
        <f>ROUND(+Q46-N46+O47,0)</f>
        <v>173</v>
      </c>
      <c r="S47" s="35">
        <f>+R47-O47</f>
        <v>-401</v>
      </c>
      <c r="T47" s="32" t="s">
        <v>47</v>
      </c>
    </row>
    <row r="48" spans="1:20" s="32" customFormat="1" x14ac:dyDescent="0.2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1148</v>
      </c>
      <c r="M48" s="40"/>
      <c r="N48" s="35"/>
      <c r="O48" s="35">
        <f>ROUND(+L48,0)</f>
        <v>1148</v>
      </c>
      <c r="P48" s="40"/>
      <c r="Q48" s="41"/>
      <c r="R48" s="35">
        <f>SUM(R46:R47)</f>
        <v>747</v>
      </c>
      <c r="S48" s="35">
        <f>+R48-Q46</f>
        <v>0</v>
      </c>
      <c r="T48" s="32" t="s">
        <v>46</v>
      </c>
    </row>
    <row r="50" spans="1:21" s="32" customFormat="1" x14ac:dyDescent="0.2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</v>
      </c>
      <c r="I50" s="33">
        <v>36907</v>
      </c>
      <c r="J50" s="35">
        <f>ROUND(+G50*H50,0)</f>
        <v>13</v>
      </c>
      <c r="K50" s="22">
        <v>21</v>
      </c>
      <c r="L50" s="14">
        <v>10</v>
      </c>
      <c r="M50" s="36"/>
      <c r="N50" s="25">
        <f>ROUND(+K50,0)</f>
        <v>21</v>
      </c>
      <c r="O50" s="36">
        <f>ROUND(+L50,0)</f>
        <v>10</v>
      </c>
      <c r="P50" s="36"/>
      <c r="Q50" s="24">
        <v>20</v>
      </c>
      <c r="R50" s="36">
        <f>ROUND(+O50,0)</f>
        <v>10</v>
      </c>
    </row>
    <row r="51" spans="1:21" s="32" customFormat="1" ht="13.5" thickBot="1" x14ac:dyDescent="0.25">
      <c r="A51">
        <v>67693</v>
      </c>
      <c r="B51" s="33">
        <v>24</v>
      </c>
      <c r="E51" s="33"/>
      <c r="F51" s="52"/>
      <c r="H51" s="8">
        <f>+$B$2</f>
        <v>0.5</v>
      </c>
      <c r="I51" s="33" t="s">
        <v>52</v>
      </c>
      <c r="J51" s="37">
        <f>ROUND(+G50*H51,0)</f>
        <v>13</v>
      </c>
      <c r="K51" s="37"/>
      <c r="L51" s="37">
        <f>ROUND(+K50*H51,0)</f>
        <v>11</v>
      </c>
      <c r="M51" s="37"/>
      <c r="N51" s="37"/>
      <c r="O51" s="39">
        <f>ROUND(+L51,0)</f>
        <v>11</v>
      </c>
      <c r="P51" s="37"/>
      <c r="Q51" s="37"/>
      <c r="R51" s="23">
        <f>ROUND(+Q50-N50+O51,0)</f>
        <v>10</v>
      </c>
      <c r="S51" s="35">
        <f>+R51-O51</f>
        <v>-1</v>
      </c>
      <c r="T51" s="32" t="s">
        <v>47</v>
      </c>
    </row>
    <row r="52" spans="1:21" s="32" customFormat="1" x14ac:dyDescent="0.2">
      <c r="B52" s="33"/>
      <c r="E52" s="33"/>
      <c r="F52" s="52"/>
      <c r="H52" s="34" t="s">
        <v>79</v>
      </c>
      <c r="I52" s="33"/>
      <c r="J52" s="35">
        <f>SUM(J50:J51)</f>
        <v>26</v>
      </c>
      <c r="K52" s="35"/>
      <c r="L52" s="35">
        <f>SUM(L50:L51)</f>
        <v>21</v>
      </c>
      <c r="M52" s="35"/>
      <c r="N52" s="35"/>
      <c r="O52" s="35">
        <f>ROUND(+L52,0)</f>
        <v>21</v>
      </c>
      <c r="P52" s="35"/>
      <c r="Q52" s="35"/>
      <c r="R52" s="35">
        <f>SUM(R50:R51)</f>
        <v>20</v>
      </c>
      <c r="S52" s="35">
        <f>+R52-Q50</f>
        <v>0</v>
      </c>
      <c r="T52" s="32" t="s">
        <v>46</v>
      </c>
    </row>
    <row r="53" spans="1:21" ht="13.5" thickBot="1" x14ac:dyDescent="0.25"/>
    <row r="54" spans="1:21" ht="13.5" thickBot="1" x14ac:dyDescent="0.25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43632</v>
      </c>
      <c r="K54" s="10">
        <f>SUM(K6:K52)</f>
        <v>38986</v>
      </c>
      <c r="L54" s="28">
        <f>SUM(L8+L12+L16+L20+L24+L28+L32+L36+L40+L44+L48+L52)</f>
        <v>38986</v>
      </c>
      <c r="N54" s="10">
        <f>SUM(N6:N52)</f>
        <v>38986</v>
      </c>
      <c r="O54" s="28">
        <f>SUM(O8+O12+O16+O20+O24+O28+O32+O36+O40+O44+O48+O52)</f>
        <v>38986</v>
      </c>
      <c r="Q54" s="10">
        <f>SUM(Q6:Q52)</f>
        <v>30210</v>
      </c>
      <c r="R54" s="28">
        <f>SUM(R8+R12+R16+R20+R24+R28+R32+R36+R40+R44+R48+R52)</f>
        <v>30210</v>
      </c>
      <c r="S54" s="29">
        <f>S8+S12+S16+S20+S24+S28+S32+S36+S40+S44+S48+S52</f>
        <v>0</v>
      </c>
      <c r="T54" s="30" t="s">
        <v>55</v>
      </c>
      <c r="U54" s="31"/>
    </row>
    <row r="57" spans="1:21" x14ac:dyDescent="0.2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246</v>
      </c>
      <c r="L57" s="10">
        <f>SUMIF($I$6:$I$51,"22STOW",$L$6:$L$51)</f>
        <v>240</v>
      </c>
      <c r="O57" s="10">
        <f>SUMIF($I$6:$I$51,"22STOW",$O$6:$O$51)</f>
        <v>240</v>
      </c>
      <c r="R57" s="10">
        <f>SUMIF($I$6:$I$51,"22STOW",$R$6:$R$51)</f>
        <v>-89</v>
      </c>
    </row>
    <row r="58" spans="1:21" x14ac:dyDescent="0.2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4495</v>
      </c>
      <c r="L58" s="10">
        <f>SUMIF($I$6:$I$51,"23nSTOW",$L$6:$L$51)</f>
        <v>4016</v>
      </c>
      <c r="O58" s="10">
        <f>SUMIF($I$6:$I$51,"23nSTOW",$O$6:$O$51)</f>
        <v>4016</v>
      </c>
      <c r="R58" s="10">
        <f>SUMIF($I$6:$I$51,"23nSTOW",$R$6:$R$51)</f>
        <v>2106</v>
      </c>
    </row>
    <row r="59" spans="1:21" x14ac:dyDescent="0.2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16424</v>
      </c>
      <c r="L59" s="10">
        <f>SUMIF($I$6:$I$51,"23STOW",$L$6:$L$51)</f>
        <v>14656</v>
      </c>
      <c r="O59" s="10">
        <f>SUMIF($I$6:$I$51,"23STOW",$O$6:$O$51)</f>
        <v>14656</v>
      </c>
      <c r="R59" s="10">
        <f>SUMIF($I$6:$I$51,"23STOW",$R$6:$R$51)</f>
        <v>8521</v>
      </c>
    </row>
    <row r="60" spans="1:21" x14ac:dyDescent="0.2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651</v>
      </c>
      <c r="L60" s="10">
        <f>SUMIF($I$6:$I$51,"24STOW",$L$6:$L$51)</f>
        <v>585</v>
      </c>
      <c r="O60" s="10">
        <f>SUMIF($I$6:$I$51,"24STOW",$O$6:$O$51)</f>
        <v>585</v>
      </c>
      <c r="R60" s="10">
        <f>SUMIF($I$6:$I$51,"24STOW",$R$6:$R$51)</f>
        <v>183</v>
      </c>
    </row>
    <row r="62" spans="1:21" x14ac:dyDescent="0.2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22303.099697391019</v>
      </c>
      <c r="I62" t="s">
        <v>33</v>
      </c>
      <c r="J62" s="10">
        <f>SUM(J57:J60)</f>
        <v>21816</v>
      </c>
      <c r="K62" s="10">
        <f>+L62/0.97816</f>
        <v>19932.321910525883</v>
      </c>
      <c r="L62" s="10">
        <f>SUM(L57:L60)</f>
        <v>19497</v>
      </c>
      <c r="N62" s="10">
        <f>+O62/0.97816</f>
        <v>19932.321910525883</v>
      </c>
      <c r="O62" s="10">
        <f>SUM(O57:O60)</f>
        <v>19497</v>
      </c>
      <c r="Q62" s="10">
        <f>+R62/0.97816</f>
        <v>10960.37458084567</v>
      </c>
      <c r="R62" s="10">
        <f>SUM(R57:R60)</f>
        <v>10721</v>
      </c>
    </row>
    <row r="64" spans="1:21" x14ac:dyDescent="0.2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U74"/>
  <sheetViews>
    <sheetView topLeftCell="E47" workbookViewId="0">
      <selection activeCell="Q67" sqref="Q67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1089</v>
      </c>
      <c r="L6" s="14">
        <f>ROUND(+K6*H6,0)</f>
        <v>653</v>
      </c>
      <c r="M6" s="14"/>
      <c r="N6" s="25">
        <f>ROUND(+K6,0)</f>
        <v>1089</v>
      </c>
      <c r="O6" s="14">
        <f>ROUND(+L6,0)</f>
        <v>653</v>
      </c>
      <c r="P6" s="14"/>
      <c r="Q6" s="24">
        <v>901</v>
      </c>
      <c r="R6" s="14">
        <f>+O6</f>
        <v>653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436</v>
      </c>
      <c r="M7" s="16"/>
      <c r="N7" s="16"/>
      <c r="O7" s="18">
        <f>ROUND(+L7,0)</f>
        <v>436</v>
      </c>
      <c r="P7" s="14"/>
      <c r="R7" s="23">
        <f>ROUND(+Q6-N6+O7,0)</f>
        <v>248</v>
      </c>
      <c r="S7" s="10">
        <f>+R7-O7</f>
        <v>-188</v>
      </c>
      <c r="T7" t="s">
        <v>47</v>
      </c>
    </row>
    <row r="8" spans="1:20" x14ac:dyDescent="0.2">
      <c r="J8" s="10">
        <f>SUM(J6:J7)</f>
        <v>491</v>
      </c>
      <c r="L8" s="10">
        <f>SUM(L6:L7)</f>
        <v>1089</v>
      </c>
      <c r="O8" s="10">
        <f>ROUND(+L8,0)</f>
        <v>1089</v>
      </c>
      <c r="R8" s="10">
        <f>SUM(R6:R7)</f>
        <v>901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9810</v>
      </c>
      <c r="L10" s="14">
        <f>ROUND(+K10*H10,0)</f>
        <v>5886</v>
      </c>
      <c r="M10" s="14"/>
      <c r="N10" s="25">
        <f>ROUND(+K10,0)</f>
        <v>9810</v>
      </c>
      <c r="O10" s="14">
        <f>ROUND(+L10,0)</f>
        <v>5886</v>
      </c>
      <c r="P10" s="14"/>
      <c r="Q10" s="24">
        <v>11171</v>
      </c>
      <c r="R10" s="14">
        <f>ROUND(+O10,0)</f>
        <v>5886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3924</v>
      </c>
      <c r="M12" s="16"/>
      <c r="N12" s="16"/>
      <c r="O12" s="18">
        <f>ROUND(+L12,0)</f>
        <v>3924</v>
      </c>
      <c r="P12" s="16"/>
      <c r="Q12" s="19"/>
      <c r="R12" s="23">
        <f>ROUND(+Q10-N10+O12,0)</f>
        <v>5285</v>
      </c>
      <c r="S12" s="10">
        <f>+R12-O12</f>
        <v>1361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9810</v>
      </c>
      <c r="M13" s="14"/>
      <c r="O13" s="10">
        <f>ROUND(+L13,0)</f>
        <v>9810</v>
      </c>
      <c r="P13" s="14"/>
      <c r="Q13" s="13"/>
      <c r="R13" s="10">
        <f>SUM(R10:R12)</f>
        <v>11171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3952</v>
      </c>
      <c r="L15" s="14">
        <f>ROUND(+K15*H15,0)</f>
        <v>2371</v>
      </c>
      <c r="M15" s="14"/>
      <c r="N15" s="25">
        <f>ROUND(+K15,0)</f>
        <v>3952</v>
      </c>
      <c r="O15" s="14">
        <f>ROUND(+L15,0)</f>
        <v>2371</v>
      </c>
      <c r="P15" s="14"/>
      <c r="Q15" s="24">
        <v>4364</v>
      </c>
      <c r="R15" s="14">
        <f>ROUND(+O15,0)</f>
        <v>2371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1581</v>
      </c>
      <c r="M16" s="16"/>
      <c r="N16" s="16"/>
      <c r="O16" s="18">
        <f>ROUND(+L16,0)</f>
        <v>1581</v>
      </c>
      <c r="P16" s="16"/>
      <c r="Q16" s="19"/>
      <c r="R16" s="23">
        <f>ROUND(+Q15-N15+O16,0)</f>
        <v>1993</v>
      </c>
      <c r="S16" s="10">
        <f>+R16-O16</f>
        <v>412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3952</v>
      </c>
      <c r="O17" s="10">
        <f>ROUND(+L17,0)</f>
        <v>3952</v>
      </c>
      <c r="Q17" s="13"/>
      <c r="R17" s="10">
        <f>SUM(R15:R16)</f>
        <v>4364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20674</v>
      </c>
      <c r="L19" s="14">
        <f>ROUND(+K19*H19,0)-4000-8404</f>
        <v>0</v>
      </c>
      <c r="M19" s="14"/>
      <c r="N19" s="25">
        <f>ROUND(+K19,0)</f>
        <v>20674</v>
      </c>
      <c r="O19" s="14">
        <f>ROUND(+L19,0)</f>
        <v>0</v>
      </c>
      <c r="P19" s="14"/>
      <c r="Q19" s="24">
        <v>20674</v>
      </c>
      <c r="R19" s="14">
        <f>ROUND(+O19,0)</f>
        <v>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8404</v>
      </c>
      <c r="M20" s="24"/>
      <c r="N20" s="24"/>
      <c r="O20" s="66">
        <f>L20</f>
        <v>8404</v>
      </c>
      <c r="P20" s="24"/>
      <c r="Q20" s="24"/>
      <c r="R20" s="66">
        <f>L20</f>
        <v>8404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8270</v>
      </c>
      <c r="M22" s="16"/>
      <c r="N22" s="16"/>
      <c r="O22" s="18">
        <f>ROUND(+L22,0)</f>
        <v>8270</v>
      </c>
      <c r="P22" s="16"/>
      <c r="Q22" s="19"/>
      <c r="R22" s="23">
        <f>ROUND(+Q19-N19+O22,0)</f>
        <v>8270</v>
      </c>
      <c r="S22" s="10">
        <f>+R22-O22</f>
        <v>0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20674</v>
      </c>
      <c r="M23" s="14"/>
      <c r="O23" s="10">
        <f>ROUND(+L23,0)</f>
        <v>20674</v>
      </c>
      <c r="P23" s="14"/>
      <c r="Q23" s="13"/>
      <c r="R23" s="10">
        <f>SUM(R19:R22)</f>
        <v>20674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3028</v>
      </c>
      <c r="L25" s="14">
        <f>ROUND(+K25*H25,0)</f>
        <v>1817</v>
      </c>
      <c r="M25" s="14"/>
      <c r="N25" s="25">
        <f>ROUND(+K25,0)</f>
        <v>3028</v>
      </c>
      <c r="O25" s="14">
        <f>ROUND(+L25,0)</f>
        <v>1817</v>
      </c>
      <c r="P25" s="14"/>
      <c r="Q25" s="24">
        <v>3028</v>
      </c>
      <c r="R25" s="14">
        <f>ROUND(+O25,0)</f>
        <v>1817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1211</v>
      </c>
      <c r="M26" s="18"/>
      <c r="N26" s="16"/>
      <c r="O26" s="18">
        <f>ROUND(+L26,0)</f>
        <v>1211</v>
      </c>
      <c r="P26" s="18"/>
      <c r="Q26" s="19"/>
      <c r="R26" s="23">
        <f>ROUND(+Q25-N25+O26,0)</f>
        <v>1211</v>
      </c>
      <c r="S26" s="10">
        <f>+R26-O26</f>
        <v>0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3028</v>
      </c>
      <c r="O27" s="10">
        <f>ROUND(+L27,0)</f>
        <v>3028</v>
      </c>
      <c r="Q27" s="13"/>
      <c r="R27" s="10">
        <f>SUM(R25:R26)</f>
        <v>3028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2458</v>
      </c>
      <c r="L29" s="14">
        <f>ROUND(+K29*H29,0)</f>
        <v>1475</v>
      </c>
      <c r="M29" s="14"/>
      <c r="N29" s="25">
        <f>ROUND(+K29,0)</f>
        <v>2458</v>
      </c>
      <c r="O29" s="14">
        <f>ROUND(+L29,0)</f>
        <v>1475</v>
      </c>
      <c r="P29" s="14"/>
      <c r="Q29" s="24">
        <v>2779</v>
      </c>
      <c r="R29" s="14">
        <f>ROUND(+O29,0)</f>
        <v>1475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983</v>
      </c>
      <c r="M30" s="16"/>
      <c r="N30" s="16"/>
      <c r="O30" s="18">
        <f>ROUND(+L30,0)</f>
        <v>983</v>
      </c>
      <c r="P30" s="16"/>
      <c r="Q30" s="19"/>
      <c r="R30" s="23">
        <f>ROUND(+Q29-N29+O30,0)</f>
        <v>1304</v>
      </c>
      <c r="S30" s="10">
        <f>+R30-O30</f>
        <v>321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2458</v>
      </c>
      <c r="O31" s="10">
        <f>ROUND(+L31,0)</f>
        <v>2458</v>
      </c>
      <c r="Q31" s="13"/>
      <c r="R31" s="10">
        <f>SUM(R29:R30)</f>
        <v>2779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17908</v>
      </c>
      <c r="L33" s="14">
        <f>ROUND(+K33*H33,0)-4000-4000</f>
        <v>2745</v>
      </c>
      <c r="M33" s="14"/>
      <c r="N33" s="25">
        <f>ROUND(+K33,0)</f>
        <v>17908</v>
      </c>
      <c r="O33" s="14">
        <f>ROUND(+L33,0)</f>
        <v>2745</v>
      </c>
      <c r="P33" s="14"/>
      <c r="Q33" s="24">
        <v>17908</v>
      </c>
      <c r="R33" s="14">
        <f>ROUND(+O33,0)</f>
        <v>2745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4000</v>
      </c>
      <c r="M34" s="24"/>
      <c r="N34" s="24"/>
      <c r="O34" s="66">
        <f>L34</f>
        <v>4000</v>
      </c>
      <c r="P34" s="24"/>
      <c r="Q34" s="24"/>
      <c r="R34" s="66">
        <f>L34</f>
        <v>4000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7163</v>
      </c>
      <c r="M36" s="16"/>
      <c r="N36" s="16"/>
      <c r="O36" s="18">
        <f>ROUND(+L36,0)</f>
        <v>7163</v>
      </c>
      <c r="P36" s="16"/>
      <c r="Q36" s="19"/>
      <c r="R36" s="23">
        <f>ROUND(+Q33-N33+O36,0)</f>
        <v>7163</v>
      </c>
      <c r="S36" s="10">
        <f>+R36-O36</f>
        <v>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17908</v>
      </c>
      <c r="O37" s="10">
        <f>ROUND(+L37,0)</f>
        <v>17908</v>
      </c>
      <c r="Q37" s="13"/>
      <c r="R37" s="10">
        <f>SUM(R33:R36)</f>
        <v>17908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3114</v>
      </c>
      <c r="L39" s="14">
        <f>ROUND(+K39*H39,0)</f>
        <v>1868</v>
      </c>
      <c r="M39" s="14"/>
      <c r="N39" s="25">
        <f>ROUND(+K39,0)</f>
        <v>3114</v>
      </c>
      <c r="O39" s="14">
        <f>ROUND(+L39,0)</f>
        <v>1868</v>
      </c>
      <c r="P39" s="14"/>
      <c r="Q39" s="24">
        <v>2888</v>
      </c>
      <c r="R39" s="14">
        <f>ROUND(+O39,0)</f>
        <v>1868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1246</v>
      </c>
      <c r="M40" s="16"/>
      <c r="N40" s="16"/>
      <c r="O40" s="18">
        <f>ROUND(+L40,0)</f>
        <v>1246</v>
      </c>
      <c r="P40" s="16"/>
      <c r="Q40" s="19"/>
      <c r="R40" s="23">
        <f>ROUND(+Q39-N39+O40,0)</f>
        <v>1020</v>
      </c>
      <c r="S40" s="10">
        <f>+R40-O40</f>
        <v>-226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3114</v>
      </c>
      <c r="O41" s="10">
        <f>ROUND(+L41,0)</f>
        <v>3114</v>
      </c>
      <c r="Q41" s="13"/>
      <c r="R41" s="10">
        <f>SUM(R39:R40)</f>
        <v>2888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3190</v>
      </c>
      <c r="L43" s="14">
        <f>ROUND(+K43*H43,0)</f>
        <v>1914</v>
      </c>
      <c r="M43" s="14"/>
      <c r="N43" s="25">
        <f>ROUND(+K43,0)</f>
        <v>3190</v>
      </c>
      <c r="O43" s="14">
        <f>ROUND(+L43,0)</f>
        <v>1914</v>
      </c>
      <c r="P43" s="14"/>
      <c r="Q43" s="24">
        <v>3067</v>
      </c>
      <c r="R43" s="14">
        <f>ROUND(+O43,0)</f>
        <v>1914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1276</v>
      </c>
      <c r="M44" s="16"/>
      <c r="N44" s="16"/>
      <c r="O44" s="18">
        <f>ROUND(+L44,0)</f>
        <v>1276</v>
      </c>
      <c r="P44" s="16"/>
      <c r="Q44" s="19"/>
      <c r="R44" s="23">
        <f>ROUND(+Q43-N43+O44,0)</f>
        <v>1153</v>
      </c>
      <c r="S44" s="10">
        <f>+R44-O44</f>
        <v>-123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3190</v>
      </c>
      <c r="O45" s="10">
        <f>ROUND(+L45,0)</f>
        <v>3190</v>
      </c>
      <c r="R45" s="10">
        <f>SUM(R43:R44)</f>
        <v>3067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4261</v>
      </c>
      <c r="L47" s="14">
        <f>ROUND(+K47*H47,0)</f>
        <v>2557</v>
      </c>
      <c r="M47" s="14"/>
      <c r="N47" s="25">
        <f>ROUND(+K47,0)</f>
        <v>4261</v>
      </c>
      <c r="O47" s="14">
        <f>ROUND(+L47,0)</f>
        <v>2557</v>
      </c>
      <c r="P47" s="14"/>
      <c r="Q47" s="24">
        <v>4261</v>
      </c>
      <c r="R47" s="14">
        <f>ROUND(+O47,0)</f>
        <v>2557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1704</v>
      </c>
      <c r="M48" s="16"/>
      <c r="N48" s="16"/>
      <c r="O48" s="18">
        <f>ROUND(+L48,0)</f>
        <v>1704</v>
      </c>
      <c r="P48" s="16"/>
      <c r="Q48" s="19"/>
      <c r="R48" s="23">
        <f>ROUND(+Q47-N47+O48,0)</f>
        <v>1704</v>
      </c>
      <c r="S48" s="10">
        <f>+R48-O48</f>
        <v>0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4261</v>
      </c>
      <c r="O49" s="10">
        <f>ROUND(+L49,0)</f>
        <v>4261</v>
      </c>
      <c r="Q49" s="13"/>
      <c r="R49" s="10">
        <f>SUM(R47:R48)</f>
        <v>4261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2347</v>
      </c>
      <c r="L51" s="36">
        <f>ROUND(+K51*H51,0)</f>
        <v>1408</v>
      </c>
      <c r="M51" s="36"/>
      <c r="N51" s="25">
        <f>ROUND(+K51,0)</f>
        <v>2347</v>
      </c>
      <c r="O51" s="36">
        <f>ROUND(+L51,0)</f>
        <v>1408</v>
      </c>
      <c r="P51" s="36"/>
      <c r="Q51" s="24">
        <v>2668</v>
      </c>
      <c r="R51" s="36">
        <f>ROUND(+O51,0)</f>
        <v>1408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939</v>
      </c>
      <c r="M52" s="37"/>
      <c r="N52" s="37"/>
      <c r="O52" s="39">
        <f>ROUND(+L52,0)</f>
        <v>939</v>
      </c>
      <c r="P52" s="37"/>
      <c r="Q52" s="38"/>
      <c r="R52" s="23">
        <f>ROUND(+Q51-N51+O52,0)</f>
        <v>1260</v>
      </c>
      <c r="S52" s="35">
        <f>+R52-O52</f>
        <v>321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2347</v>
      </c>
      <c r="M53" s="40"/>
      <c r="N53" s="35"/>
      <c r="O53" s="35">
        <f>ROUND(+L53,0)</f>
        <v>2347</v>
      </c>
      <c r="P53" s="40"/>
      <c r="Q53" s="41"/>
      <c r="R53" s="35">
        <f>SUM(R51:R52)</f>
        <v>2668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44</v>
      </c>
      <c r="L55" s="36">
        <f>ROUND(+K55*H55,0)</f>
        <v>26</v>
      </c>
      <c r="M55" s="36"/>
      <c r="N55" s="25">
        <f>ROUND(+K55,0)</f>
        <v>44</v>
      </c>
      <c r="O55" s="36">
        <f>ROUND(+L55,0)</f>
        <v>26</v>
      </c>
      <c r="P55" s="36"/>
      <c r="Q55" s="24">
        <v>50</v>
      </c>
      <c r="R55" s="36">
        <f>ROUND(+O55,0)</f>
        <v>26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18</v>
      </c>
      <c r="M56" s="37"/>
      <c r="N56" s="37"/>
      <c r="O56" s="39">
        <f>ROUND(+L56,0)</f>
        <v>18</v>
      </c>
      <c r="P56" s="37"/>
      <c r="Q56" s="37"/>
      <c r="R56" s="23">
        <f>ROUND(+Q55-N55+O56,0)</f>
        <v>24</v>
      </c>
      <c r="S56" s="35">
        <f>+R56-O56</f>
        <v>6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44</v>
      </c>
      <c r="M57" s="35"/>
      <c r="N57" s="35"/>
      <c r="O57" s="35">
        <f>ROUND(+L57,0)</f>
        <v>44</v>
      </c>
      <c r="P57" s="35"/>
      <c r="Q57" s="35"/>
      <c r="R57" s="35">
        <f>SUM(R55:R56)</f>
        <v>50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71875</v>
      </c>
      <c r="L59" s="28">
        <f>SUM(L8+L13+L17+L23+L27+L31+L37+L41+L45+L49+L53+L57)</f>
        <v>71875</v>
      </c>
      <c r="N59" s="10">
        <f>SUM(N6:N57)</f>
        <v>71875</v>
      </c>
      <c r="O59" s="28">
        <f>SUM(O8+O13+O17+O23+O27+O31+O37+O41+O45+O49+O53+O57)</f>
        <v>71875</v>
      </c>
      <c r="Q59" s="10">
        <f>SUM(Q6:Q57)</f>
        <v>73759</v>
      </c>
      <c r="R59" s="28">
        <f>SUM(R8+R13+R17+R23+R27+R31+R37+R41+R45+R49+R53+R57)</f>
        <v>73759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436</v>
      </c>
      <c r="O62" s="10">
        <f>SUMIF($I$6:$I$56,"22STOW",$O$6:$O$56)</f>
        <v>436</v>
      </c>
      <c r="R62" s="10">
        <f>SUMIF($I$6:$I$56,"22STOW",$R$6:$R$56)</f>
        <v>248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5505</v>
      </c>
      <c r="O63" s="10">
        <f>SUMIF($I$6:$I$56,"23nSTOW",$O$6:$O$56)</f>
        <v>5505</v>
      </c>
      <c r="R63" s="10">
        <f>SUMIF($I$6:$I$56,"23nSTOW",$R$6:$R$56)</f>
        <v>7278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21853</v>
      </c>
      <c r="O64" s="10">
        <f>SUMIF($I$6:$I$56,"23STOW",$O$6:$O$56)</f>
        <v>21853</v>
      </c>
      <c r="R64" s="10">
        <f>SUMIF($I$6:$I$56,"23STOW",$R$6:$R$56)</f>
        <v>21825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957</v>
      </c>
      <c r="O65" s="10">
        <f>SUMIF($I$6:$I$56,"24STOW",$O$6:$O$56)</f>
        <v>957</v>
      </c>
      <c r="R65" s="10">
        <f>SUMIF($I$6:$I$56,"24STOW",$R$6:$R$56)</f>
        <v>1284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29392.941850004088</v>
      </c>
      <c r="L67" s="10">
        <f>SUM(L62:L65)</f>
        <v>28751</v>
      </c>
      <c r="N67" s="10">
        <f>+O67/0.97816</f>
        <v>29392.941850004088</v>
      </c>
      <c r="O67" s="10">
        <f>SUM(O62:O65)</f>
        <v>28751</v>
      </c>
      <c r="Q67" s="10">
        <f>+R67/0.97816</f>
        <v>31319.007115400342</v>
      </c>
      <c r="R67" s="10">
        <f>SUM(R62:R65)</f>
        <v>30635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51471</v>
      </c>
      <c r="O72" s="10">
        <f>SUMIF($A$6:$A$58,"67693",$O$6:$O$58)</f>
        <v>51471</v>
      </c>
      <c r="R72" s="10">
        <f>SUMIF($A$6:$A$58,"67693",$R$6:$R$58)</f>
        <v>53355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12404</v>
      </c>
      <c r="O74" s="10">
        <f>SUMIF($A$6:$A$53,"40998",$O$6:$O$53)</f>
        <v>12404</v>
      </c>
      <c r="R74" s="10">
        <f>SUMIF($A$6:$A$53,"40998",$R$6:$R$53)</f>
        <v>12404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U74"/>
  <sheetViews>
    <sheetView topLeftCell="E57" workbookViewId="0">
      <selection activeCell="R8" sqref="R8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901</v>
      </c>
      <c r="L6" s="14">
        <f>ROUND(+K6*H6,0)</f>
        <v>541</v>
      </c>
      <c r="M6" s="14"/>
      <c r="N6" s="25">
        <f>ROUND(+K6,0)</f>
        <v>901</v>
      </c>
      <c r="O6" s="14">
        <f>ROUND(+L6,0)</f>
        <v>541</v>
      </c>
      <c r="P6" s="14"/>
      <c r="Q6" s="24">
        <v>526</v>
      </c>
      <c r="R6" s="14">
        <f>+O6</f>
        <v>541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360</v>
      </c>
      <c r="M7" s="16"/>
      <c r="N7" s="16"/>
      <c r="O7" s="18">
        <f>ROUND(+L7,0)</f>
        <v>360</v>
      </c>
      <c r="P7" s="14"/>
      <c r="R7" s="23">
        <v>0</v>
      </c>
      <c r="S7" s="10">
        <f>+R7-O7</f>
        <v>-360</v>
      </c>
      <c r="T7" t="s">
        <v>47</v>
      </c>
    </row>
    <row r="8" spans="1:20" x14ac:dyDescent="0.2">
      <c r="J8" s="10">
        <f>SUM(J6:J7)</f>
        <v>491</v>
      </c>
      <c r="L8" s="10">
        <f>SUM(L6:L7)</f>
        <v>901</v>
      </c>
      <c r="O8" s="10">
        <f>ROUND(+L8,0)</f>
        <v>901</v>
      </c>
      <c r="R8" s="10">
        <f>SUM(R6:R7)</f>
        <v>541</v>
      </c>
      <c r="S8" s="10">
        <f>+R8-Q6</f>
        <v>15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9470</v>
      </c>
      <c r="L10" s="14">
        <f>ROUND(+K10*H10,0)</f>
        <v>5682</v>
      </c>
      <c r="M10" s="14"/>
      <c r="N10" s="25">
        <f>ROUND(+K10,0)</f>
        <v>9470</v>
      </c>
      <c r="O10" s="14">
        <f>ROUND(+L10,0)</f>
        <v>5682</v>
      </c>
      <c r="P10" s="14"/>
      <c r="Q10" s="24">
        <v>10491</v>
      </c>
      <c r="R10" s="14">
        <f>ROUND(+O10,0)</f>
        <v>5682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3788</v>
      </c>
      <c r="M12" s="16"/>
      <c r="N12" s="16"/>
      <c r="O12" s="18">
        <f>ROUND(+L12,0)</f>
        <v>3788</v>
      </c>
      <c r="P12" s="16"/>
      <c r="Q12" s="19"/>
      <c r="R12" s="23">
        <f>ROUND(+Q10-N10+O12,0)</f>
        <v>4809</v>
      </c>
      <c r="S12" s="10">
        <f>+R12-O12</f>
        <v>1021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9470</v>
      </c>
      <c r="M13" s="14"/>
      <c r="O13" s="10">
        <f>ROUND(+L13,0)</f>
        <v>9470</v>
      </c>
      <c r="P13" s="14"/>
      <c r="Q13" s="13"/>
      <c r="R13" s="10">
        <f>SUM(R10:R12)</f>
        <v>10491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3952</v>
      </c>
      <c r="L15" s="14">
        <f>ROUND(+K15*H15,0)</f>
        <v>2371</v>
      </c>
      <c r="M15" s="14"/>
      <c r="N15" s="25">
        <f>ROUND(+K15,0)</f>
        <v>3952</v>
      </c>
      <c r="O15" s="14">
        <f>ROUND(+L15,0)</f>
        <v>2371</v>
      </c>
      <c r="P15" s="14"/>
      <c r="Q15" s="24">
        <v>4089</v>
      </c>
      <c r="R15" s="14">
        <f>ROUND(+O15,0)</f>
        <v>2371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1581</v>
      </c>
      <c r="M16" s="16"/>
      <c r="N16" s="16"/>
      <c r="O16" s="18">
        <f>ROUND(+L16,0)</f>
        <v>1581</v>
      </c>
      <c r="P16" s="16"/>
      <c r="Q16" s="19"/>
      <c r="R16" s="23">
        <f>ROUND(+Q15-N15+O16,0)</f>
        <v>1718</v>
      </c>
      <c r="S16" s="10">
        <f>+R16-O16</f>
        <v>137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3952</v>
      </c>
      <c r="O17" s="10">
        <f>ROUND(+L17,0)</f>
        <v>3952</v>
      </c>
      <c r="Q17" s="13"/>
      <c r="R17" s="10">
        <f>SUM(R15:R16)</f>
        <v>4089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20674</v>
      </c>
      <c r="L19" s="14">
        <f>ROUND(+K19*H19,0)-4000-4200</f>
        <v>4204</v>
      </c>
      <c r="M19" s="14"/>
      <c r="N19" s="25">
        <f>ROUND(+K19,0)</f>
        <v>20674</v>
      </c>
      <c r="O19" s="14">
        <f>ROUND(+L19,0)</f>
        <v>4204</v>
      </c>
      <c r="P19" s="14"/>
      <c r="Q19" s="24">
        <v>19988</v>
      </c>
      <c r="R19" s="14">
        <f>ROUND(+O19,0)</f>
        <v>4204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4200</v>
      </c>
      <c r="M20" s="24"/>
      <c r="N20" s="24"/>
      <c r="O20" s="66">
        <f>L20</f>
        <v>4200</v>
      </c>
      <c r="P20" s="24"/>
      <c r="Q20" s="24"/>
      <c r="R20" s="66">
        <f>L20</f>
        <v>4200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8270</v>
      </c>
      <c r="M22" s="16"/>
      <c r="N22" s="16"/>
      <c r="O22" s="18">
        <f>ROUND(+L22,0)</f>
        <v>8270</v>
      </c>
      <c r="P22" s="16"/>
      <c r="Q22" s="19"/>
      <c r="R22" s="23">
        <f>ROUND(+Q19-N19+O22,0)</f>
        <v>7584</v>
      </c>
      <c r="S22" s="10">
        <f>+R22-O22</f>
        <v>-686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20674</v>
      </c>
      <c r="M23" s="14"/>
      <c r="O23" s="10">
        <f>ROUND(+L23,0)</f>
        <v>20674</v>
      </c>
      <c r="P23" s="14"/>
      <c r="Q23" s="13"/>
      <c r="R23" s="10">
        <f>SUM(R19:R22)</f>
        <v>19988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3028</v>
      </c>
      <c r="L25" s="14">
        <f>ROUND(+K25*H25,0)</f>
        <v>1817</v>
      </c>
      <c r="M25" s="14"/>
      <c r="N25" s="25">
        <f>ROUND(+K25,0)</f>
        <v>3028</v>
      </c>
      <c r="O25" s="14">
        <f>ROUND(+L25,0)</f>
        <v>1817</v>
      </c>
      <c r="P25" s="14"/>
      <c r="Q25" s="24">
        <v>2819</v>
      </c>
      <c r="R25" s="14">
        <f>ROUND(+O25,0)</f>
        <v>1817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1211</v>
      </c>
      <c r="M26" s="18"/>
      <c r="N26" s="16"/>
      <c r="O26" s="18">
        <f>ROUND(+L26,0)</f>
        <v>1211</v>
      </c>
      <c r="P26" s="18"/>
      <c r="Q26" s="19"/>
      <c r="R26" s="23">
        <f>ROUND(+Q25-N25+O26,0)</f>
        <v>1002</v>
      </c>
      <c r="S26" s="10">
        <f>+R26-O26</f>
        <v>-209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3028</v>
      </c>
      <c r="O27" s="10">
        <f>ROUND(+L27,0)</f>
        <v>3028</v>
      </c>
      <c r="Q27" s="13"/>
      <c r="R27" s="10">
        <f>SUM(R25:R26)</f>
        <v>2819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2458</v>
      </c>
      <c r="L29" s="14">
        <f>ROUND(+K29*H29,0)</f>
        <v>1475</v>
      </c>
      <c r="M29" s="14"/>
      <c r="N29" s="25">
        <f>ROUND(+K29,0)</f>
        <v>2458</v>
      </c>
      <c r="O29" s="14">
        <f>ROUND(+L29,0)</f>
        <v>1475</v>
      </c>
      <c r="P29" s="14"/>
      <c r="Q29" s="24">
        <v>2377</v>
      </c>
      <c r="R29" s="14">
        <f>ROUND(+O29,0)</f>
        <v>1475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983</v>
      </c>
      <c r="M30" s="16"/>
      <c r="N30" s="16"/>
      <c r="O30" s="18">
        <f>ROUND(+L30,0)</f>
        <v>983</v>
      </c>
      <c r="P30" s="16"/>
      <c r="Q30" s="19"/>
      <c r="R30" s="23">
        <f>ROUND(+Q29-N29+O30,0)</f>
        <v>902</v>
      </c>
      <c r="S30" s="10">
        <f>+R30-O30</f>
        <v>-81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2458</v>
      </c>
      <c r="O31" s="10">
        <f>ROUND(+L31,0)</f>
        <v>2458</v>
      </c>
      <c r="Q31" s="13"/>
      <c r="R31" s="10">
        <f>SUM(R29:R30)</f>
        <v>2377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17238</v>
      </c>
      <c r="L33" s="14">
        <f>ROUND(+K33*H33,0)-4000-4000</f>
        <v>2343</v>
      </c>
      <c r="M33" s="14"/>
      <c r="N33" s="25">
        <f>ROUND(+K33,0)</f>
        <v>17238</v>
      </c>
      <c r="O33" s="14">
        <f>ROUND(+L33,0)</f>
        <v>2343</v>
      </c>
      <c r="P33" s="14"/>
      <c r="Q33" s="24">
        <v>15229</v>
      </c>
      <c r="R33" s="14">
        <f>ROUND(+O33,0)</f>
        <v>2343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4000</v>
      </c>
      <c r="M34" s="24"/>
      <c r="N34" s="24"/>
      <c r="O34" s="66">
        <f>L34</f>
        <v>4000</v>
      </c>
      <c r="P34" s="24"/>
      <c r="Q34" s="24"/>
      <c r="R34" s="66">
        <f>L34</f>
        <v>4000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6895</v>
      </c>
      <c r="M36" s="16"/>
      <c r="N36" s="16"/>
      <c r="O36" s="18">
        <f>ROUND(+L36,0)</f>
        <v>6895</v>
      </c>
      <c r="P36" s="16"/>
      <c r="Q36" s="19"/>
      <c r="R36" s="23">
        <f>ROUND(+Q33-N33+O36,0)</f>
        <v>4886</v>
      </c>
      <c r="S36" s="10">
        <f>+R36-O36</f>
        <v>-2009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17238</v>
      </c>
      <c r="O37" s="10">
        <f>ROUND(+L37,0)</f>
        <v>17238</v>
      </c>
      <c r="Q37" s="13"/>
      <c r="R37" s="10">
        <f>SUM(R33:R36)</f>
        <v>15229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3002</v>
      </c>
      <c r="L39" s="14">
        <f>ROUND(+K39*H39,0)</f>
        <v>1801</v>
      </c>
      <c r="M39" s="14"/>
      <c r="N39" s="25">
        <f>ROUND(+K39,0)</f>
        <v>3002</v>
      </c>
      <c r="O39" s="14">
        <f>ROUND(+L39,0)</f>
        <v>1801</v>
      </c>
      <c r="P39" s="14"/>
      <c r="Q39" s="24">
        <v>2663</v>
      </c>
      <c r="R39" s="14">
        <f>ROUND(+O39,0)</f>
        <v>1801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1201</v>
      </c>
      <c r="M40" s="16"/>
      <c r="N40" s="16"/>
      <c r="O40" s="18">
        <f>ROUND(+L40,0)</f>
        <v>1201</v>
      </c>
      <c r="P40" s="16"/>
      <c r="Q40" s="19"/>
      <c r="R40" s="23">
        <f>ROUND(+Q39-N39+O40,0)</f>
        <v>862</v>
      </c>
      <c r="S40" s="10">
        <f>+R40-O40</f>
        <v>-339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3002</v>
      </c>
      <c r="O41" s="10">
        <f>ROUND(+L41,0)</f>
        <v>3002</v>
      </c>
      <c r="Q41" s="13"/>
      <c r="R41" s="10">
        <f>SUM(R39:R40)</f>
        <v>2663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2943</v>
      </c>
      <c r="L43" s="14">
        <f>ROUND(+K43*H43,0)</f>
        <v>1766</v>
      </c>
      <c r="M43" s="14"/>
      <c r="N43" s="25">
        <f>ROUND(+K43,0)</f>
        <v>2943</v>
      </c>
      <c r="O43" s="14">
        <f>ROUND(+L43,0)</f>
        <v>1766</v>
      </c>
      <c r="P43" s="14"/>
      <c r="Q43" s="24">
        <v>2574</v>
      </c>
      <c r="R43" s="14">
        <f>ROUND(+O43,0)</f>
        <v>1766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1177</v>
      </c>
      <c r="M44" s="16"/>
      <c r="N44" s="16"/>
      <c r="O44" s="18">
        <f>ROUND(+L44,0)</f>
        <v>1177</v>
      </c>
      <c r="P44" s="16"/>
      <c r="Q44" s="19"/>
      <c r="R44" s="23">
        <f>ROUND(+Q43-N43+O44,0)</f>
        <v>808</v>
      </c>
      <c r="S44" s="10">
        <f>+R44-O44</f>
        <v>-369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2943</v>
      </c>
      <c r="O45" s="10">
        <f>ROUND(+L45,0)</f>
        <v>2943</v>
      </c>
      <c r="R45" s="10">
        <f>SUM(R43:R44)</f>
        <v>2574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3805</v>
      </c>
      <c r="L47" s="14">
        <f>ROUND(+K47*H47,0)</f>
        <v>2283</v>
      </c>
      <c r="M47" s="14"/>
      <c r="N47" s="25">
        <f>ROUND(+K47,0)</f>
        <v>3805</v>
      </c>
      <c r="O47" s="14">
        <f>ROUND(+L47,0)</f>
        <v>2283</v>
      </c>
      <c r="P47" s="14"/>
      <c r="Q47" s="24">
        <v>3045</v>
      </c>
      <c r="R47" s="14">
        <f>ROUND(+O47,0)</f>
        <v>2283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1522</v>
      </c>
      <c r="M48" s="16"/>
      <c r="N48" s="16"/>
      <c r="O48" s="18">
        <f>ROUND(+L48,0)</f>
        <v>1522</v>
      </c>
      <c r="P48" s="16"/>
      <c r="Q48" s="19"/>
      <c r="R48" s="23">
        <f>ROUND(+Q47-N47+O48,0)</f>
        <v>762</v>
      </c>
      <c r="S48" s="10">
        <f>+R48-O48</f>
        <v>-760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3805</v>
      </c>
      <c r="O49" s="10">
        <f>ROUND(+L49,0)</f>
        <v>3805</v>
      </c>
      <c r="Q49" s="13"/>
      <c r="R49" s="10">
        <f>SUM(R47:R48)</f>
        <v>3045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1947</v>
      </c>
      <c r="L51" s="36">
        <f>ROUND(+K51*H51,0)</f>
        <v>1168</v>
      </c>
      <c r="M51" s="36"/>
      <c r="N51" s="25">
        <f>ROUND(+K51,0)</f>
        <v>1947</v>
      </c>
      <c r="O51" s="36">
        <f>ROUND(+L51,0)</f>
        <v>1168</v>
      </c>
      <c r="P51" s="36"/>
      <c r="Q51" s="24">
        <v>1868</v>
      </c>
      <c r="R51" s="36">
        <f>ROUND(+O51,0)</f>
        <v>1168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779</v>
      </c>
      <c r="M52" s="37"/>
      <c r="N52" s="37"/>
      <c r="O52" s="39">
        <f>ROUND(+L52,0)</f>
        <v>779</v>
      </c>
      <c r="P52" s="37"/>
      <c r="Q52" s="38"/>
      <c r="R52" s="23">
        <f>ROUND(+Q51-N51+O52,0)</f>
        <v>700</v>
      </c>
      <c r="S52" s="35">
        <f>+R52-O52</f>
        <v>-79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1947</v>
      </c>
      <c r="M53" s="40"/>
      <c r="N53" s="35"/>
      <c r="O53" s="35">
        <f>ROUND(+L53,0)</f>
        <v>1947</v>
      </c>
      <c r="P53" s="40"/>
      <c r="Q53" s="41"/>
      <c r="R53" s="35">
        <f>SUM(R51:R52)</f>
        <v>1868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44</v>
      </c>
      <c r="L55" s="36">
        <f>ROUND(+K55*H55,0)</f>
        <v>26</v>
      </c>
      <c r="M55" s="36"/>
      <c r="N55" s="25">
        <f>ROUND(+K55,0)</f>
        <v>44</v>
      </c>
      <c r="O55" s="36">
        <f>ROUND(+L55,0)</f>
        <v>26</v>
      </c>
      <c r="P55" s="36"/>
      <c r="Q55" s="24">
        <v>43</v>
      </c>
      <c r="R55" s="36">
        <f>ROUND(+O55,0)</f>
        <v>26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18</v>
      </c>
      <c r="M56" s="37"/>
      <c r="N56" s="37"/>
      <c r="O56" s="39">
        <f>ROUND(+L56,0)</f>
        <v>18</v>
      </c>
      <c r="P56" s="37"/>
      <c r="Q56" s="37"/>
      <c r="R56" s="23">
        <f>ROUND(+Q55-N55+O56,0)</f>
        <v>17</v>
      </c>
      <c r="S56" s="35">
        <f>+R56-O56</f>
        <v>-1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44</v>
      </c>
      <c r="M57" s="35"/>
      <c r="N57" s="35"/>
      <c r="O57" s="35">
        <f>ROUND(+L57,0)</f>
        <v>44</v>
      </c>
      <c r="P57" s="35"/>
      <c r="Q57" s="35"/>
      <c r="R57" s="35">
        <f>SUM(R55:R56)</f>
        <v>43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69462</v>
      </c>
      <c r="L59" s="28">
        <f>SUM(L8+L13+L17+L23+L27+L31+L37+L41+L45+L49+L53+L57)</f>
        <v>69462</v>
      </c>
      <c r="N59" s="10">
        <f>SUM(N6:N57)</f>
        <v>69462</v>
      </c>
      <c r="O59" s="28">
        <f>SUM(O8+O13+O17+O23+O27+O31+O37+O41+O45+O49+O53+O57)</f>
        <v>69462</v>
      </c>
      <c r="Q59" s="10">
        <f>SUM(Q6:Q57)</f>
        <v>65712</v>
      </c>
      <c r="R59" s="28">
        <f>SUM(R8+R13+R17+R23+R27+R31+R37+R41+R45+R49+R53+R57)</f>
        <v>65727</v>
      </c>
      <c r="S59" s="29">
        <f>S8+S13+S17+S23+S27+S31+S37+S41+S45+S49+S53+S57</f>
        <v>15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360</v>
      </c>
      <c r="O62" s="10">
        <f>SUMIF($I$6:$I$56,"22STOW",$O$6:$O$56)</f>
        <v>360</v>
      </c>
      <c r="R62" s="10">
        <f>SUMIF($I$6:$I$56,"22STOW",$R$6:$R$56)</f>
        <v>0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5369</v>
      </c>
      <c r="O63" s="10">
        <f>SUMIF($I$6:$I$56,"23nSTOW",$O$6:$O$56)</f>
        <v>5369</v>
      </c>
      <c r="R63" s="10">
        <f>SUMIF($I$6:$I$56,"23nSTOW",$R$6:$R$56)</f>
        <v>6527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21259</v>
      </c>
      <c r="O64" s="10">
        <f>SUMIF($I$6:$I$56,"23STOW",$O$6:$O$56)</f>
        <v>21259</v>
      </c>
      <c r="R64" s="10">
        <f>SUMIF($I$6:$I$56,"23STOW",$R$6:$R$56)</f>
        <v>16806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797</v>
      </c>
      <c r="O65" s="10">
        <f>SUMIF($I$6:$I$56,"24STOW",$O$6:$O$56)</f>
        <v>797</v>
      </c>
      <c r="R65" s="10">
        <f>SUMIF($I$6:$I$56,"24STOW",$R$6:$R$56)</f>
        <v>717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28405.373354052506</v>
      </c>
      <c r="L67" s="10">
        <f>SUM(L62:L65)</f>
        <v>27785</v>
      </c>
      <c r="N67" s="10">
        <f>+O67/0.97816</f>
        <v>28405.373354052506</v>
      </c>
      <c r="O67" s="10">
        <f>SUM(O62:O65)</f>
        <v>27785</v>
      </c>
      <c r="Q67" s="10">
        <f>+R67/0.97816</f>
        <v>24586.9796352335</v>
      </c>
      <c r="R67" s="10">
        <f>SUM(R62:R65)</f>
        <v>24050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53262</v>
      </c>
      <c r="O72" s="10">
        <f>SUMIF($A$6:$A$58,"67693",$O$6:$O$58)</f>
        <v>53262</v>
      </c>
      <c r="R72" s="10">
        <f>SUMIF($A$6:$A$58,"67693",$R$6:$R$58)</f>
        <v>49527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8200</v>
      </c>
      <c r="O74" s="10">
        <f>SUMIF($A$6:$A$53,"40998",$O$6:$O$53)</f>
        <v>8200</v>
      </c>
      <c r="R74" s="10">
        <f>SUMIF($A$6:$A$53,"40998",$R$6:$R$53)</f>
        <v>8200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U74"/>
  <sheetViews>
    <sheetView topLeftCell="F66" workbookViewId="0">
      <selection activeCell="Q59" sqref="Q59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901</v>
      </c>
      <c r="L6" s="14">
        <f>ROUND(+K6*H6,0)</f>
        <v>541</v>
      </c>
      <c r="M6" s="14"/>
      <c r="N6" s="25">
        <f>ROUND(+K6,0)</f>
        <v>901</v>
      </c>
      <c r="O6" s="14">
        <f>ROUND(+L6,0)</f>
        <v>541</v>
      </c>
      <c r="P6" s="14"/>
      <c r="Q6" s="24">
        <v>807</v>
      </c>
      <c r="R6" s="14">
        <f>+O6</f>
        <v>541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360</v>
      </c>
      <c r="M7" s="16"/>
      <c r="N7" s="16"/>
      <c r="O7" s="18">
        <f>ROUND(+L7,0)</f>
        <v>360</v>
      </c>
      <c r="P7" s="14"/>
      <c r="R7" s="23">
        <f>ROUND(+Q6-N6+O7,0)</f>
        <v>266</v>
      </c>
      <c r="S7" s="10">
        <f>+R7-O7</f>
        <v>-94</v>
      </c>
      <c r="T7" t="s">
        <v>47</v>
      </c>
    </row>
    <row r="8" spans="1:20" x14ac:dyDescent="0.2">
      <c r="J8" s="10">
        <f>SUM(J6:J7)</f>
        <v>491</v>
      </c>
      <c r="L8" s="10">
        <f>SUM(L6:L7)</f>
        <v>901</v>
      </c>
      <c r="O8" s="10">
        <f>ROUND(+L8,0)</f>
        <v>901</v>
      </c>
      <c r="R8" s="10">
        <f>SUM(R6:R7)</f>
        <v>807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11171</v>
      </c>
      <c r="L10" s="14">
        <f>ROUND(+K10*H10,0)</f>
        <v>6703</v>
      </c>
      <c r="M10" s="14"/>
      <c r="N10" s="25">
        <f>ROUND(+K10,0)</f>
        <v>11171</v>
      </c>
      <c r="O10" s="14">
        <f>ROUND(+L10,0)</f>
        <v>6703</v>
      </c>
      <c r="P10" s="14"/>
      <c r="Q10" s="24">
        <v>11171</v>
      </c>
      <c r="R10" s="14">
        <f>ROUND(+O10,0)</f>
        <v>6703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4468</v>
      </c>
      <c r="M12" s="16"/>
      <c r="N12" s="16"/>
      <c r="O12" s="18">
        <f>ROUND(+L12,0)</f>
        <v>4468</v>
      </c>
      <c r="P12" s="16"/>
      <c r="Q12" s="19"/>
      <c r="R12" s="23">
        <f>ROUND(+Q10-N10+O12,0)</f>
        <v>4468</v>
      </c>
      <c r="S12" s="10">
        <f>+R12-O12</f>
        <v>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11171</v>
      </c>
      <c r="M13" s="14"/>
      <c r="O13" s="10">
        <f>ROUND(+L13,0)</f>
        <v>11171</v>
      </c>
      <c r="P13" s="14"/>
      <c r="Q13" s="13"/>
      <c r="R13" s="10">
        <f>SUM(R10:R12)</f>
        <v>11171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4501</v>
      </c>
      <c r="L15" s="14">
        <f>ROUND(+K15*H15,0)</f>
        <v>2701</v>
      </c>
      <c r="M15" s="14"/>
      <c r="N15" s="25">
        <f>ROUND(+K15,0)</f>
        <v>4501</v>
      </c>
      <c r="O15" s="14">
        <f>ROUND(+L15,0)</f>
        <v>2701</v>
      </c>
      <c r="P15" s="14"/>
      <c r="Q15" s="24">
        <v>4639</v>
      </c>
      <c r="R15" s="14">
        <f>ROUND(+O15,0)</f>
        <v>2701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1800</v>
      </c>
      <c r="M16" s="16"/>
      <c r="N16" s="16"/>
      <c r="O16" s="18">
        <f>ROUND(+L16,0)</f>
        <v>1800</v>
      </c>
      <c r="P16" s="16"/>
      <c r="Q16" s="19"/>
      <c r="R16" s="23">
        <f>ROUND(+Q15-N15+O16,0)</f>
        <v>1938</v>
      </c>
      <c r="S16" s="10">
        <f>+R16-O16</f>
        <v>138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4501</v>
      </c>
      <c r="O17" s="10">
        <f>ROUND(+L17,0)</f>
        <v>4501</v>
      </c>
      <c r="Q17" s="13"/>
      <c r="R17" s="10">
        <f>SUM(R15:R16)</f>
        <v>4639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23418</v>
      </c>
      <c r="L19" s="14">
        <f>ROUND(+K19*H19,0)-4000-10051</f>
        <v>0</v>
      </c>
      <c r="M19" s="14"/>
      <c r="N19" s="25">
        <f>ROUND(+K19,0)</f>
        <v>23418</v>
      </c>
      <c r="O19" s="14">
        <f>ROUND(+L19,0)</f>
        <v>0</v>
      </c>
      <c r="P19" s="14"/>
      <c r="Q19" s="24">
        <v>23418</v>
      </c>
      <c r="R19" s="14">
        <f>ROUND(+O19,0)</f>
        <v>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10051</v>
      </c>
      <c r="M20" s="24"/>
      <c r="N20" s="24"/>
      <c r="O20" s="66">
        <f>L20</f>
        <v>10051</v>
      </c>
      <c r="P20" s="24"/>
      <c r="Q20" s="24"/>
      <c r="R20" s="66">
        <f>L20</f>
        <v>10051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9367</v>
      </c>
      <c r="M22" s="16"/>
      <c r="N22" s="16"/>
      <c r="O22" s="18">
        <f>ROUND(+L22,0)</f>
        <v>9367</v>
      </c>
      <c r="P22" s="16"/>
      <c r="Q22" s="19"/>
      <c r="R22" s="23">
        <f>ROUND(+Q19-N19+O22,0)</f>
        <v>9367</v>
      </c>
      <c r="S22" s="10">
        <f>+R22-O22</f>
        <v>0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23418</v>
      </c>
      <c r="M23" s="14"/>
      <c r="O23" s="10">
        <f>ROUND(+L23,0)</f>
        <v>23418</v>
      </c>
      <c r="P23" s="14"/>
      <c r="Q23" s="13"/>
      <c r="R23" s="10">
        <f>SUM(R19:R22)</f>
        <v>23418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3342</v>
      </c>
      <c r="L25" s="14">
        <f>ROUND(+K25*H25,0)</f>
        <v>2005</v>
      </c>
      <c r="M25" s="14"/>
      <c r="N25" s="25">
        <f>ROUND(+K25,0)</f>
        <v>3342</v>
      </c>
      <c r="O25" s="14">
        <f>ROUND(+L25,0)</f>
        <v>2005</v>
      </c>
      <c r="P25" s="14"/>
      <c r="Q25" s="24">
        <v>3342</v>
      </c>
      <c r="R25" s="14">
        <f>ROUND(+O25,0)</f>
        <v>2005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1337</v>
      </c>
      <c r="M26" s="18"/>
      <c r="N26" s="16"/>
      <c r="O26" s="18">
        <f>ROUND(+L26,0)</f>
        <v>1337</v>
      </c>
      <c r="P26" s="18"/>
      <c r="Q26" s="19"/>
      <c r="R26" s="23">
        <f>ROUND(+Q25-N25+O26,0)</f>
        <v>1337</v>
      </c>
      <c r="S26" s="10">
        <f>+R26-O26</f>
        <v>0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3342</v>
      </c>
      <c r="O27" s="10">
        <f>ROUND(+L27,0)</f>
        <v>3342</v>
      </c>
      <c r="Q27" s="13"/>
      <c r="R27" s="10">
        <f>SUM(R25:R26)</f>
        <v>3342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2619</v>
      </c>
      <c r="L29" s="14">
        <f>ROUND(+K29*H29,0)</f>
        <v>1571</v>
      </c>
      <c r="M29" s="14"/>
      <c r="N29" s="25">
        <f>ROUND(+K29,0)</f>
        <v>2619</v>
      </c>
      <c r="O29" s="14">
        <f>ROUND(+L29,0)</f>
        <v>1571</v>
      </c>
      <c r="P29" s="14"/>
      <c r="Q29" s="24">
        <v>2538</v>
      </c>
      <c r="R29" s="14">
        <f>ROUND(+O29,0)</f>
        <v>1571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1048</v>
      </c>
      <c r="M30" s="16"/>
      <c r="N30" s="16"/>
      <c r="O30" s="18">
        <f>ROUND(+L30,0)</f>
        <v>1048</v>
      </c>
      <c r="P30" s="16"/>
      <c r="Q30" s="19"/>
      <c r="R30" s="23">
        <f>ROUND(+Q29-N29+O30,0)</f>
        <v>967</v>
      </c>
      <c r="S30" s="10">
        <f>+R30-O30</f>
        <v>-81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2619</v>
      </c>
      <c r="O31" s="10">
        <f>ROUND(+L31,0)</f>
        <v>2619</v>
      </c>
      <c r="Q31" s="13"/>
      <c r="R31" s="10">
        <f>SUM(R29:R30)</f>
        <v>2538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18578</v>
      </c>
      <c r="L33" s="14">
        <f>ROUND(+K33*H33,0)-4000-7147</f>
        <v>0</v>
      </c>
      <c r="M33" s="14"/>
      <c r="N33" s="25">
        <f>ROUND(+K33,0)</f>
        <v>18578</v>
      </c>
      <c r="O33" s="14">
        <f>ROUND(+L33,0)</f>
        <v>0</v>
      </c>
      <c r="P33" s="14"/>
      <c r="Q33" s="24">
        <v>17908</v>
      </c>
      <c r="R33" s="14">
        <f>ROUND(+O33,0)</f>
        <v>0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7147</v>
      </c>
      <c r="M34" s="24"/>
      <c r="N34" s="24"/>
      <c r="O34" s="66">
        <f>L34</f>
        <v>7147</v>
      </c>
      <c r="P34" s="24"/>
      <c r="Q34" s="24"/>
      <c r="R34" s="66">
        <f>L34</f>
        <v>7147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7431</v>
      </c>
      <c r="M36" s="16"/>
      <c r="N36" s="16"/>
      <c r="O36" s="18">
        <f>ROUND(+L36,0)</f>
        <v>7431</v>
      </c>
      <c r="P36" s="16"/>
      <c r="Q36" s="19"/>
      <c r="R36" s="23">
        <f>ROUND(+Q33-N33+O36,0)</f>
        <v>6761</v>
      </c>
      <c r="S36" s="10">
        <f>+R36-O36</f>
        <v>-670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18578</v>
      </c>
      <c r="O37" s="10">
        <f>ROUND(+L37,0)</f>
        <v>18578</v>
      </c>
      <c r="Q37" s="13"/>
      <c r="R37" s="10">
        <f>SUM(R33:R36)</f>
        <v>17908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3227</v>
      </c>
      <c r="L39" s="14">
        <f>ROUND(+K39*H39,0)</f>
        <v>1936</v>
      </c>
      <c r="M39" s="14"/>
      <c r="N39" s="25">
        <f>ROUND(+K39,0)</f>
        <v>3227</v>
      </c>
      <c r="O39" s="14">
        <f>ROUND(+L39,0)</f>
        <v>1936</v>
      </c>
      <c r="P39" s="14"/>
      <c r="Q39" s="24">
        <v>3002</v>
      </c>
      <c r="R39" s="14">
        <f>ROUND(+O39,0)</f>
        <v>1936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1291</v>
      </c>
      <c r="M40" s="16"/>
      <c r="N40" s="16"/>
      <c r="O40" s="18">
        <f>ROUND(+L40,0)</f>
        <v>1291</v>
      </c>
      <c r="P40" s="16"/>
      <c r="Q40" s="19"/>
      <c r="R40" s="23">
        <f>ROUND(+Q39-N39+O40,0)</f>
        <v>1066</v>
      </c>
      <c r="S40" s="10">
        <f>+R40-O40</f>
        <v>-225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3227</v>
      </c>
      <c r="O41" s="10">
        <f>ROUND(+L41,0)</f>
        <v>3227</v>
      </c>
      <c r="Q41" s="13"/>
      <c r="R41" s="10">
        <f>SUM(R39:R40)</f>
        <v>3002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3190</v>
      </c>
      <c r="L43" s="14">
        <f>ROUND(+K43*H43,0)</f>
        <v>1914</v>
      </c>
      <c r="M43" s="14"/>
      <c r="N43" s="25">
        <f>ROUND(+K43,0)</f>
        <v>3190</v>
      </c>
      <c r="O43" s="14">
        <f>ROUND(+L43,0)</f>
        <v>1914</v>
      </c>
      <c r="P43" s="14"/>
      <c r="Q43" s="24">
        <v>3067</v>
      </c>
      <c r="R43" s="14">
        <f>ROUND(+O43,0)</f>
        <v>1914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1276</v>
      </c>
      <c r="M44" s="16"/>
      <c r="N44" s="16"/>
      <c r="O44" s="18">
        <f>ROUND(+L44,0)</f>
        <v>1276</v>
      </c>
      <c r="P44" s="16"/>
      <c r="Q44" s="19"/>
      <c r="R44" s="23">
        <f>ROUND(+Q43-N43+O44,0)</f>
        <v>1153</v>
      </c>
      <c r="S44" s="10">
        <f>+R44-O44</f>
        <v>-123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3190</v>
      </c>
      <c r="O45" s="10">
        <f>ROUND(+L45,0)</f>
        <v>3190</v>
      </c>
      <c r="R45" s="10">
        <f>SUM(R43:R44)</f>
        <v>3067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4261</v>
      </c>
      <c r="L47" s="14">
        <f>ROUND(+K47*H47,0)</f>
        <v>2557</v>
      </c>
      <c r="M47" s="14"/>
      <c r="N47" s="25">
        <f>ROUND(+K47,0)</f>
        <v>4261</v>
      </c>
      <c r="O47" s="14">
        <f>ROUND(+L47,0)</f>
        <v>2557</v>
      </c>
      <c r="P47" s="14"/>
      <c r="Q47" s="24">
        <v>3957</v>
      </c>
      <c r="R47" s="14">
        <f>ROUND(+O47,0)</f>
        <v>2557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1704</v>
      </c>
      <c r="M48" s="16"/>
      <c r="N48" s="16"/>
      <c r="O48" s="18">
        <f>ROUND(+L48,0)</f>
        <v>1704</v>
      </c>
      <c r="P48" s="16"/>
      <c r="Q48" s="19"/>
      <c r="R48" s="23">
        <f>ROUND(+Q47-N47+O48,0)</f>
        <v>1400</v>
      </c>
      <c r="S48" s="10">
        <f>+R48-O48</f>
        <v>-304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4261</v>
      </c>
      <c r="O49" s="10">
        <f>ROUND(+L49,0)</f>
        <v>4261</v>
      </c>
      <c r="Q49" s="13"/>
      <c r="R49" s="10">
        <f>SUM(R47:R48)</f>
        <v>3957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2268</v>
      </c>
      <c r="L51" s="36">
        <f>ROUND(+K51*H51,0)</f>
        <v>1361</v>
      </c>
      <c r="M51" s="36"/>
      <c r="N51" s="25">
        <f>ROUND(+K51,0)</f>
        <v>2268</v>
      </c>
      <c r="O51" s="36">
        <f>ROUND(+L51,0)</f>
        <v>1361</v>
      </c>
      <c r="P51" s="36"/>
      <c r="Q51" s="24">
        <v>2028</v>
      </c>
      <c r="R51" s="36">
        <f>ROUND(+O51,0)</f>
        <v>1361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907</v>
      </c>
      <c r="M52" s="37"/>
      <c r="N52" s="37"/>
      <c r="O52" s="39">
        <f>ROUND(+L52,0)</f>
        <v>907</v>
      </c>
      <c r="P52" s="37"/>
      <c r="Q52" s="38"/>
      <c r="R52" s="23">
        <f>ROUND(+Q51-N51+O52,0)</f>
        <v>667</v>
      </c>
      <c r="S52" s="35">
        <f>+R52-O52</f>
        <v>-240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2268</v>
      </c>
      <c r="M53" s="40"/>
      <c r="N53" s="35"/>
      <c r="O53" s="35">
        <f>ROUND(+L53,0)</f>
        <v>2268</v>
      </c>
      <c r="P53" s="40"/>
      <c r="Q53" s="41"/>
      <c r="R53" s="35">
        <f>SUM(R51:R52)</f>
        <v>2028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47</v>
      </c>
      <c r="L55" s="36">
        <f>ROUND(+K55*H55,0)</f>
        <v>28</v>
      </c>
      <c r="M55" s="36"/>
      <c r="N55" s="25">
        <f>ROUND(+K55,0)</f>
        <v>47</v>
      </c>
      <c r="O55" s="36">
        <f>ROUND(+L55,0)</f>
        <v>28</v>
      </c>
      <c r="P55" s="36"/>
      <c r="Q55" s="24">
        <v>45</v>
      </c>
      <c r="R55" s="36">
        <f>ROUND(+O55,0)</f>
        <v>28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19</v>
      </c>
      <c r="M56" s="37"/>
      <c r="N56" s="37"/>
      <c r="O56" s="39">
        <f>ROUND(+L56,0)</f>
        <v>19</v>
      </c>
      <c r="P56" s="37"/>
      <c r="Q56" s="37"/>
      <c r="R56" s="23">
        <f>ROUND(+Q55-N55+O56,0)</f>
        <v>17</v>
      </c>
      <c r="S56" s="35">
        <f>+R56-O56</f>
        <v>-2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47</v>
      </c>
      <c r="M57" s="35"/>
      <c r="N57" s="35"/>
      <c r="O57" s="35">
        <f>ROUND(+L57,0)</f>
        <v>47</v>
      </c>
      <c r="P57" s="35"/>
      <c r="Q57" s="35"/>
      <c r="R57" s="35">
        <f>SUM(R55:R56)</f>
        <v>45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77523</v>
      </c>
      <c r="L59" s="28">
        <f>SUM(L8+L13+L17+L23+L27+L31+L37+L41+L45+L49+L53+L57)</f>
        <v>77523</v>
      </c>
      <c r="N59" s="10">
        <f>SUM(N6:N57)</f>
        <v>77523</v>
      </c>
      <c r="O59" s="28">
        <f>SUM(O8+O13+O17+O23+O27+O31+O37+O41+O45+O49+O53+O57)</f>
        <v>77523</v>
      </c>
      <c r="Q59" s="10">
        <f>SUM(Q6:Q57)</f>
        <v>75922</v>
      </c>
      <c r="R59" s="28">
        <f>SUM(R8+R13+R17+R23+R27+R31+R37+R41+R45+R49+R53+R57)</f>
        <v>75922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360</v>
      </c>
      <c r="O62" s="10">
        <f>SUMIF($I$6:$I$56,"22STOW",$O$6:$O$56)</f>
        <v>360</v>
      </c>
      <c r="R62" s="10">
        <f>SUMIF($I$6:$I$56,"22STOW",$R$6:$R$56)</f>
        <v>266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6268</v>
      </c>
      <c r="O63" s="10">
        <f>SUMIF($I$6:$I$56,"23nSTOW",$O$6:$O$56)</f>
        <v>6268</v>
      </c>
      <c r="R63" s="10">
        <f>SUMIF($I$6:$I$56,"23nSTOW",$R$6:$R$56)</f>
        <v>6406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23454</v>
      </c>
      <c r="O64" s="10">
        <f>SUMIF($I$6:$I$56,"23STOW",$O$6:$O$56)</f>
        <v>23454</v>
      </c>
      <c r="R64" s="10">
        <f>SUMIF($I$6:$I$56,"23STOW",$R$6:$R$56)</f>
        <v>22051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926</v>
      </c>
      <c r="O65" s="10">
        <f>SUMIF($I$6:$I$56,"24STOW",$O$6:$O$56)</f>
        <v>926</v>
      </c>
      <c r="R65" s="10">
        <f>SUMIF($I$6:$I$56,"24STOW",$R$6:$R$56)</f>
        <v>684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31700.335323464464</v>
      </c>
      <c r="L67" s="10">
        <f>SUM(L62:L65)</f>
        <v>31008</v>
      </c>
      <c r="N67" s="10">
        <f>+O67/0.97816</f>
        <v>31700.335323464464</v>
      </c>
      <c r="O67" s="10">
        <f>SUM(O62:O65)</f>
        <v>31008</v>
      </c>
      <c r="Q67" s="10">
        <f>+R67/0.97816</f>
        <v>30063.588778931869</v>
      </c>
      <c r="R67" s="10">
        <f>SUM(R62:R65)</f>
        <v>29407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52325</v>
      </c>
      <c r="O72" s="10">
        <f>SUMIF($A$6:$A$58,"67693",$O$6:$O$58)</f>
        <v>52325</v>
      </c>
      <c r="R72" s="10">
        <f>SUMIF($A$6:$A$58,"67693",$R$6:$R$58)</f>
        <v>50724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17198</v>
      </c>
      <c r="O74" s="10">
        <f>SUMIF($A$6:$A$53,"40998",$O$6:$O$53)</f>
        <v>17198</v>
      </c>
      <c r="R74" s="10">
        <f>SUMIF($A$6:$A$53,"40998",$R$6:$R$53)</f>
        <v>17198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U77"/>
  <sheetViews>
    <sheetView topLeftCell="D45" workbookViewId="0">
      <selection activeCell="B1" sqref="B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807</v>
      </c>
      <c r="L6" s="14">
        <f>ROUND(+K6*H6,0)</f>
        <v>484</v>
      </c>
      <c r="M6" s="14"/>
      <c r="N6" s="25">
        <f>ROUND(+K6,0)</f>
        <v>807</v>
      </c>
      <c r="O6" s="14">
        <f>ROUND(+L6,0)</f>
        <v>484</v>
      </c>
      <c r="P6" s="14"/>
      <c r="Q6" s="24">
        <v>1276</v>
      </c>
      <c r="R6" s="14">
        <f>+O6</f>
        <v>484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323</v>
      </c>
      <c r="M7" s="16"/>
      <c r="N7" s="16"/>
      <c r="O7" s="18">
        <f>ROUND(+L7,0)</f>
        <v>323</v>
      </c>
      <c r="P7" s="14"/>
      <c r="R7" s="23">
        <f>ROUND(+Q6-N6+O7,0)</f>
        <v>792</v>
      </c>
      <c r="S7" s="10">
        <f>+R7-O7</f>
        <v>469</v>
      </c>
      <c r="T7" t="s">
        <v>47</v>
      </c>
    </row>
    <row r="8" spans="1:20" x14ac:dyDescent="0.2">
      <c r="J8" s="10">
        <f>SUM(J6:J7)</f>
        <v>491</v>
      </c>
      <c r="L8" s="10">
        <f>SUM(L6:L7)</f>
        <v>807</v>
      </c>
      <c r="O8" s="10">
        <f>ROUND(+L8,0)</f>
        <v>807</v>
      </c>
      <c r="R8" s="10">
        <f>SUM(R6:R7)</f>
        <v>1276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9131</v>
      </c>
      <c r="L10" s="14">
        <f>ROUND(+K10*H10,0)</f>
        <v>5479</v>
      </c>
      <c r="M10" s="14"/>
      <c r="N10" s="25">
        <f>ROUND(+K10,0)</f>
        <v>9131</v>
      </c>
      <c r="O10" s="14">
        <f>ROUND(+L10,0)</f>
        <v>5479</v>
      </c>
      <c r="P10" s="14"/>
      <c r="Q10" s="24">
        <v>10831</v>
      </c>
      <c r="R10" s="14">
        <f>ROUND(+O10,0)</f>
        <v>5479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3652</v>
      </c>
      <c r="M12" s="16"/>
      <c r="N12" s="16"/>
      <c r="O12" s="18">
        <f>ROUND(+L12,0)</f>
        <v>3652</v>
      </c>
      <c r="P12" s="16"/>
      <c r="Q12" s="19"/>
      <c r="R12" s="23">
        <f>ROUND(+Q10-N10+O12,0)</f>
        <v>5352</v>
      </c>
      <c r="S12" s="10">
        <f>+R12-O12</f>
        <v>1700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9131</v>
      </c>
      <c r="M13" s="14"/>
      <c r="O13" s="10">
        <f>ROUND(+L13,0)</f>
        <v>9131</v>
      </c>
      <c r="P13" s="14"/>
      <c r="Q13" s="13"/>
      <c r="R13" s="10">
        <f>SUM(R10:R12)</f>
        <v>10831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3677</v>
      </c>
      <c r="L15" s="14">
        <f>ROUND(+K15*H15,0)</f>
        <v>2206</v>
      </c>
      <c r="M15" s="14"/>
      <c r="N15" s="25">
        <f>ROUND(+K15,0)</f>
        <v>3677</v>
      </c>
      <c r="O15" s="14">
        <f>ROUND(+L15,0)</f>
        <v>2206</v>
      </c>
      <c r="P15" s="14"/>
      <c r="Q15" s="24">
        <v>4364</v>
      </c>
      <c r="R15" s="14">
        <f>ROUND(+O15,0)</f>
        <v>2206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1471</v>
      </c>
      <c r="M16" s="16"/>
      <c r="N16" s="16"/>
      <c r="O16" s="18">
        <f>ROUND(+L16,0)</f>
        <v>1471</v>
      </c>
      <c r="P16" s="16"/>
      <c r="Q16" s="19"/>
      <c r="R16" s="23">
        <f>ROUND(+Q15-N15+O16,0)</f>
        <v>2158</v>
      </c>
      <c r="S16" s="10">
        <f>+R16-O16</f>
        <v>687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3677</v>
      </c>
      <c r="O17" s="10">
        <f>ROUND(+L17,0)</f>
        <v>3677</v>
      </c>
      <c r="Q17" s="13"/>
      <c r="R17" s="10">
        <f>SUM(R15:R16)</f>
        <v>4364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19302</v>
      </c>
      <c r="L19" s="14">
        <f>ROUND(+K19*H19,0)-4000-6000</f>
        <v>1581</v>
      </c>
      <c r="M19" s="14"/>
      <c r="N19" s="25">
        <f>ROUND(+K19,0)</f>
        <v>19302</v>
      </c>
      <c r="O19" s="14">
        <f>ROUND(+L19,0)</f>
        <v>1581</v>
      </c>
      <c r="P19" s="14"/>
      <c r="Q19" s="24">
        <v>20674</v>
      </c>
      <c r="R19" s="14">
        <f>ROUND(+O19,0)</f>
        <v>1581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6000</v>
      </c>
      <c r="M20" s="24"/>
      <c r="N20" s="24"/>
      <c r="O20" s="66">
        <f>L20</f>
        <v>6000</v>
      </c>
      <c r="P20" s="24"/>
      <c r="Q20" s="24"/>
      <c r="R20" s="66">
        <f>L20</f>
        <v>6000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7721</v>
      </c>
      <c r="M22" s="16"/>
      <c r="N22" s="16"/>
      <c r="O22" s="18">
        <f>ROUND(+L22,0)</f>
        <v>7721</v>
      </c>
      <c r="P22" s="16"/>
      <c r="Q22" s="19"/>
      <c r="R22" s="23">
        <f>ROUND(+Q19-N19+O22,0)</f>
        <v>9093</v>
      </c>
      <c r="S22" s="10">
        <f>+R22-O22</f>
        <v>1372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19302</v>
      </c>
      <c r="M23" s="14"/>
      <c r="O23" s="10">
        <f>ROUND(+L23,0)</f>
        <v>19302</v>
      </c>
      <c r="P23" s="14"/>
      <c r="Q23" s="13"/>
      <c r="R23" s="10">
        <f>SUM(R19:R22)</f>
        <v>20674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2923</v>
      </c>
      <c r="L25" s="14">
        <f>ROUND(+K25*H25,0)</f>
        <v>1754</v>
      </c>
      <c r="M25" s="14"/>
      <c r="N25" s="25">
        <f>ROUND(+K25,0)</f>
        <v>2923</v>
      </c>
      <c r="O25" s="14">
        <f>ROUND(+L25,0)</f>
        <v>1754</v>
      </c>
      <c r="P25" s="14"/>
      <c r="Q25" s="24">
        <v>3028</v>
      </c>
      <c r="R25" s="14">
        <f>ROUND(+O25,0)</f>
        <v>1754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1169</v>
      </c>
      <c r="M26" s="18"/>
      <c r="N26" s="16"/>
      <c r="O26" s="18">
        <f>ROUND(+L26,0)</f>
        <v>1169</v>
      </c>
      <c r="P26" s="18"/>
      <c r="Q26" s="19"/>
      <c r="R26" s="23">
        <f>ROUND(+Q25-N25+O26,0)</f>
        <v>1274</v>
      </c>
      <c r="S26" s="10">
        <f>+R26-O26</f>
        <v>105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2923</v>
      </c>
      <c r="O27" s="10">
        <f>ROUND(+L27,0)</f>
        <v>2923</v>
      </c>
      <c r="Q27" s="13"/>
      <c r="R27" s="10">
        <f>SUM(R25:R26)</f>
        <v>3028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2216</v>
      </c>
      <c r="L29" s="14">
        <f>ROUND(+K29*H29,0)</f>
        <v>1330</v>
      </c>
      <c r="M29" s="14"/>
      <c r="N29" s="25">
        <f>ROUND(+K29,0)</f>
        <v>2216</v>
      </c>
      <c r="O29" s="14">
        <f>ROUND(+L29,0)</f>
        <v>1330</v>
      </c>
      <c r="P29" s="14"/>
      <c r="Q29" s="24">
        <v>2779</v>
      </c>
      <c r="R29" s="14">
        <f>ROUND(+O29,0)</f>
        <v>1330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886</v>
      </c>
      <c r="M30" s="16"/>
      <c r="N30" s="16"/>
      <c r="O30" s="18">
        <f>ROUND(+L30,0)</f>
        <v>886</v>
      </c>
      <c r="P30" s="16"/>
      <c r="Q30" s="19"/>
      <c r="R30" s="23">
        <f>ROUND(+Q29-N29+O30,0)</f>
        <v>1449</v>
      </c>
      <c r="S30" s="10">
        <f>+R30-O30</f>
        <v>563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2216</v>
      </c>
      <c r="O31" s="10">
        <f>ROUND(+L31,0)</f>
        <v>2216</v>
      </c>
      <c r="Q31" s="13"/>
      <c r="R31" s="10">
        <f>SUM(R29:R30)</f>
        <v>2779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16569</v>
      </c>
      <c r="L33" s="14">
        <f>ROUND(+K33*H33,0)-4000</f>
        <v>5941</v>
      </c>
      <c r="M33" s="14"/>
      <c r="N33" s="25">
        <f>ROUND(+K33,0)</f>
        <v>16569</v>
      </c>
      <c r="O33" s="14">
        <f>ROUND(+L33,0)</f>
        <v>5941</v>
      </c>
      <c r="P33" s="14"/>
      <c r="Q33" s="24">
        <v>20587</v>
      </c>
      <c r="R33" s="14">
        <f>ROUND(+O33,0)</f>
        <v>5941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6628</v>
      </c>
      <c r="M36" s="16"/>
      <c r="N36" s="16"/>
      <c r="O36" s="18">
        <f>ROUND(+L36,0)</f>
        <v>6628</v>
      </c>
      <c r="P36" s="16"/>
      <c r="Q36" s="19"/>
      <c r="R36" s="23">
        <f>ROUND(+Q33-N33+O36,0)</f>
        <v>10646</v>
      </c>
      <c r="S36" s="10">
        <f>+R36-O36</f>
        <v>4018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16569</v>
      </c>
      <c r="O37" s="10">
        <f>ROUND(+L37,0)</f>
        <v>16569</v>
      </c>
      <c r="Q37" s="13"/>
      <c r="R37" s="10">
        <f>SUM(R33:R36)</f>
        <v>20587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3002</v>
      </c>
      <c r="L39" s="14">
        <f>ROUND(+K39*H39,0)</f>
        <v>1801</v>
      </c>
      <c r="M39" s="14"/>
      <c r="N39" s="25">
        <f>ROUND(+K39,0)</f>
        <v>3002</v>
      </c>
      <c r="O39" s="14">
        <f>ROUND(+L39,0)</f>
        <v>1801</v>
      </c>
      <c r="P39" s="14"/>
      <c r="Q39" s="24">
        <v>3340</v>
      </c>
      <c r="R39" s="14">
        <f>ROUND(+O39,0)</f>
        <v>1801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1201</v>
      </c>
      <c r="M40" s="16"/>
      <c r="N40" s="16"/>
      <c r="O40" s="18">
        <f>ROUND(+L40,0)</f>
        <v>1201</v>
      </c>
      <c r="P40" s="16"/>
      <c r="Q40" s="19"/>
      <c r="R40" s="23">
        <f>ROUND(+Q39-N39+O40,0)</f>
        <v>1539</v>
      </c>
      <c r="S40" s="10">
        <f>+R40-O40</f>
        <v>338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3002</v>
      </c>
      <c r="O41" s="10">
        <f>ROUND(+L41,0)</f>
        <v>3002</v>
      </c>
      <c r="Q41" s="13"/>
      <c r="R41" s="10">
        <f>SUM(R39:R40)</f>
        <v>3340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2820</v>
      </c>
      <c r="L43" s="14">
        <f>ROUND(+K43*H43,0)</f>
        <v>1692</v>
      </c>
      <c r="M43" s="14"/>
      <c r="N43" s="25">
        <f>ROUND(+K43,0)</f>
        <v>2820</v>
      </c>
      <c r="O43" s="14">
        <f>ROUND(+L43,0)</f>
        <v>1692</v>
      </c>
      <c r="P43" s="14"/>
      <c r="Q43" s="24">
        <v>3683</v>
      </c>
      <c r="R43" s="14">
        <f>ROUND(+O43,0)</f>
        <v>1692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1128</v>
      </c>
      <c r="M44" s="16"/>
      <c r="N44" s="16"/>
      <c r="O44" s="18">
        <f>ROUND(+L44,0)</f>
        <v>1128</v>
      </c>
      <c r="P44" s="16"/>
      <c r="Q44" s="19"/>
      <c r="R44" s="23">
        <f>ROUND(+Q43-N43+O44,0)</f>
        <v>1991</v>
      </c>
      <c r="S44" s="10">
        <f>+R44-O44</f>
        <v>863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2820</v>
      </c>
      <c r="O45" s="10">
        <f>ROUND(+L45,0)</f>
        <v>2820</v>
      </c>
      <c r="R45" s="10">
        <f>SUM(R43:R44)</f>
        <v>3683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3653</v>
      </c>
      <c r="L47" s="14">
        <f>ROUND(+K47*H47,0)</f>
        <v>2192</v>
      </c>
      <c r="M47" s="14"/>
      <c r="N47" s="25">
        <f>ROUND(+K47,0)</f>
        <v>3653</v>
      </c>
      <c r="O47" s="14">
        <f>ROUND(+L47,0)</f>
        <v>2192</v>
      </c>
      <c r="P47" s="14"/>
      <c r="Q47" s="24">
        <v>4565</v>
      </c>
      <c r="R47" s="14">
        <f>ROUND(+O47,0)</f>
        <v>2192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1461</v>
      </c>
      <c r="M48" s="16"/>
      <c r="N48" s="16"/>
      <c r="O48" s="18">
        <f>ROUND(+L48,0)</f>
        <v>1461</v>
      </c>
      <c r="P48" s="16"/>
      <c r="Q48" s="19"/>
      <c r="R48" s="23">
        <f>ROUND(+Q47-N47+O48,0)</f>
        <v>2373</v>
      </c>
      <c r="S48" s="10">
        <f>+R48-O48</f>
        <v>912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3653</v>
      </c>
      <c r="O49" s="10">
        <f>ROUND(+L49,0)</f>
        <v>3653</v>
      </c>
      <c r="Q49" s="13"/>
      <c r="R49" s="10">
        <f>SUM(R47:R48)</f>
        <v>4565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2108</v>
      </c>
      <c r="L51" s="36">
        <f>ROUND(+K51*H51,0)</f>
        <v>1265</v>
      </c>
      <c r="M51" s="36"/>
      <c r="N51" s="25">
        <f>ROUND(+K51,0)</f>
        <v>2108</v>
      </c>
      <c r="O51" s="36">
        <f>ROUND(+L51,0)</f>
        <v>1265</v>
      </c>
      <c r="P51" s="36"/>
      <c r="Q51" s="24">
        <v>2588</v>
      </c>
      <c r="R51" s="36">
        <f>ROUND(+O51,0)</f>
        <v>1265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843</v>
      </c>
      <c r="M52" s="37"/>
      <c r="N52" s="37"/>
      <c r="O52" s="39">
        <f>ROUND(+L52,0)</f>
        <v>843</v>
      </c>
      <c r="P52" s="37"/>
      <c r="Q52" s="38"/>
      <c r="R52" s="23">
        <f>ROUND(+Q51-N51+O52,0)</f>
        <v>1323</v>
      </c>
      <c r="S52" s="35">
        <f>+R52-O52</f>
        <v>480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2108</v>
      </c>
      <c r="M53" s="40"/>
      <c r="N53" s="35"/>
      <c r="O53" s="35">
        <f>ROUND(+L53,0)</f>
        <v>2108</v>
      </c>
      <c r="P53" s="40"/>
      <c r="Q53" s="41"/>
      <c r="R53" s="35">
        <f>SUM(R51:R52)</f>
        <v>2588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40</v>
      </c>
      <c r="L55" s="36">
        <f>ROUND(+K55*H55,0)</f>
        <v>24</v>
      </c>
      <c r="M55" s="36"/>
      <c r="N55" s="25">
        <f>ROUND(+K55,0)</f>
        <v>40</v>
      </c>
      <c r="O55" s="36">
        <f>ROUND(+L55,0)</f>
        <v>24</v>
      </c>
      <c r="P55" s="36"/>
      <c r="Q55" s="24">
        <v>50</v>
      </c>
      <c r="R55" s="36">
        <f>ROUND(+O55,0)</f>
        <v>24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16</v>
      </c>
      <c r="M56" s="37"/>
      <c r="N56" s="37"/>
      <c r="O56" s="39">
        <f>ROUND(+L56,0)</f>
        <v>16</v>
      </c>
      <c r="P56" s="37"/>
      <c r="Q56" s="37"/>
      <c r="R56" s="23">
        <f>ROUND(+Q55-N55+O56,0)</f>
        <v>26</v>
      </c>
      <c r="S56" s="35">
        <f>+R56-O56</f>
        <v>10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40</v>
      </c>
      <c r="M57" s="35"/>
      <c r="N57" s="35"/>
      <c r="O57" s="35">
        <f>ROUND(+L57,0)</f>
        <v>40</v>
      </c>
      <c r="P57" s="35"/>
      <c r="Q57" s="35"/>
      <c r="R57" s="35">
        <f>SUM(R55:R56)</f>
        <v>50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66248</v>
      </c>
      <c r="L59" s="28">
        <f>SUM(L8+L13+L17+L23+L27+L31+L37+L41+L45+L49+L53+L57)</f>
        <v>66248</v>
      </c>
      <c r="N59" s="10">
        <f>SUM(N6:N57)</f>
        <v>66248</v>
      </c>
      <c r="O59" s="28">
        <f>SUM(O8+O13+O17+O23+O27+O31+O37+O41+O45+O49+O53+O57)</f>
        <v>66248</v>
      </c>
      <c r="Q59" s="10">
        <f>SUM(Q6:Q57)</f>
        <v>77765</v>
      </c>
      <c r="R59" s="28">
        <f>SUM(R8+R13+R17+R23+R27+R31+R37+R41+R45+R49+R53+R57)</f>
        <v>77765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323</v>
      </c>
      <c r="O62" s="10">
        <f>SUMIF($I$6:$I$56,"22STOW",$O$6:$O$56)</f>
        <v>323</v>
      </c>
      <c r="R62" s="10">
        <f>SUMIF($I$6:$I$56,"22STOW",$R$6:$R$56)</f>
        <v>792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5123</v>
      </c>
      <c r="O63" s="10">
        <f>SUMIF($I$6:$I$56,"23nSTOW",$O$6:$O$56)</f>
        <v>5123</v>
      </c>
      <c r="R63" s="10">
        <f>SUMIF($I$6:$I$56,"23nSTOW",$R$6:$R$56)</f>
        <v>7510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20194</v>
      </c>
      <c r="O64" s="10">
        <f>SUMIF($I$6:$I$56,"23STOW",$O$6:$O$56)</f>
        <v>20194</v>
      </c>
      <c r="R64" s="10">
        <f>SUMIF($I$6:$I$56,"23STOW",$R$6:$R$56)</f>
        <v>28365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859</v>
      </c>
      <c r="O65" s="10">
        <f>SUMIF($I$6:$I$56,"24STOW",$O$6:$O$56)</f>
        <v>859</v>
      </c>
      <c r="R65" s="10">
        <f>SUMIF($I$6:$I$56,"24STOW",$R$6:$R$56)</f>
        <v>1349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27090.660014721518</v>
      </c>
      <c r="L67" s="10">
        <f>SUM(L62:L65)</f>
        <v>26499</v>
      </c>
      <c r="N67" s="10">
        <f>+O67/0.97816</f>
        <v>27090.660014721518</v>
      </c>
      <c r="O67" s="10">
        <f>SUM(O62:O65)</f>
        <v>26499</v>
      </c>
      <c r="Q67" s="10">
        <f>+R67/0.97816</f>
        <v>38864.807393473457</v>
      </c>
      <c r="R67" s="10">
        <f>SUM(R62:R65)</f>
        <v>38016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C72" s="17" t="s">
        <v>108</v>
      </c>
      <c r="D72" s="1">
        <v>54327</v>
      </c>
      <c r="F72">
        <v>67693</v>
      </c>
      <c r="G72" s="1" t="s">
        <v>84</v>
      </c>
      <c r="L72" s="10">
        <f>SUMIF($A$6:$A$58,"67693",$L$6:$L$58)</f>
        <v>52248</v>
      </c>
      <c r="O72" s="10">
        <f>SUMIF($A$6:$A$58,"67693",$O$6:$O$58)</f>
        <v>52248</v>
      </c>
      <c r="R72" s="10">
        <f>SUMIF($A$6:$A$58,"67693",$R$6:$R$58)</f>
        <v>63765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6000</v>
      </c>
      <c r="O74" s="10">
        <f>SUMIF($A$6:$A$53,"40998",$O$6:$O$53)</f>
        <v>6000</v>
      </c>
      <c r="R74" s="10">
        <f>SUMIF($A$6:$A$53,"40998",$R$6:$R$53)</f>
        <v>6000</v>
      </c>
    </row>
    <row r="77" spans="1:18" x14ac:dyDescent="0.2">
      <c r="Q77" s="10" t="s">
        <v>109</v>
      </c>
      <c r="R77" s="10">
        <f>+D72-R72</f>
        <v>-9438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U74"/>
  <sheetViews>
    <sheetView topLeftCell="E42" workbookViewId="0">
      <selection activeCell="Q59" sqref="Q59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526</v>
      </c>
      <c r="L6" s="14">
        <f>ROUND(+K6*H6,0)</f>
        <v>316</v>
      </c>
      <c r="M6" s="14"/>
      <c r="N6" s="25">
        <f>ROUND(+K6,0)</f>
        <v>526</v>
      </c>
      <c r="O6" s="14">
        <f>ROUND(+L6,0)</f>
        <v>316</v>
      </c>
      <c r="P6" s="14"/>
      <c r="Q6" s="24">
        <v>807</v>
      </c>
      <c r="R6" s="14">
        <f>+O6</f>
        <v>316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210</v>
      </c>
      <c r="M7" s="16"/>
      <c r="N7" s="16"/>
      <c r="O7" s="18">
        <f>ROUND(+L7,0)</f>
        <v>210</v>
      </c>
      <c r="P7" s="14"/>
      <c r="R7" s="23">
        <f>ROUND(+Q6-N6+O7,0)</f>
        <v>491</v>
      </c>
      <c r="S7" s="10">
        <f>+R7-O7</f>
        <v>281</v>
      </c>
      <c r="T7" t="s">
        <v>47</v>
      </c>
    </row>
    <row r="8" spans="1:20" x14ac:dyDescent="0.2">
      <c r="J8" s="10">
        <f>SUM(J6:J7)</f>
        <v>491</v>
      </c>
      <c r="L8" s="10">
        <f>SUM(L6:L7)</f>
        <v>526</v>
      </c>
      <c r="O8" s="10">
        <f>ROUND(+L8,0)</f>
        <v>526</v>
      </c>
      <c r="R8" s="10">
        <f>SUM(R6:R7)</f>
        <v>807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7429</v>
      </c>
      <c r="L10" s="14">
        <f>ROUND(+K10*H10,0)</f>
        <v>4457</v>
      </c>
      <c r="M10" s="14"/>
      <c r="N10" s="25">
        <f>ROUND(+K10,0)</f>
        <v>7429</v>
      </c>
      <c r="O10" s="14">
        <f>ROUND(+L10,0)</f>
        <v>4457</v>
      </c>
      <c r="P10" s="14"/>
      <c r="Q10" s="24">
        <v>8110</v>
      </c>
      <c r="R10" s="14">
        <f>ROUND(+O10,0)</f>
        <v>4457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2972</v>
      </c>
      <c r="M12" s="16"/>
      <c r="N12" s="16"/>
      <c r="O12" s="18">
        <f>ROUND(+L12,0)</f>
        <v>2972</v>
      </c>
      <c r="P12" s="16"/>
      <c r="Q12" s="19"/>
      <c r="R12" s="23">
        <f>ROUND(+Q10-N10+O12,0)</f>
        <v>3653</v>
      </c>
      <c r="S12" s="10">
        <f>+R12-O12</f>
        <v>681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8110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2991</v>
      </c>
      <c r="L15" s="14">
        <f>ROUND(+K15*H15,0)</f>
        <v>1795</v>
      </c>
      <c r="M15" s="14"/>
      <c r="N15" s="25">
        <f>ROUND(+K15,0)</f>
        <v>2991</v>
      </c>
      <c r="O15" s="14">
        <f>ROUND(+L15,0)</f>
        <v>1795</v>
      </c>
      <c r="P15" s="14"/>
      <c r="Q15" s="24">
        <v>3265</v>
      </c>
      <c r="R15" s="14">
        <f>ROUND(+O15,0)</f>
        <v>1795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1196</v>
      </c>
      <c r="M16" s="16"/>
      <c r="N16" s="16"/>
      <c r="O16" s="18">
        <f>ROUND(+L16,0)</f>
        <v>1196</v>
      </c>
      <c r="P16" s="16"/>
      <c r="Q16" s="19"/>
      <c r="R16" s="23">
        <f>ROUND(+Q15-N15+O16,0)</f>
        <v>1470</v>
      </c>
      <c r="S16" s="10">
        <f>+R16-O16</f>
        <v>274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3265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15186</v>
      </c>
      <c r="L19" s="14">
        <f>ROUND(+K19*H19,0)</f>
        <v>9112</v>
      </c>
      <c r="M19" s="14"/>
      <c r="N19" s="25">
        <f>ROUND(+K19,0)</f>
        <v>15186</v>
      </c>
      <c r="O19" s="14">
        <f>ROUND(+L19,0)</f>
        <v>9112</v>
      </c>
      <c r="P19" s="14"/>
      <c r="Q19" s="24">
        <v>15872</v>
      </c>
      <c r="R19" s="14">
        <f>ROUND(+O19,0)</f>
        <v>9112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6074</v>
      </c>
      <c r="M22" s="16"/>
      <c r="N22" s="16"/>
      <c r="O22" s="18">
        <f>ROUND(+L22,0)</f>
        <v>6074</v>
      </c>
      <c r="P22" s="16"/>
      <c r="Q22" s="19"/>
      <c r="R22" s="23">
        <f>ROUND(+Q19-N19+O22,0)</f>
        <v>6760</v>
      </c>
      <c r="S22" s="10">
        <f>+R22-O22</f>
        <v>686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15186</v>
      </c>
      <c r="M23" s="14"/>
      <c r="O23" s="10">
        <f>ROUND(+L23,0)</f>
        <v>15186</v>
      </c>
      <c r="P23" s="14"/>
      <c r="Q23" s="13"/>
      <c r="R23" s="10">
        <f>SUM(R19:R22)</f>
        <v>15872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2294</v>
      </c>
      <c r="L25" s="14">
        <f>ROUND(+K25*H25,0)</f>
        <v>1376</v>
      </c>
      <c r="M25" s="14"/>
      <c r="N25" s="25">
        <f>ROUND(+K25,0)</f>
        <v>2294</v>
      </c>
      <c r="O25" s="14">
        <f>ROUND(+L25,0)</f>
        <v>1376</v>
      </c>
      <c r="P25" s="14"/>
      <c r="Q25" s="24">
        <v>2190</v>
      </c>
      <c r="R25" s="14">
        <f>ROUND(+O25,0)</f>
        <v>1376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918</v>
      </c>
      <c r="M26" s="18"/>
      <c r="N26" s="16"/>
      <c r="O26" s="18">
        <f>ROUND(+L26,0)</f>
        <v>918</v>
      </c>
      <c r="P26" s="18"/>
      <c r="Q26" s="19"/>
      <c r="R26" s="23">
        <f>ROUND(+Q25-N25+O26,0)</f>
        <v>814</v>
      </c>
      <c r="S26" s="10">
        <f>+R26-O26</f>
        <v>-104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2294</v>
      </c>
      <c r="O27" s="10">
        <f>ROUND(+L27,0)</f>
        <v>2294</v>
      </c>
      <c r="Q27" s="13"/>
      <c r="R27" s="10">
        <f>SUM(R25:R26)</f>
        <v>2190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1732</v>
      </c>
      <c r="L29" s="14">
        <f>ROUND(+K29*H29,0)</f>
        <v>1039</v>
      </c>
      <c r="M29" s="14"/>
      <c r="N29" s="25">
        <f>ROUND(+K29,0)</f>
        <v>1732</v>
      </c>
      <c r="O29" s="14">
        <f>ROUND(+L29,0)</f>
        <v>1039</v>
      </c>
      <c r="P29" s="14"/>
      <c r="Q29" s="24">
        <v>1893</v>
      </c>
      <c r="R29" s="14">
        <f>ROUND(+O29,0)</f>
        <v>1039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693</v>
      </c>
      <c r="M30" s="16"/>
      <c r="N30" s="16"/>
      <c r="O30" s="18">
        <f>ROUND(+L30,0)</f>
        <v>693</v>
      </c>
      <c r="P30" s="16"/>
      <c r="Q30" s="19"/>
      <c r="R30" s="23">
        <f>ROUND(+Q29-N29+O30,0)</f>
        <v>854</v>
      </c>
      <c r="S30" s="10">
        <f>+R30-O30</f>
        <v>161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1732</v>
      </c>
      <c r="O31" s="10">
        <f>ROUND(+L31,0)</f>
        <v>1732</v>
      </c>
      <c r="Q31" s="13"/>
      <c r="R31" s="10">
        <f>SUM(R29:R30)</f>
        <v>1893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12551</v>
      </c>
      <c r="L33" s="14">
        <f>ROUND(+K33*H33,0)</f>
        <v>7531</v>
      </c>
      <c r="M33" s="14"/>
      <c r="N33" s="25">
        <f>ROUND(+K33,0)</f>
        <v>12551</v>
      </c>
      <c r="O33" s="14">
        <f>ROUND(+L33,0)</f>
        <v>7531</v>
      </c>
      <c r="P33" s="14"/>
      <c r="Q33" s="24">
        <v>12551</v>
      </c>
      <c r="R33" s="14">
        <f>ROUND(+O33,0)</f>
        <v>7531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5020</v>
      </c>
      <c r="M36" s="16"/>
      <c r="N36" s="16"/>
      <c r="O36" s="18">
        <f>ROUND(+L36,0)</f>
        <v>5020</v>
      </c>
      <c r="P36" s="16"/>
      <c r="Q36" s="19"/>
      <c r="R36" s="23">
        <f>ROUND(+Q33-N33+O36,0)</f>
        <v>5020</v>
      </c>
      <c r="S36" s="10">
        <f>+R36-O36</f>
        <v>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12551</v>
      </c>
      <c r="O37" s="10">
        <f>ROUND(+L37,0)</f>
        <v>12551</v>
      </c>
      <c r="Q37" s="13"/>
      <c r="R37" s="10">
        <f>SUM(R33:R36)</f>
        <v>12551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1874</v>
      </c>
      <c r="L39" s="14">
        <f>ROUND(+K39*H39,0)</f>
        <v>1124</v>
      </c>
      <c r="M39" s="14"/>
      <c r="N39" s="25">
        <f>ROUND(+K39,0)</f>
        <v>1874</v>
      </c>
      <c r="O39" s="14">
        <f>ROUND(+L39,0)</f>
        <v>1124</v>
      </c>
      <c r="P39" s="14"/>
      <c r="Q39" s="24">
        <v>2212</v>
      </c>
      <c r="R39" s="14">
        <f>ROUND(+O39,0)</f>
        <v>1124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750</v>
      </c>
      <c r="M40" s="16"/>
      <c r="N40" s="16"/>
      <c r="O40" s="18">
        <f>ROUND(+L40,0)</f>
        <v>750</v>
      </c>
      <c r="P40" s="16"/>
      <c r="Q40" s="19"/>
      <c r="R40" s="23">
        <f>ROUND(+Q39-N39+O40,0)</f>
        <v>1088</v>
      </c>
      <c r="S40" s="10">
        <f>+R40-O40</f>
        <v>338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1874</v>
      </c>
      <c r="O41" s="10">
        <f>ROUND(+L41,0)</f>
        <v>1874</v>
      </c>
      <c r="Q41" s="13"/>
      <c r="R41" s="10">
        <f>SUM(R39:R40)</f>
        <v>2212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2080</v>
      </c>
      <c r="L43" s="14">
        <f>ROUND(+K43*H43,0)</f>
        <v>1248</v>
      </c>
      <c r="M43" s="14"/>
      <c r="N43" s="25">
        <f>ROUND(+K43,0)</f>
        <v>2080</v>
      </c>
      <c r="O43" s="14">
        <f>ROUND(+L43,0)</f>
        <v>1248</v>
      </c>
      <c r="P43" s="14"/>
      <c r="Q43" s="24">
        <v>2203</v>
      </c>
      <c r="R43" s="14">
        <f>ROUND(+O43,0)</f>
        <v>1248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832</v>
      </c>
      <c r="M44" s="16"/>
      <c r="N44" s="16"/>
      <c r="O44" s="18">
        <f>ROUND(+L44,0)</f>
        <v>832</v>
      </c>
      <c r="P44" s="16"/>
      <c r="Q44" s="19"/>
      <c r="R44" s="23">
        <f>ROUND(+Q43-N43+O44,0)</f>
        <v>955</v>
      </c>
      <c r="S44" s="10">
        <f>+R44-O44</f>
        <v>123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2080</v>
      </c>
      <c r="O45" s="10">
        <f>ROUND(+L45,0)</f>
        <v>2080</v>
      </c>
      <c r="R45" s="10">
        <f>SUM(R43:R44)</f>
        <v>2203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2741</v>
      </c>
      <c r="L47" s="14">
        <f>ROUND(+K47*H47,0)</f>
        <v>1645</v>
      </c>
      <c r="M47" s="14"/>
      <c r="N47" s="25">
        <f>ROUND(+K47,0)</f>
        <v>2741</v>
      </c>
      <c r="O47" s="14">
        <f>ROUND(+L47,0)</f>
        <v>1645</v>
      </c>
      <c r="P47" s="14"/>
      <c r="Q47" s="24">
        <v>3045</v>
      </c>
      <c r="R47" s="14">
        <f>ROUND(+O47,0)</f>
        <v>1645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1096</v>
      </c>
      <c r="M48" s="16"/>
      <c r="N48" s="16"/>
      <c r="O48" s="18">
        <f>ROUND(+L48,0)</f>
        <v>1096</v>
      </c>
      <c r="P48" s="16"/>
      <c r="Q48" s="19"/>
      <c r="R48" s="23">
        <f>ROUND(+Q47-N47+O48,0)</f>
        <v>1400</v>
      </c>
      <c r="S48" s="10">
        <f>+R48-O48</f>
        <v>304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2741</v>
      </c>
      <c r="O49" s="10">
        <f>ROUND(+L49,0)</f>
        <v>2741</v>
      </c>
      <c r="Q49" s="13"/>
      <c r="R49" s="10">
        <f>SUM(R47:R48)</f>
        <v>3045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1627</v>
      </c>
      <c r="L51" s="36">
        <f>ROUND(+K51*H51,0)</f>
        <v>976</v>
      </c>
      <c r="M51" s="36"/>
      <c r="N51" s="25">
        <f>ROUND(+K51,0)</f>
        <v>1627</v>
      </c>
      <c r="O51" s="36">
        <f>ROUND(+L51,0)</f>
        <v>976</v>
      </c>
      <c r="P51" s="36"/>
      <c r="Q51" s="24">
        <v>1708</v>
      </c>
      <c r="R51" s="36">
        <f>ROUND(+O51,0)</f>
        <v>976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651</v>
      </c>
      <c r="M52" s="37"/>
      <c r="N52" s="37"/>
      <c r="O52" s="39">
        <f>ROUND(+L52,0)</f>
        <v>651</v>
      </c>
      <c r="P52" s="37"/>
      <c r="Q52" s="38"/>
      <c r="R52" s="23">
        <f>ROUND(+Q51-N51+O52,0)</f>
        <v>732</v>
      </c>
      <c r="S52" s="35">
        <f>+R52-O52</f>
        <v>81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1627</v>
      </c>
      <c r="M53" s="40"/>
      <c r="N53" s="35"/>
      <c r="O53" s="35">
        <f>ROUND(+L53,0)</f>
        <v>1627</v>
      </c>
      <c r="P53" s="40"/>
      <c r="Q53" s="41"/>
      <c r="R53" s="35">
        <f>SUM(R51:R52)</f>
        <v>1708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30</v>
      </c>
      <c r="L55" s="36">
        <f>ROUND(+K55*H55,0)</f>
        <v>18</v>
      </c>
      <c r="M55" s="36"/>
      <c r="N55" s="25">
        <f>ROUND(+K55,0)</f>
        <v>30</v>
      </c>
      <c r="O55" s="36">
        <f>ROUND(+L55,0)</f>
        <v>18</v>
      </c>
      <c r="P55" s="36"/>
      <c r="Q55" s="24">
        <v>34</v>
      </c>
      <c r="R55" s="36">
        <f>ROUND(+O55,0)</f>
        <v>18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12</v>
      </c>
      <c r="M56" s="37"/>
      <c r="N56" s="37"/>
      <c r="O56" s="39">
        <f>ROUND(+L56,0)</f>
        <v>12</v>
      </c>
      <c r="P56" s="37"/>
      <c r="Q56" s="37"/>
      <c r="R56" s="23">
        <f>ROUND(+Q55-N55+O56,0)</f>
        <v>16</v>
      </c>
      <c r="S56" s="35">
        <f>+R56-O56</f>
        <v>4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30</v>
      </c>
      <c r="M57" s="35"/>
      <c r="N57" s="35"/>
      <c r="O57" s="35">
        <f>ROUND(+L57,0)</f>
        <v>30</v>
      </c>
      <c r="P57" s="35"/>
      <c r="Q57" s="35"/>
      <c r="R57" s="35">
        <f>SUM(R55:R56)</f>
        <v>34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51061</v>
      </c>
      <c r="L59" s="28">
        <f>SUM(L8+L13+L17+L23+L27+L31+L37+L41+L45+L49+L53+L57)</f>
        <v>51061</v>
      </c>
      <c r="N59" s="10">
        <f>SUM(N6:N57)</f>
        <v>51061</v>
      </c>
      <c r="O59" s="28">
        <f>SUM(O8+O13+O17+O23+O27+O31+O37+O41+O45+O49+O53+O57)</f>
        <v>51061</v>
      </c>
      <c r="Q59" s="10">
        <f>SUM(Q6:Q57)</f>
        <v>53890</v>
      </c>
      <c r="R59" s="28">
        <f>SUM(R8+R13+R17+R23+R27+R31+R37+R41+R45+R49+R53+R57)</f>
        <v>53890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210</v>
      </c>
      <c r="O62" s="10">
        <f>SUMIF($I$6:$I$56,"22STOW",$O$6:$O$56)</f>
        <v>210</v>
      </c>
      <c r="R62" s="10">
        <f>SUMIF($I$6:$I$56,"22STOW",$R$6:$R$56)</f>
        <v>491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4168</v>
      </c>
      <c r="O63" s="10">
        <f>SUMIF($I$6:$I$56,"23nSTOW",$O$6:$O$56)</f>
        <v>4168</v>
      </c>
      <c r="R63" s="10">
        <f>SUMIF($I$6:$I$56,"23nSTOW",$R$6:$R$56)</f>
        <v>5123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15383</v>
      </c>
      <c r="O64" s="10">
        <f>SUMIF($I$6:$I$56,"23STOW",$O$6:$O$56)</f>
        <v>15383</v>
      </c>
      <c r="R64" s="10">
        <f>SUMIF($I$6:$I$56,"23STOW",$R$6:$R$56)</f>
        <v>16891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663</v>
      </c>
      <c r="O65" s="10">
        <f>SUMIF($I$6:$I$56,"24STOW",$O$6:$O$56)</f>
        <v>663</v>
      </c>
      <c r="R65" s="10">
        <f>SUMIF($I$6:$I$56,"24STOW",$R$6:$R$56)</f>
        <v>748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20880.019628690603</v>
      </c>
      <c r="L67" s="10">
        <f>SUM(L62:L65)</f>
        <v>20424</v>
      </c>
      <c r="N67" s="10">
        <f>+O67/0.97816</f>
        <v>20880.019628690603</v>
      </c>
      <c r="O67" s="10">
        <f>SUM(O62:O65)</f>
        <v>20424</v>
      </c>
      <c r="Q67" s="10">
        <f>+R67/0.97816</f>
        <v>23772.184509691666</v>
      </c>
      <c r="R67" s="10">
        <f>SUM(R62:R65)</f>
        <v>23253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51061</v>
      </c>
      <c r="O72" s="10">
        <f>SUMIF($A$6:$A$58,"67693",$O$6:$O$58)</f>
        <v>51061</v>
      </c>
      <c r="R72" s="10">
        <f>SUMIF($A$6:$A$58,"67693",$R$6:$R$58)</f>
        <v>53890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U74"/>
  <sheetViews>
    <sheetView topLeftCell="F44" workbookViewId="0">
      <selection activeCell="T76" sqref="T76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385</v>
      </c>
      <c r="L6" s="14">
        <f>ROUND(+K6*H6,0)</f>
        <v>231</v>
      </c>
      <c r="M6" s="14"/>
      <c r="N6" s="25">
        <f>ROUND(+K6,0)</f>
        <v>385</v>
      </c>
      <c r="O6" s="14">
        <f>ROUND(+L6,0)</f>
        <v>231</v>
      </c>
      <c r="P6" s="14"/>
      <c r="Q6" s="24">
        <v>198</v>
      </c>
      <c r="R6" s="14">
        <f>+O6</f>
        <v>231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154</v>
      </c>
      <c r="M7" s="16"/>
      <c r="N7" s="16"/>
      <c r="O7" s="18">
        <f>ROUND(+L7,0)</f>
        <v>154</v>
      </c>
      <c r="P7" s="14"/>
      <c r="R7" s="23">
        <v>0</v>
      </c>
      <c r="S7" s="10">
        <f>+R7-O7</f>
        <v>-154</v>
      </c>
      <c r="T7" t="s">
        <v>47</v>
      </c>
    </row>
    <row r="8" spans="1:20" x14ac:dyDescent="0.2">
      <c r="J8" s="10">
        <f>SUM(J6:J7)</f>
        <v>491</v>
      </c>
      <c r="L8" s="10">
        <f>SUM(L6:L7)</f>
        <v>385</v>
      </c>
      <c r="O8" s="10">
        <f>ROUND(+L8,0)</f>
        <v>385</v>
      </c>
      <c r="R8" s="10">
        <f>SUM(R6:R7)</f>
        <v>231</v>
      </c>
      <c r="S8" s="10">
        <f>+R8-Q6</f>
        <v>33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5048</v>
      </c>
      <c r="L10" s="14">
        <f>ROUND(+K10*H10,0)</f>
        <v>3029</v>
      </c>
      <c r="M10" s="14"/>
      <c r="N10" s="25">
        <f>ROUND(+K10,0)</f>
        <v>5048</v>
      </c>
      <c r="O10" s="14">
        <f>ROUND(+L10,0)</f>
        <v>3029</v>
      </c>
      <c r="P10" s="14"/>
      <c r="Q10" s="24">
        <v>1645</v>
      </c>
      <c r="R10" s="14">
        <f>ROUND(+O10,0)</f>
        <v>3029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2019</v>
      </c>
      <c r="M12" s="16"/>
      <c r="N12" s="16"/>
      <c r="O12" s="18">
        <f>ROUND(+L12,0)</f>
        <v>2019</v>
      </c>
      <c r="P12" s="16"/>
      <c r="Q12" s="19"/>
      <c r="R12" s="23">
        <v>0</v>
      </c>
      <c r="S12" s="10">
        <f>+R12-O12</f>
        <v>-2019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5048</v>
      </c>
      <c r="M13" s="14"/>
      <c r="O13" s="10">
        <f>ROUND(+L13,0)</f>
        <v>5048</v>
      </c>
      <c r="P13" s="14"/>
      <c r="Q13" s="13"/>
      <c r="R13" s="10">
        <f>SUM(R10:R12)</f>
        <v>3029</v>
      </c>
      <c r="S13" s="10">
        <f>+R13-Q10</f>
        <v>1384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2029</v>
      </c>
      <c r="L15" s="14">
        <f>ROUND(+K15*H15,0)</f>
        <v>1217</v>
      </c>
      <c r="M15" s="14"/>
      <c r="N15" s="25">
        <f>ROUND(+K15,0)</f>
        <v>2029</v>
      </c>
      <c r="O15" s="14">
        <f>ROUND(+L15,0)</f>
        <v>1217</v>
      </c>
      <c r="P15" s="14"/>
      <c r="Q15" s="24">
        <v>793</v>
      </c>
      <c r="R15" s="14">
        <f>ROUND(+O15,0)</f>
        <v>1217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812</v>
      </c>
      <c r="M16" s="16"/>
      <c r="N16" s="16"/>
      <c r="O16" s="18">
        <f>ROUND(+L16,0)</f>
        <v>812</v>
      </c>
      <c r="P16" s="16"/>
      <c r="Q16" s="19"/>
      <c r="R16" s="23">
        <v>0</v>
      </c>
      <c r="S16" s="10">
        <f>+R16-O16</f>
        <v>-812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2029</v>
      </c>
      <c r="O17" s="10">
        <f>ROUND(+L17,0)</f>
        <v>2029</v>
      </c>
      <c r="Q17" s="13"/>
      <c r="R17" s="10">
        <f>SUM(R15:R16)</f>
        <v>1217</v>
      </c>
      <c r="S17" s="10">
        <f>+R17-Q15</f>
        <v>424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10384</v>
      </c>
      <c r="L19" s="14">
        <f>ROUND(+K19*H19,0)</f>
        <v>6230</v>
      </c>
      <c r="M19" s="14"/>
      <c r="N19" s="25">
        <f>ROUND(+K19,0)</f>
        <v>10384</v>
      </c>
      <c r="O19" s="14">
        <f>ROUND(+L19,0)</f>
        <v>6230</v>
      </c>
      <c r="P19" s="14"/>
      <c r="Q19" s="24">
        <v>4897</v>
      </c>
      <c r="R19" s="14">
        <f>ROUND(+O19,0)-1000</f>
        <v>5230</v>
      </c>
      <c r="T19" s="55" t="s">
        <v>110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4154</v>
      </c>
      <c r="M22" s="16"/>
      <c r="N22" s="16"/>
      <c r="O22" s="18">
        <f>ROUND(+L22,0)</f>
        <v>4154</v>
      </c>
      <c r="P22" s="16"/>
      <c r="Q22" s="19"/>
      <c r="R22" s="23">
        <v>0</v>
      </c>
      <c r="S22" s="10">
        <f>+R22-O22</f>
        <v>-4154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10384</v>
      </c>
      <c r="M23" s="14"/>
      <c r="O23" s="10">
        <f>ROUND(+L23,0)</f>
        <v>10384</v>
      </c>
      <c r="P23" s="14"/>
      <c r="Q23" s="13"/>
      <c r="R23" s="10">
        <f>SUM(R19:R22)</f>
        <v>5230</v>
      </c>
      <c r="S23" s="10">
        <f>+R23-Q19</f>
        <v>333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1457</v>
      </c>
      <c r="L25" s="14">
        <f>ROUND(+K25*H25,0)</f>
        <v>874</v>
      </c>
      <c r="M25" s="14"/>
      <c r="N25" s="25">
        <f>ROUND(+K25,0)</f>
        <v>1457</v>
      </c>
      <c r="O25" s="14">
        <f>ROUND(+L25,0)</f>
        <v>874</v>
      </c>
      <c r="P25" s="14"/>
      <c r="Q25" s="24">
        <v>829</v>
      </c>
      <c r="R25" s="14">
        <f>ROUND(+O25,0)</f>
        <v>874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583</v>
      </c>
      <c r="M26" s="18"/>
      <c r="N26" s="16"/>
      <c r="O26" s="18">
        <f>ROUND(+L26,0)</f>
        <v>583</v>
      </c>
      <c r="P26" s="18"/>
      <c r="Q26" s="19"/>
      <c r="R26" s="23">
        <v>0</v>
      </c>
      <c r="S26" s="10">
        <f>+R26-O26</f>
        <v>-583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1457</v>
      </c>
      <c r="O27" s="10">
        <f>ROUND(+L27,0)</f>
        <v>1457</v>
      </c>
      <c r="Q27" s="13"/>
      <c r="R27" s="10">
        <f>SUM(R25:R26)</f>
        <v>874</v>
      </c>
      <c r="S27" s="10">
        <f>+R27-Q25</f>
        <v>45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1167</v>
      </c>
      <c r="L29" s="14">
        <f>ROUND(+K29*H29,0)</f>
        <v>700</v>
      </c>
      <c r="M29" s="14"/>
      <c r="N29" s="25">
        <f>ROUND(+K29,0)</f>
        <v>1167</v>
      </c>
      <c r="O29" s="14">
        <f>ROUND(+L29,0)</f>
        <v>700</v>
      </c>
      <c r="P29" s="14"/>
      <c r="Q29" s="24">
        <v>685</v>
      </c>
      <c r="R29" s="14">
        <f>ROUND(+O29,0)</f>
        <v>700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467</v>
      </c>
      <c r="M30" s="16"/>
      <c r="N30" s="16"/>
      <c r="O30" s="18">
        <f>ROUND(+L30,0)</f>
        <v>467</v>
      </c>
      <c r="P30" s="16"/>
      <c r="Q30" s="19"/>
      <c r="R30" s="23">
        <v>0</v>
      </c>
      <c r="S30" s="10">
        <f>+R30-O30</f>
        <v>-467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1167</v>
      </c>
      <c r="O31" s="10">
        <f>ROUND(+L31,0)</f>
        <v>1167</v>
      </c>
      <c r="Q31" s="13"/>
      <c r="R31" s="10">
        <f>SUM(R29:R30)</f>
        <v>700</v>
      </c>
      <c r="S31" s="10">
        <f>+R31-Q29</f>
        <v>15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8532</v>
      </c>
      <c r="L33" s="14">
        <f>ROUND(+K33*H33,0)</f>
        <v>5119</v>
      </c>
      <c r="M33" s="14"/>
      <c r="N33" s="25">
        <f>ROUND(+K33,0)</f>
        <v>8532</v>
      </c>
      <c r="O33" s="14">
        <f>ROUND(+L33,0)</f>
        <v>5119</v>
      </c>
      <c r="P33" s="14"/>
      <c r="Q33" s="24">
        <v>4513</v>
      </c>
      <c r="R33" s="14">
        <f>ROUND(+O33,0)</f>
        <v>5119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3413</v>
      </c>
      <c r="M36" s="16"/>
      <c r="N36" s="16"/>
      <c r="O36" s="18">
        <f>ROUND(+L36,0)</f>
        <v>3413</v>
      </c>
      <c r="P36" s="16"/>
      <c r="Q36" s="19"/>
      <c r="R36" s="23">
        <v>0</v>
      </c>
      <c r="S36" s="10">
        <f>+R36-O36</f>
        <v>-3413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8532</v>
      </c>
      <c r="O37" s="10">
        <f>ROUND(+L37,0)</f>
        <v>8532</v>
      </c>
      <c r="Q37" s="13"/>
      <c r="R37" s="10">
        <f>SUM(R33:R36)</f>
        <v>5119</v>
      </c>
      <c r="S37" s="10">
        <f>+R37-Q33</f>
        <v>606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1310</v>
      </c>
      <c r="L39" s="14">
        <f>ROUND(+K39*H39,0)</f>
        <v>786</v>
      </c>
      <c r="M39" s="14"/>
      <c r="N39" s="25">
        <f>ROUND(+K39,0)</f>
        <v>1310</v>
      </c>
      <c r="O39" s="14">
        <f>ROUND(+L39,0)</f>
        <v>786</v>
      </c>
      <c r="P39" s="14"/>
      <c r="Q39" s="24">
        <v>859</v>
      </c>
      <c r="R39" s="14">
        <f>ROUND(+O39,0)</f>
        <v>786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524</v>
      </c>
      <c r="M40" s="16"/>
      <c r="N40" s="16"/>
      <c r="O40" s="18">
        <f>ROUND(+L40,0)</f>
        <v>524</v>
      </c>
      <c r="P40" s="16"/>
      <c r="Q40" s="19"/>
      <c r="R40" s="23">
        <v>73</v>
      </c>
      <c r="S40" s="10">
        <f>+R40-O40</f>
        <v>-451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1310</v>
      </c>
      <c r="O41" s="10">
        <f>ROUND(+L41,0)</f>
        <v>1310</v>
      </c>
      <c r="Q41" s="13"/>
      <c r="R41" s="10">
        <f>SUM(R39:R40)</f>
        <v>859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1464</v>
      </c>
      <c r="L43" s="14">
        <f>ROUND(+K43*H43,0)</f>
        <v>878</v>
      </c>
      <c r="M43" s="14"/>
      <c r="N43" s="25">
        <f>ROUND(+K43,0)</f>
        <v>1464</v>
      </c>
      <c r="O43" s="14">
        <f>ROUND(+L43,0)</f>
        <v>878</v>
      </c>
      <c r="P43" s="14"/>
      <c r="Q43" s="24">
        <v>725</v>
      </c>
      <c r="R43" s="14">
        <f>ROUND(+O43,0)</f>
        <v>878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586</v>
      </c>
      <c r="M44" s="16"/>
      <c r="N44" s="16"/>
      <c r="O44" s="18">
        <f>ROUND(+L44,0)</f>
        <v>586</v>
      </c>
      <c r="P44" s="16"/>
      <c r="Q44" s="19"/>
      <c r="R44" s="23">
        <v>0</v>
      </c>
      <c r="S44" s="10">
        <f>+R44-O44</f>
        <v>-586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1464</v>
      </c>
      <c r="O45" s="10">
        <f>ROUND(+L45,0)</f>
        <v>1464</v>
      </c>
      <c r="R45" s="10">
        <f>SUM(R43:R44)</f>
        <v>878</v>
      </c>
      <c r="S45" s="10">
        <f>+R45-Q43</f>
        <v>153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1678</v>
      </c>
      <c r="L47" s="14">
        <f>ROUND(+K47*H47,0)</f>
        <v>1007</v>
      </c>
      <c r="M47" s="14"/>
      <c r="N47" s="25">
        <f>ROUND(+K47,0)</f>
        <v>1678</v>
      </c>
      <c r="O47" s="14">
        <f>ROUND(+L47,0)</f>
        <v>1007</v>
      </c>
      <c r="P47" s="14"/>
      <c r="Q47" s="24">
        <v>766</v>
      </c>
      <c r="R47" s="14">
        <f>ROUND(+O47,0)</f>
        <v>1007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671</v>
      </c>
      <c r="M48" s="16"/>
      <c r="N48" s="16"/>
      <c r="O48" s="18">
        <f>ROUND(+L48,0)</f>
        <v>671</v>
      </c>
      <c r="P48" s="16"/>
      <c r="Q48" s="19"/>
      <c r="R48" s="23">
        <v>0</v>
      </c>
      <c r="S48" s="10">
        <f>+R48-O48</f>
        <v>-671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1678</v>
      </c>
      <c r="O49" s="10">
        <f>ROUND(+L49,0)</f>
        <v>1678</v>
      </c>
      <c r="Q49" s="13"/>
      <c r="R49" s="10">
        <f>SUM(R47:R48)</f>
        <v>1007</v>
      </c>
      <c r="S49" s="10">
        <f>+R49-Q47</f>
        <v>241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1067</v>
      </c>
      <c r="L51" s="36">
        <f>ROUND(+K51*H51,0)</f>
        <v>640</v>
      </c>
      <c r="M51" s="36"/>
      <c r="N51" s="25">
        <f>ROUND(+K51,0)</f>
        <v>1067</v>
      </c>
      <c r="O51" s="36">
        <f>ROUND(+L51,0)</f>
        <v>640</v>
      </c>
      <c r="P51" s="36"/>
      <c r="Q51" s="24">
        <v>427</v>
      </c>
      <c r="R51" s="36">
        <f>ROUND(+O51,0)</f>
        <v>640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427</v>
      </c>
      <c r="M52" s="37"/>
      <c r="N52" s="37"/>
      <c r="O52" s="39">
        <f>ROUND(+L52,0)</f>
        <v>427</v>
      </c>
      <c r="P52" s="37"/>
      <c r="Q52" s="38"/>
      <c r="R52" s="23">
        <v>0</v>
      </c>
      <c r="S52" s="35">
        <f>+R52-O52</f>
        <v>-427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1067</v>
      </c>
      <c r="M53" s="40"/>
      <c r="N53" s="35"/>
      <c r="O53" s="35">
        <f>ROUND(+L53,0)</f>
        <v>1067</v>
      </c>
      <c r="P53" s="40"/>
      <c r="Q53" s="41"/>
      <c r="R53" s="35">
        <f>SUM(R51:R52)</f>
        <v>640</v>
      </c>
      <c r="S53" s="35">
        <f>+R53-Q51</f>
        <v>213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20</v>
      </c>
      <c r="L55" s="36">
        <f>ROUND(+K55*H55,0)</f>
        <v>12</v>
      </c>
      <c r="M55" s="36"/>
      <c r="N55" s="25">
        <f>ROUND(+K55,0)</f>
        <v>20</v>
      </c>
      <c r="O55" s="36">
        <f>ROUND(+L55,0)</f>
        <v>12</v>
      </c>
      <c r="P55" s="36"/>
      <c r="Q55" s="24">
        <v>10</v>
      </c>
      <c r="R55" s="36">
        <f>ROUND(+O55,0)</f>
        <v>12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8</v>
      </c>
      <c r="M56" s="37"/>
      <c r="N56" s="37"/>
      <c r="O56" s="39">
        <f>ROUND(+L56,0)</f>
        <v>8</v>
      </c>
      <c r="P56" s="37"/>
      <c r="Q56" s="37"/>
      <c r="R56" s="23">
        <v>0</v>
      </c>
      <c r="S56" s="35">
        <f>+R56-O56</f>
        <v>-8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20</v>
      </c>
      <c r="M57" s="35"/>
      <c r="N57" s="35"/>
      <c r="O57" s="35">
        <f>ROUND(+L57,0)</f>
        <v>20</v>
      </c>
      <c r="P57" s="35"/>
      <c r="Q57" s="35"/>
      <c r="R57" s="35">
        <f>SUM(R55:R56)</f>
        <v>12</v>
      </c>
      <c r="S57" s="35">
        <f>+R57-Q55</f>
        <v>2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34541</v>
      </c>
      <c r="L59" s="28">
        <f>SUM(L8+L13+L17+L23+L27+L31+L37+L41+L45+L49+L53+L57)</f>
        <v>34541</v>
      </c>
      <c r="N59" s="10">
        <f>SUM(N6:N57)</f>
        <v>34541</v>
      </c>
      <c r="O59" s="28">
        <f>SUM(O8+O13+O17+O23+O27+O31+O37+O41+O45+O49+O53+O57)</f>
        <v>34541</v>
      </c>
      <c r="Q59" s="10">
        <f>SUM(Q6:Q57)</f>
        <v>16347</v>
      </c>
      <c r="R59" s="28">
        <f>SUM(R8+R13+R17+R23+R27+R31+R37+R41+R45+R49+R53+R57)</f>
        <v>19796</v>
      </c>
      <c r="S59" s="29">
        <f>S8+S13+S17+S23+S27+S31+S37+S41+S45+S49+S53+S57</f>
        <v>3449</v>
      </c>
      <c r="T59" s="30" t="s">
        <v>55</v>
      </c>
      <c r="U59" s="31"/>
    </row>
    <row r="61" spans="1:21" x14ac:dyDescent="0.2">
      <c r="S61" s="10">
        <f>R59-S59</f>
        <v>16347</v>
      </c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154</v>
      </c>
      <c r="O62" s="10">
        <f>SUMIF($I$6:$I$56,"22STOW",$O$6:$O$56)</f>
        <v>154</v>
      </c>
      <c r="R62" s="10">
        <f>SUMIF($I$6:$I$56,"22STOW",$R$6:$R$56)</f>
        <v>0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2831</v>
      </c>
      <c r="O63" s="10">
        <f>SUMIF($I$6:$I$56,"23nSTOW",$O$6:$O$56)</f>
        <v>2831</v>
      </c>
      <c r="R63" s="10">
        <f>SUMIF($I$6:$I$56,"23nSTOW",$R$6:$R$56)</f>
        <v>0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10398</v>
      </c>
      <c r="O64" s="10">
        <f>SUMIF($I$6:$I$56,"23STOW",$O$6:$O$56)</f>
        <v>10398</v>
      </c>
      <c r="R64" s="10">
        <f>SUMIF($I$6:$I$56,"23STOW",$R$6:$R$56)</f>
        <v>73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435</v>
      </c>
      <c r="O65" s="10">
        <f>SUMIF($I$6:$I$56,"24STOW",$O$6:$O$56)</f>
        <v>435</v>
      </c>
      <c r="R65" s="10">
        <f>SUMIF($I$6:$I$56,"24STOW",$R$6:$R$56)</f>
        <v>0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14126.523268176985</v>
      </c>
      <c r="L67" s="10">
        <f>SUM(L62:L65)</f>
        <v>13818</v>
      </c>
      <c r="N67" s="10">
        <f>+O67/0.97816</f>
        <v>14126.523268176985</v>
      </c>
      <c r="O67" s="10">
        <f>SUM(O62:O65)</f>
        <v>13818</v>
      </c>
      <c r="Q67" s="10">
        <f>+R67/0.97816</f>
        <v>74.629917395927038</v>
      </c>
      <c r="R67" s="10">
        <f>SUM(R62:R65)</f>
        <v>73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34541</v>
      </c>
      <c r="O72" s="10">
        <f>SUMIF($A$6:$A$58,"67693",$O$6:$O$58)</f>
        <v>34541</v>
      </c>
      <c r="R72" s="10">
        <f>SUMIF($A$6:$A$58,"67693",$R$6:$R$58)</f>
        <v>19796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U74"/>
  <sheetViews>
    <sheetView topLeftCell="D52" workbookViewId="0">
      <selection activeCell="S62" sqref="S62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0.45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0.55000000000000004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0.45</v>
      </c>
      <c r="I6" s="1">
        <v>36907</v>
      </c>
      <c r="J6" s="10">
        <f>ROUND(+G6*H6,0)</f>
        <v>221</v>
      </c>
      <c r="K6" s="22">
        <v>244</v>
      </c>
      <c r="L6" s="14">
        <f>ROUND(+K6*H6,0)</f>
        <v>110</v>
      </c>
      <c r="M6" s="14"/>
      <c r="N6" s="25">
        <f>ROUND(+K6,0)</f>
        <v>244</v>
      </c>
      <c r="O6" s="14">
        <f>ROUND(+L6,0)</f>
        <v>110</v>
      </c>
      <c r="P6" s="14"/>
      <c r="Q6" s="24">
        <v>104</v>
      </c>
      <c r="R6" s="14">
        <f>+O6</f>
        <v>110</v>
      </c>
    </row>
    <row r="7" spans="1:20" ht="13.5" thickBot="1" x14ac:dyDescent="0.25">
      <c r="A7">
        <v>67693</v>
      </c>
      <c r="B7" s="1">
        <v>15</v>
      </c>
      <c r="H7" s="8">
        <f>+$B$2</f>
        <v>0.55000000000000004</v>
      </c>
      <c r="I7" s="1" t="s">
        <v>49</v>
      </c>
      <c r="J7" s="16">
        <f>ROUND(+G6*H7,0)</f>
        <v>270</v>
      </c>
      <c r="K7" s="16"/>
      <c r="L7" s="16">
        <f>ROUND(+K6*H7,0)</f>
        <v>134</v>
      </c>
      <c r="M7" s="16"/>
      <c r="N7" s="16"/>
      <c r="O7" s="18">
        <f>ROUND(+L7,0)</f>
        <v>134</v>
      </c>
      <c r="P7" s="14"/>
      <c r="R7" s="23">
        <v>0</v>
      </c>
      <c r="S7" s="10">
        <f>+R7-O7</f>
        <v>-134</v>
      </c>
      <c r="T7" t="s">
        <v>47</v>
      </c>
    </row>
    <row r="8" spans="1:20" x14ac:dyDescent="0.2">
      <c r="J8" s="10">
        <f>SUM(J6:J7)</f>
        <v>491</v>
      </c>
      <c r="L8" s="10">
        <f>SUM(L6:L7)</f>
        <v>244</v>
      </c>
      <c r="O8" s="10">
        <f>ROUND(+L8,0)</f>
        <v>244</v>
      </c>
      <c r="R8" s="10">
        <f>SUM(R6:R7)</f>
        <v>110</v>
      </c>
      <c r="S8" s="10">
        <f>+R8-Q6</f>
        <v>6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0.45</v>
      </c>
      <c r="I10" s="1">
        <v>36907</v>
      </c>
      <c r="J10" s="10">
        <f>ROUND(+G10*H10,0)</f>
        <v>2884</v>
      </c>
      <c r="K10" s="22">
        <v>3347</v>
      </c>
      <c r="L10" s="14">
        <f>ROUND(+K10*H10,0)</f>
        <v>1506</v>
      </c>
      <c r="M10" s="14"/>
      <c r="N10" s="25">
        <f>ROUND(+K10,0)</f>
        <v>3347</v>
      </c>
      <c r="O10" s="14">
        <f>ROUND(+L10,0)</f>
        <v>1506</v>
      </c>
      <c r="P10" s="14"/>
      <c r="Q10" s="24">
        <v>2326</v>
      </c>
      <c r="R10" s="14">
        <f>ROUND(+O10,0)</f>
        <v>1506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0.55000000000000004</v>
      </c>
      <c r="I12" s="1" t="s">
        <v>50</v>
      </c>
      <c r="J12" s="16">
        <f>ROUND(+G10*H12,0)</f>
        <v>3524</v>
      </c>
      <c r="K12" s="19"/>
      <c r="L12" s="16">
        <f>ROUND(+K10*H12,0)</f>
        <v>1841</v>
      </c>
      <c r="M12" s="16"/>
      <c r="N12" s="16"/>
      <c r="O12" s="18">
        <f>ROUND(+L12,0)</f>
        <v>1841</v>
      </c>
      <c r="P12" s="16"/>
      <c r="Q12" s="19"/>
      <c r="R12" s="23">
        <f>ROUND(+Q10-N10+O12,0)</f>
        <v>820</v>
      </c>
      <c r="S12" s="10">
        <f>+R12-O12</f>
        <v>-1021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3347</v>
      </c>
      <c r="M13" s="14"/>
      <c r="O13" s="10">
        <f>ROUND(+L13,0)</f>
        <v>3347</v>
      </c>
      <c r="P13" s="14"/>
      <c r="Q13" s="13"/>
      <c r="R13" s="10">
        <f>SUM(R10:R12)</f>
        <v>2326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0.45</v>
      </c>
      <c r="I15" s="1">
        <v>36907</v>
      </c>
      <c r="J15" s="10">
        <f>ROUND(+G15*H15,0)</f>
        <v>1162</v>
      </c>
      <c r="K15" s="22">
        <v>1342</v>
      </c>
      <c r="L15" s="14">
        <f>ROUND(+K15*H15,0)</f>
        <v>604</v>
      </c>
      <c r="M15" s="14"/>
      <c r="N15" s="25">
        <f>ROUND(+K15,0)</f>
        <v>1342</v>
      </c>
      <c r="O15" s="14">
        <f>ROUND(+L15,0)</f>
        <v>604</v>
      </c>
      <c r="P15" s="14"/>
      <c r="Q15" s="24">
        <v>793</v>
      </c>
      <c r="R15" s="14">
        <f>ROUND(+O15,0)</f>
        <v>604</v>
      </c>
    </row>
    <row r="16" spans="1:20" ht="13.5" thickBot="1" x14ac:dyDescent="0.25">
      <c r="A16">
        <v>67693</v>
      </c>
      <c r="B16" s="1">
        <v>26</v>
      </c>
      <c r="H16" s="8">
        <f>+$B$2</f>
        <v>0.55000000000000004</v>
      </c>
      <c r="I16" s="1" t="s">
        <v>50</v>
      </c>
      <c r="J16" s="16">
        <f>ROUND(+G15*H16,0)</f>
        <v>1420</v>
      </c>
      <c r="K16" s="19"/>
      <c r="L16" s="16">
        <f>ROUND(+K15*H16,0)</f>
        <v>738</v>
      </c>
      <c r="M16" s="16"/>
      <c r="N16" s="16"/>
      <c r="O16" s="18">
        <f>ROUND(+L16,0)</f>
        <v>738</v>
      </c>
      <c r="P16" s="16"/>
      <c r="Q16" s="19"/>
      <c r="R16" s="23">
        <f>ROUND(+Q15-N15+O16,0)</f>
        <v>189</v>
      </c>
      <c r="S16" s="10">
        <f>+R16-O16</f>
        <v>-549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1342</v>
      </c>
      <c r="O17" s="10">
        <f>ROUND(+L17,0)</f>
        <v>1342</v>
      </c>
      <c r="Q17" s="13"/>
      <c r="R17" s="10">
        <f>SUM(R15:R16)</f>
        <v>793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0.45</v>
      </c>
      <c r="I19" s="1">
        <v>36907</v>
      </c>
      <c r="J19" s="10">
        <f>ROUND(+G19*H19,0)</f>
        <v>5359</v>
      </c>
      <c r="K19" s="22">
        <v>6955</v>
      </c>
      <c r="L19" s="14">
        <f>ROUND(+K19*H19,0)</f>
        <v>3130</v>
      </c>
      <c r="M19" s="14"/>
      <c r="N19" s="25">
        <f>ROUND(+K19,0)</f>
        <v>6955</v>
      </c>
      <c r="O19" s="14">
        <f>ROUND(+L19,0)</f>
        <v>3130</v>
      </c>
      <c r="P19" s="14"/>
      <c r="Q19" s="24">
        <v>3525</v>
      </c>
      <c r="R19" s="14">
        <f>ROUND(+O19,0)</f>
        <v>3130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0.55000000000000004</v>
      </c>
      <c r="I22" s="1" t="s">
        <v>51</v>
      </c>
      <c r="J22" s="16">
        <f>ROUND(+G19*H22,0)</f>
        <v>6550</v>
      </c>
      <c r="K22" s="19"/>
      <c r="L22" s="16">
        <f>ROUND(+K19*H22,0)</f>
        <v>3825</v>
      </c>
      <c r="M22" s="16"/>
      <c r="N22" s="16"/>
      <c r="O22" s="18">
        <f>ROUND(+L22,0)</f>
        <v>3825</v>
      </c>
      <c r="P22" s="16"/>
      <c r="Q22" s="19"/>
      <c r="R22" s="23">
        <f>ROUND(+Q19-N19+O22,0)</f>
        <v>395</v>
      </c>
      <c r="S22" s="10">
        <f>+R22-O22</f>
        <v>-3430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6955</v>
      </c>
      <c r="M23" s="14"/>
      <c r="O23" s="10">
        <f>ROUND(+L23,0)</f>
        <v>6955</v>
      </c>
      <c r="P23" s="14"/>
      <c r="Q23" s="13"/>
      <c r="R23" s="10">
        <f>SUM(R19:R22)</f>
        <v>3525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0.45</v>
      </c>
      <c r="I25" s="1">
        <v>36907</v>
      </c>
      <c r="J25" s="10">
        <f>ROUND(+G25*H25,0)</f>
        <v>805</v>
      </c>
      <c r="K25" s="22">
        <v>934</v>
      </c>
      <c r="L25" s="14">
        <f>ROUND(+K25*H25,0)</f>
        <v>420</v>
      </c>
      <c r="M25" s="14"/>
      <c r="N25" s="25">
        <f>ROUND(+K25,0)</f>
        <v>934</v>
      </c>
      <c r="O25" s="14">
        <f>ROUND(+L25,0)</f>
        <v>420</v>
      </c>
      <c r="P25" s="14"/>
      <c r="Q25" s="24">
        <v>410</v>
      </c>
      <c r="R25" s="14">
        <f>ROUND(+O25,0)</f>
        <v>420</v>
      </c>
    </row>
    <row r="26" spans="1:20" ht="13.5" thickBot="1" x14ac:dyDescent="0.25">
      <c r="A26">
        <v>67693</v>
      </c>
      <c r="B26" s="1">
        <v>17</v>
      </c>
      <c r="H26" s="8">
        <f>+$B$2</f>
        <v>0.55000000000000004</v>
      </c>
      <c r="I26" s="1" t="s">
        <v>51</v>
      </c>
      <c r="J26" s="16">
        <f>ROUND(+G25*H26,0)</f>
        <v>984</v>
      </c>
      <c r="K26" s="19"/>
      <c r="L26" s="18">
        <f>ROUND(+K25*H26,0)</f>
        <v>514</v>
      </c>
      <c r="M26" s="18"/>
      <c r="N26" s="16"/>
      <c r="O26" s="18">
        <f>ROUND(+L26,0)</f>
        <v>514</v>
      </c>
      <c r="P26" s="18"/>
      <c r="Q26" s="19"/>
      <c r="R26" s="23">
        <v>0</v>
      </c>
      <c r="S26" s="10">
        <f>+R26-O26</f>
        <v>-514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934</v>
      </c>
      <c r="O27" s="10">
        <f>ROUND(+L27,0)</f>
        <v>934</v>
      </c>
      <c r="Q27" s="13"/>
      <c r="R27" s="10">
        <f>SUM(R25:R26)</f>
        <v>420</v>
      </c>
      <c r="S27" s="10">
        <f>+R27-Q25</f>
        <v>10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0.45</v>
      </c>
      <c r="I29" s="1">
        <v>36907</v>
      </c>
      <c r="J29" s="10">
        <f>ROUND(+G29*H29,0)</f>
        <v>641</v>
      </c>
      <c r="K29" s="22">
        <v>685</v>
      </c>
      <c r="L29" s="14">
        <f>ROUND(+K29*H29,0)</f>
        <v>308</v>
      </c>
      <c r="M29" s="14"/>
      <c r="N29" s="25">
        <f>ROUND(+K29,0)</f>
        <v>685</v>
      </c>
      <c r="O29" s="14">
        <f>ROUND(+L29,0)</f>
        <v>308</v>
      </c>
      <c r="P29" s="14"/>
      <c r="Q29" s="24">
        <v>362</v>
      </c>
      <c r="R29" s="14">
        <f>ROUND(+O29,0)</f>
        <v>308</v>
      </c>
    </row>
    <row r="30" spans="1:20" ht="13.5" thickBot="1" x14ac:dyDescent="0.25">
      <c r="A30">
        <v>67693</v>
      </c>
      <c r="B30" s="1">
        <v>18</v>
      </c>
      <c r="H30" s="8">
        <f>+$B$2</f>
        <v>0.55000000000000004</v>
      </c>
      <c r="I30" s="1" t="s">
        <v>51</v>
      </c>
      <c r="J30" s="16">
        <f>ROUND(+G29*H30,0)</f>
        <v>784</v>
      </c>
      <c r="K30" s="19"/>
      <c r="L30" s="16">
        <f>ROUND(+K29*H30,0)</f>
        <v>377</v>
      </c>
      <c r="M30" s="16"/>
      <c r="N30" s="16"/>
      <c r="O30" s="18">
        <f>ROUND(+L30,0)</f>
        <v>377</v>
      </c>
      <c r="P30" s="16"/>
      <c r="Q30" s="19"/>
      <c r="R30" s="23">
        <f>ROUND(+Q29-N29+O30,0)</f>
        <v>54</v>
      </c>
      <c r="S30" s="10">
        <f>+R30-O30</f>
        <v>-323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685</v>
      </c>
      <c r="O31" s="10">
        <f>ROUND(+L31,0)</f>
        <v>685</v>
      </c>
      <c r="Q31" s="13"/>
      <c r="R31" s="10">
        <f>SUM(R29:R30)</f>
        <v>362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0.45</v>
      </c>
      <c r="I33" s="1">
        <v>36907</v>
      </c>
      <c r="J33" s="10">
        <f>ROUND(+G33*H33,0)</f>
        <v>5112</v>
      </c>
      <c r="K33" s="22">
        <v>5183</v>
      </c>
      <c r="L33" s="14">
        <f>ROUND(+K33*H33,0)</f>
        <v>2332</v>
      </c>
      <c r="M33" s="14"/>
      <c r="N33" s="25">
        <f>ROUND(+K33,0)</f>
        <v>5183</v>
      </c>
      <c r="O33" s="14">
        <f>ROUND(+L33,0)</f>
        <v>2332</v>
      </c>
      <c r="P33" s="14"/>
      <c r="Q33" s="24">
        <v>2504</v>
      </c>
      <c r="R33" s="14">
        <f>ROUND(+O33,0)</f>
        <v>2332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0.55000000000000004</v>
      </c>
      <c r="I36" s="1" t="s">
        <v>51</v>
      </c>
      <c r="J36" s="16">
        <f>ROUND(+G33*H36,0)</f>
        <v>6247</v>
      </c>
      <c r="K36" s="19"/>
      <c r="L36" s="16">
        <f>ROUND(+K33*H36,0)</f>
        <v>2851</v>
      </c>
      <c r="M36" s="16"/>
      <c r="N36" s="16"/>
      <c r="O36" s="18">
        <f>ROUND(+L36,0)</f>
        <v>2851</v>
      </c>
      <c r="P36" s="16"/>
      <c r="Q36" s="19"/>
      <c r="R36" s="23">
        <f>ROUND(+Q33-N33+O36,0)</f>
        <v>172</v>
      </c>
      <c r="S36" s="10">
        <f>+R36-O36</f>
        <v>-2679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5183</v>
      </c>
      <c r="O37" s="10">
        <f>ROUND(+L37,0)</f>
        <v>5183</v>
      </c>
      <c r="Q37" s="13"/>
      <c r="R37" s="10">
        <f>SUM(R33:R36)</f>
        <v>2504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0.45</v>
      </c>
      <c r="I39" s="1">
        <v>36907</v>
      </c>
      <c r="J39" s="10">
        <f>ROUND(+G39*H39,0)</f>
        <v>851</v>
      </c>
      <c r="K39" s="22">
        <v>859</v>
      </c>
      <c r="L39" s="14">
        <f>ROUND(+K39*H39,0)</f>
        <v>387</v>
      </c>
      <c r="M39" s="14"/>
      <c r="N39" s="25">
        <f>ROUND(+K39,0)</f>
        <v>859</v>
      </c>
      <c r="O39" s="14">
        <f>ROUND(+L39,0)</f>
        <v>387</v>
      </c>
      <c r="P39" s="14"/>
      <c r="Q39" s="24">
        <v>408</v>
      </c>
      <c r="R39" s="14">
        <f>ROUND(+O39,0)</f>
        <v>387</v>
      </c>
    </row>
    <row r="40" spans="1:20" ht="12" customHeight="1" thickBot="1" x14ac:dyDescent="0.25">
      <c r="A40">
        <v>67693</v>
      </c>
      <c r="B40" s="1">
        <v>20</v>
      </c>
      <c r="H40" s="8">
        <f>+$B$2</f>
        <v>0.55000000000000004</v>
      </c>
      <c r="I40" s="1" t="s">
        <v>51</v>
      </c>
      <c r="J40" s="16">
        <f>ROUND(+G39*H40,0)</f>
        <v>1040</v>
      </c>
      <c r="K40" s="19"/>
      <c r="L40" s="16">
        <f>ROUND(+K39*H40,0)</f>
        <v>472</v>
      </c>
      <c r="M40" s="16"/>
      <c r="N40" s="16"/>
      <c r="O40" s="18">
        <f>ROUND(+L40,0)</f>
        <v>472</v>
      </c>
      <c r="P40" s="16"/>
      <c r="Q40" s="19"/>
      <c r="R40" s="23">
        <f>ROUND(+Q39-N39+O40,0)</f>
        <v>21</v>
      </c>
      <c r="S40" s="10">
        <f>+R40-O40</f>
        <v>-451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859</v>
      </c>
      <c r="O41" s="10">
        <f>ROUND(+L41,0)</f>
        <v>859</v>
      </c>
      <c r="Q41" s="13"/>
      <c r="R41" s="10">
        <f>SUM(R39:R40)</f>
        <v>408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0.45</v>
      </c>
      <c r="I43" s="1">
        <v>36907</v>
      </c>
      <c r="J43" s="10">
        <f>ROUND(+G43*H43,0)</f>
        <v>900</v>
      </c>
      <c r="K43" s="22">
        <v>848</v>
      </c>
      <c r="L43" s="14">
        <f>ROUND(+K43*H43,0)</f>
        <v>382</v>
      </c>
      <c r="M43" s="14"/>
      <c r="N43" s="25">
        <f>ROUND(+K43,0)</f>
        <v>848</v>
      </c>
      <c r="O43" s="14">
        <f>ROUND(+L43,0)</f>
        <v>382</v>
      </c>
      <c r="P43" s="14"/>
      <c r="Q43" s="24">
        <v>355</v>
      </c>
      <c r="R43" s="14">
        <f>ROUND(+O43,0)</f>
        <v>382</v>
      </c>
    </row>
    <row r="44" spans="1:20" ht="13.5" thickBot="1" x14ac:dyDescent="0.25">
      <c r="A44">
        <v>67693</v>
      </c>
      <c r="B44" s="1">
        <v>21</v>
      </c>
      <c r="H44" s="8">
        <f>+$B$2</f>
        <v>0.55000000000000004</v>
      </c>
      <c r="I44" s="1" t="s">
        <v>51</v>
      </c>
      <c r="J44" s="16">
        <f>ROUND(+G43*H44,0)</f>
        <v>1100</v>
      </c>
      <c r="K44" s="19"/>
      <c r="L44" s="16">
        <f>ROUND(+K43*H44,0)</f>
        <v>466</v>
      </c>
      <c r="M44" s="16"/>
      <c r="N44" s="16"/>
      <c r="O44" s="18">
        <f>ROUND(+L44,0)</f>
        <v>466</v>
      </c>
      <c r="P44" s="16"/>
      <c r="Q44" s="19"/>
      <c r="R44" s="23">
        <v>0</v>
      </c>
      <c r="S44" s="10">
        <f>+R44-O44</f>
        <v>-466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848</v>
      </c>
      <c r="O45" s="10">
        <f>ROUND(+L45,0)</f>
        <v>848</v>
      </c>
      <c r="R45" s="10">
        <f>SUM(R43:R44)</f>
        <v>382</v>
      </c>
      <c r="S45" s="10">
        <f>+R45-Q43</f>
        <v>27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0.45</v>
      </c>
      <c r="I47" s="1">
        <v>36907</v>
      </c>
      <c r="J47" s="54">
        <v>1358</v>
      </c>
      <c r="K47" s="22">
        <v>918</v>
      </c>
      <c r="L47" s="14">
        <f>ROUND(+K47*H47,0)</f>
        <v>413</v>
      </c>
      <c r="M47" s="14"/>
      <c r="N47" s="25">
        <f>ROUND(+K47,0)</f>
        <v>918</v>
      </c>
      <c r="O47" s="14">
        <f>ROUND(+L47,0)</f>
        <v>413</v>
      </c>
      <c r="P47" s="14"/>
      <c r="Q47" s="24">
        <v>462</v>
      </c>
      <c r="R47" s="14">
        <f>ROUND(+O47,0)</f>
        <v>413</v>
      </c>
    </row>
    <row r="48" spans="1:20" ht="13.5" thickBot="1" x14ac:dyDescent="0.25">
      <c r="A48">
        <v>67693</v>
      </c>
      <c r="B48" s="1">
        <v>22</v>
      </c>
      <c r="H48" s="8">
        <f>+$B$2</f>
        <v>0.55000000000000004</v>
      </c>
      <c r="I48" s="1" t="s">
        <v>51</v>
      </c>
      <c r="J48" s="16">
        <f>ROUND(+G47*H48,0)</f>
        <v>1359</v>
      </c>
      <c r="K48" s="19"/>
      <c r="L48" s="16">
        <f>ROUND(+K47*H48,0)</f>
        <v>505</v>
      </c>
      <c r="M48" s="16"/>
      <c r="N48" s="16"/>
      <c r="O48" s="18">
        <f>ROUND(+L48,0)</f>
        <v>505</v>
      </c>
      <c r="P48" s="16"/>
      <c r="Q48" s="19"/>
      <c r="R48" s="23">
        <f>ROUND(+Q47-N47+O48,0)</f>
        <v>49</v>
      </c>
      <c r="S48" s="10">
        <f>+R48-O48</f>
        <v>-456</v>
      </c>
      <c r="T48" t="s">
        <v>47</v>
      </c>
    </row>
    <row r="49" spans="1:21" x14ac:dyDescent="0.2">
      <c r="J49" s="10">
        <f>SUM(J47:J48)</f>
        <v>2717</v>
      </c>
      <c r="K49" s="13"/>
      <c r="L49" s="10">
        <f>SUM(L47:L48)</f>
        <v>918</v>
      </c>
      <c r="O49" s="10">
        <f>ROUND(+L49,0)</f>
        <v>918</v>
      </c>
      <c r="Q49" s="13"/>
      <c r="R49" s="10">
        <f>SUM(R47:R48)</f>
        <v>462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0.45</v>
      </c>
      <c r="I51" s="33">
        <v>36907</v>
      </c>
      <c r="J51" s="10">
        <f>ROUND(+G51*H51,0)</f>
        <v>574</v>
      </c>
      <c r="K51" s="22">
        <v>587</v>
      </c>
      <c r="L51" s="36">
        <f>ROUND(+K51*H51,0)</f>
        <v>264</v>
      </c>
      <c r="M51" s="36"/>
      <c r="N51" s="25">
        <f>ROUND(+K51,0)</f>
        <v>587</v>
      </c>
      <c r="O51" s="36">
        <f>ROUND(+L51,0)</f>
        <v>264</v>
      </c>
      <c r="P51" s="36"/>
      <c r="Q51" s="24">
        <v>186</v>
      </c>
      <c r="R51" s="36">
        <f>ROUND(+O51,0)</f>
        <v>264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0.55000000000000004</v>
      </c>
      <c r="I52" s="33" t="s">
        <v>52</v>
      </c>
      <c r="J52" s="37">
        <f>ROUND(+G51*H52,0)</f>
        <v>702</v>
      </c>
      <c r="K52" s="38"/>
      <c r="L52" s="37">
        <f>ROUND(+K51*H52,0)</f>
        <v>323</v>
      </c>
      <c r="M52" s="37"/>
      <c r="N52" s="37"/>
      <c r="O52" s="39">
        <f>ROUND(+L52,0)</f>
        <v>323</v>
      </c>
      <c r="P52" s="37"/>
      <c r="Q52" s="38"/>
      <c r="R52" s="23">
        <v>0</v>
      </c>
      <c r="S52" s="35">
        <f>+R52-O52</f>
        <v>-323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587</v>
      </c>
      <c r="M53" s="40"/>
      <c r="N53" s="35"/>
      <c r="O53" s="35">
        <f>ROUND(+L53,0)</f>
        <v>587</v>
      </c>
      <c r="P53" s="40"/>
      <c r="Q53" s="41"/>
      <c r="R53" s="35">
        <f>SUM(R51:R52)</f>
        <v>264</v>
      </c>
      <c r="S53" s="35">
        <f>+R53-Q51</f>
        <v>78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0.45</v>
      </c>
      <c r="I55" s="33">
        <v>36907</v>
      </c>
      <c r="J55" s="35">
        <f>ROUND(+G55*H55,0)</f>
        <v>11</v>
      </c>
      <c r="K55" s="22">
        <v>10</v>
      </c>
      <c r="L55" s="36">
        <v>4</v>
      </c>
      <c r="M55" s="36"/>
      <c r="N55" s="25">
        <f>ROUND(+K55,0)</f>
        <v>10</v>
      </c>
      <c r="O55" s="36">
        <f>ROUND(+L55,0)</f>
        <v>4</v>
      </c>
      <c r="P55" s="36"/>
      <c r="Q55" s="24">
        <v>4</v>
      </c>
      <c r="R55" s="36">
        <f>ROUND(+O55,0)</f>
        <v>4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0.55000000000000004</v>
      </c>
      <c r="I56" s="33" t="s">
        <v>52</v>
      </c>
      <c r="J56" s="37">
        <f>ROUND(+G55*H56,0)</f>
        <v>14</v>
      </c>
      <c r="K56" s="37"/>
      <c r="L56" s="37">
        <v>6</v>
      </c>
      <c r="M56" s="37"/>
      <c r="N56" s="37"/>
      <c r="O56" s="39">
        <f>ROUND(+L56,0)</f>
        <v>6</v>
      </c>
      <c r="P56" s="37"/>
      <c r="Q56" s="37"/>
      <c r="R56" s="23">
        <f>ROUND(+Q55-N55+O56,0)</f>
        <v>0</v>
      </c>
      <c r="S56" s="35">
        <f>+R56-O56</f>
        <v>-6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10</v>
      </c>
      <c r="M57" s="35"/>
      <c r="N57" s="35"/>
      <c r="O57" s="35">
        <f>ROUND(+L57,0)</f>
        <v>10</v>
      </c>
      <c r="P57" s="35"/>
      <c r="Q57" s="35"/>
      <c r="R57" s="35">
        <f>SUM(R55:R56)</f>
        <v>4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43872</v>
      </c>
      <c r="K59" s="10">
        <f>SUM(K6:K57)</f>
        <v>21912</v>
      </c>
      <c r="L59" s="28">
        <f>SUM(L8+L13+L17+L23+L27+L31+L37+L41+L45+L49+L53+L57)</f>
        <v>21912</v>
      </c>
      <c r="N59" s="10">
        <f>SUM(N6:N57)</f>
        <v>21912</v>
      </c>
      <c r="O59" s="28">
        <f>SUM(O8+O13+O17+O23+O27+O31+O37+O41+O45+O49+O53+O57)</f>
        <v>21912</v>
      </c>
      <c r="Q59" s="10">
        <f>SUM(Q6:Q57)</f>
        <v>11439</v>
      </c>
      <c r="R59" s="28">
        <f>SUM(R8+R13+R17+R23+R27+R31+R37+R41+R45+R49+R53+R57)</f>
        <v>11560</v>
      </c>
      <c r="S59" s="29">
        <f>S8+S13+S17+S23+S27+S31+S37+S41+S45+S49+S53+S57</f>
        <v>121</v>
      </c>
      <c r="T59" s="30" t="s">
        <v>55</v>
      </c>
      <c r="U59" s="31"/>
    </row>
    <row r="61" spans="1:21" x14ac:dyDescent="0.2">
      <c r="S61" s="10">
        <f>R59-S59</f>
        <v>11439</v>
      </c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270</v>
      </c>
      <c r="L62" s="10">
        <f>SUMIF($I$6:$I$56,"22STOW",$L$6:$L$56)</f>
        <v>134</v>
      </c>
      <c r="O62" s="10">
        <f>SUMIF($I$6:$I$56,"22STOW",$O$6:$O$56)</f>
        <v>134</v>
      </c>
      <c r="R62" s="10">
        <f>SUMIF($I$6:$I$56,"22STOW",$R$6:$R$56)</f>
        <v>0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4944</v>
      </c>
      <c r="L63" s="10">
        <f>SUMIF($I$6:$I$56,"23nSTOW",$L$6:$L$56)</f>
        <v>2579</v>
      </c>
      <c r="O63" s="10">
        <f>SUMIF($I$6:$I$56,"23nSTOW",$O$6:$O$56)</f>
        <v>2579</v>
      </c>
      <c r="R63" s="10">
        <f>SUMIF($I$6:$I$56,"23nSTOW",$R$6:$R$56)</f>
        <v>1009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18064</v>
      </c>
      <c r="L64" s="10">
        <f>SUMIF($I$6:$I$56,"23STOW",$L$6:$L$56)</f>
        <v>9010</v>
      </c>
      <c r="O64" s="10">
        <f>SUMIF($I$6:$I$56,"23STOW",$O$6:$O$56)</f>
        <v>9010</v>
      </c>
      <c r="R64" s="10">
        <f>SUMIF($I$6:$I$56,"23STOW",$R$6:$R$56)</f>
        <v>691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716</v>
      </c>
      <c r="L65" s="10">
        <f>SUMIF($I$6:$I$56,"24STOW",$L$6:$L$56)</f>
        <v>329</v>
      </c>
      <c r="O65" s="10">
        <f>SUMIF($I$6:$I$56,"24STOW",$O$6:$O$56)</f>
        <v>329</v>
      </c>
      <c r="R65" s="10">
        <f>SUMIF($I$6:$I$56,"24STOW",$R$6:$R$56)</f>
        <v>0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24529.729287642102</v>
      </c>
      <c r="I67" t="s">
        <v>33</v>
      </c>
      <c r="J67" s="10">
        <f>SUM(J62:J65)</f>
        <v>23994</v>
      </c>
      <c r="K67" s="10">
        <f>+L67/0.97816</f>
        <v>12321.092663776886</v>
      </c>
      <c r="L67" s="10">
        <f>SUM(L62:L65)</f>
        <v>12052</v>
      </c>
      <c r="N67" s="10">
        <f>+O67/0.97816</f>
        <v>12321.092663776886</v>
      </c>
      <c r="O67" s="10">
        <f>SUM(O62:O65)</f>
        <v>12052</v>
      </c>
      <c r="Q67" s="10">
        <f>+R67/0.97816</f>
        <v>1737.9569804530956</v>
      </c>
      <c r="R67" s="10">
        <f>SUM(R62:R65)</f>
        <v>1700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21912</v>
      </c>
      <c r="O72" s="10">
        <f>SUMIF($A$6:$A$58,"67693",$O$6:$O$58)</f>
        <v>21912</v>
      </c>
      <c r="R72" s="10">
        <f>SUMIF($A$6:$A$58,"67693",$R$6:$R$58)</f>
        <v>11560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U74"/>
  <sheetViews>
    <sheetView topLeftCell="E46" workbookViewId="0">
      <selection activeCell="Q61" sqref="Q6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150</v>
      </c>
      <c r="L6" s="14">
        <f>ROUND(+K6*H6,0)</f>
        <v>83</v>
      </c>
      <c r="M6" s="14"/>
      <c r="N6" s="25">
        <f>ROUND(+K6,0)</f>
        <v>150</v>
      </c>
      <c r="O6" s="14">
        <f>ROUND(+L6,0)</f>
        <v>83</v>
      </c>
      <c r="P6" s="14"/>
      <c r="Q6" s="24">
        <v>150</v>
      </c>
      <c r="R6" s="14">
        <f>+O6</f>
        <v>83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v>67</v>
      </c>
      <c r="M7" s="16"/>
      <c r="N7" s="16"/>
      <c r="O7" s="18">
        <f>ROUND(+L7,0)</f>
        <v>67</v>
      </c>
      <c r="P7" s="14"/>
      <c r="R7" s="23">
        <f>ROUND(+Q6-N6+O7,0)</f>
        <v>67</v>
      </c>
      <c r="S7" s="10">
        <f>+R7-O7</f>
        <v>0</v>
      </c>
      <c r="T7" t="s">
        <v>47</v>
      </c>
    </row>
    <row r="8" spans="1:20" x14ac:dyDescent="0.2">
      <c r="J8" s="10">
        <f>SUM(J6:J7)</f>
        <v>491</v>
      </c>
      <c r="L8" s="10">
        <f>SUM(L6:L7)</f>
        <v>150</v>
      </c>
      <c r="O8" s="10">
        <f>ROUND(+L8,0)</f>
        <v>150</v>
      </c>
      <c r="R8" s="10">
        <f>SUM(R6:R7)</f>
        <v>150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5048</v>
      </c>
      <c r="L10" s="14">
        <f>ROUND(+K10*H10,0)</f>
        <v>2776</v>
      </c>
      <c r="M10" s="14"/>
      <c r="N10" s="25">
        <f>ROUND(+K10,0)</f>
        <v>5048</v>
      </c>
      <c r="O10" s="14">
        <f>ROUND(+L10,0)</f>
        <v>2776</v>
      </c>
      <c r="P10" s="14"/>
      <c r="Q10" s="24">
        <v>5048</v>
      </c>
      <c r="R10" s="14">
        <f>ROUND(+O10,0)</f>
        <v>2776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0.45</v>
      </c>
      <c r="I12" s="1" t="s">
        <v>50</v>
      </c>
      <c r="J12" s="16">
        <f>ROUND(+G10*H12,0)</f>
        <v>2884</v>
      </c>
      <c r="K12" s="19"/>
      <c r="L12" s="16">
        <f>ROUND(+K10*H12,0)</f>
        <v>2272</v>
      </c>
      <c r="M12" s="16"/>
      <c r="N12" s="16"/>
      <c r="O12" s="18">
        <f>ROUND(+L12,0)</f>
        <v>2272</v>
      </c>
      <c r="P12" s="16"/>
      <c r="Q12" s="19"/>
      <c r="R12" s="23">
        <f>ROUND(+Q10-N10+O12,0)</f>
        <v>2272</v>
      </c>
      <c r="S12" s="10">
        <f>+R12-O12</f>
        <v>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5048</v>
      </c>
      <c r="M13" s="14"/>
      <c r="O13" s="10">
        <f>ROUND(+L13,0)</f>
        <v>5048</v>
      </c>
      <c r="P13" s="14"/>
      <c r="Q13" s="13"/>
      <c r="R13" s="10">
        <f>SUM(R10:R12)</f>
        <v>5048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0.55000000000000004</v>
      </c>
      <c r="I15" s="1">
        <v>36907</v>
      </c>
      <c r="J15" s="10">
        <f>ROUND(+G15*H15,0)</f>
        <v>1420</v>
      </c>
      <c r="K15" s="22">
        <v>2029</v>
      </c>
      <c r="L15" s="14">
        <f>ROUND(+K15*H15,0)</f>
        <v>1116</v>
      </c>
      <c r="M15" s="14"/>
      <c r="N15" s="25">
        <f>ROUND(+K15,0)</f>
        <v>2029</v>
      </c>
      <c r="O15" s="14">
        <f>ROUND(+L15,0)</f>
        <v>1116</v>
      </c>
      <c r="P15" s="14"/>
      <c r="Q15" s="24">
        <v>2029</v>
      </c>
      <c r="R15" s="14">
        <f>ROUND(+O15,0)</f>
        <v>1116</v>
      </c>
    </row>
    <row r="16" spans="1:20" ht="13.5" thickBot="1" x14ac:dyDescent="0.25">
      <c r="A16">
        <v>67693</v>
      </c>
      <c r="B16" s="1">
        <v>26</v>
      </c>
      <c r="H16" s="8">
        <f>+$B$2</f>
        <v>0.45</v>
      </c>
      <c r="I16" s="1" t="s">
        <v>50</v>
      </c>
      <c r="J16" s="16">
        <f>ROUND(+G15*H16,0)</f>
        <v>1162</v>
      </c>
      <c r="K16" s="19"/>
      <c r="L16" s="16">
        <f>ROUND(+K15*H16,0)</f>
        <v>913</v>
      </c>
      <c r="M16" s="16"/>
      <c r="N16" s="16"/>
      <c r="O16" s="18">
        <f>ROUND(+L16,0)</f>
        <v>913</v>
      </c>
      <c r="P16" s="16"/>
      <c r="Q16" s="19"/>
      <c r="R16" s="23">
        <f>ROUND(+Q15-N15+O16,0)</f>
        <v>913</v>
      </c>
      <c r="S16" s="10">
        <f>+R16-O16</f>
        <v>0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2029</v>
      </c>
      <c r="O17" s="10">
        <f>ROUND(+L17,0)</f>
        <v>2029</v>
      </c>
      <c r="Q17" s="13"/>
      <c r="R17" s="10">
        <f>SUM(R15:R16)</f>
        <v>2029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0.55000000000000004</v>
      </c>
      <c r="I19" s="1">
        <v>36907</v>
      </c>
      <c r="J19" s="10">
        <f>ROUND(+G19*H19,0)</f>
        <v>6550</v>
      </c>
      <c r="K19" s="22">
        <v>9699</v>
      </c>
      <c r="L19" s="14">
        <f>ROUND(+K19*H19,0)</f>
        <v>5334</v>
      </c>
      <c r="M19" s="14"/>
      <c r="N19" s="25">
        <f>ROUND(+K19,0)</f>
        <v>9699</v>
      </c>
      <c r="O19" s="14">
        <f>ROUND(+L19,0)</f>
        <v>5334</v>
      </c>
      <c r="P19" s="14"/>
      <c r="Q19" s="24">
        <v>9699</v>
      </c>
      <c r="R19" s="14">
        <f>ROUND(+O19,0)</f>
        <v>5334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0.45</v>
      </c>
      <c r="I22" s="1" t="s">
        <v>51</v>
      </c>
      <c r="J22" s="16">
        <f>ROUND(+G19*H22,0)</f>
        <v>5359</v>
      </c>
      <c r="K22" s="19"/>
      <c r="L22" s="16">
        <f>ROUND(+K19*H22,0)</f>
        <v>4365</v>
      </c>
      <c r="M22" s="16"/>
      <c r="N22" s="16"/>
      <c r="O22" s="18">
        <f>ROUND(+L22,0)</f>
        <v>4365</v>
      </c>
      <c r="P22" s="16"/>
      <c r="Q22" s="19"/>
      <c r="R22" s="23">
        <f>ROUND(+Q19-N19+O22,0)</f>
        <v>4365</v>
      </c>
      <c r="S22" s="10">
        <f>+R22-O22</f>
        <v>0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9699</v>
      </c>
      <c r="M23" s="14"/>
      <c r="O23" s="10">
        <f>ROUND(+L23,0)</f>
        <v>9699</v>
      </c>
      <c r="P23" s="14"/>
      <c r="Q23" s="13"/>
      <c r="R23" s="10">
        <f>SUM(R19:R22)</f>
        <v>9699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0.55000000000000004</v>
      </c>
      <c r="I25" s="1">
        <v>36907</v>
      </c>
      <c r="J25" s="10">
        <f>ROUND(+G25*H25,0)</f>
        <v>984</v>
      </c>
      <c r="K25" s="22">
        <v>1144</v>
      </c>
      <c r="L25" s="14">
        <f>ROUND(+K25*H25,0)</f>
        <v>629</v>
      </c>
      <c r="M25" s="14"/>
      <c r="N25" s="25">
        <f>ROUND(+K25,0)</f>
        <v>1144</v>
      </c>
      <c r="O25" s="14">
        <f>ROUND(+L25,0)</f>
        <v>629</v>
      </c>
      <c r="P25" s="14"/>
      <c r="Q25" s="24">
        <v>1144</v>
      </c>
      <c r="R25" s="14">
        <f>ROUND(+O25,0)</f>
        <v>629</v>
      </c>
    </row>
    <row r="26" spans="1:20" ht="13.5" thickBot="1" x14ac:dyDescent="0.25">
      <c r="A26">
        <v>67693</v>
      </c>
      <c r="B26" s="1">
        <v>17</v>
      </c>
      <c r="H26" s="8">
        <f>+$B$2</f>
        <v>0.45</v>
      </c>
      <c r="I26" s="1" t="s">
        <v>51</v>
      </c>
      <c r="J26" s="16">
        <f>ROUND(+G25*H26,0)</f>
        <v>805</v>
      </c>
      <c r="K26" s="19"/>
      <c r="L26" s="18">
        <f>ROUND(+K25*H26,0)</f>
        <v>515</v>
      </c>
      <c r="M26" s="18"/>
      <c r="N26" s="16"/>
      <c r="O26" s="18">
        <f>ROUND(+L26,0)</f>
        <v>515</v>
      </c>
      <c r="P26" s="18"/>
      <c r="Q26" s="19"/>
      <c r="R26" s="23">
        <f>ROUND(+Q25-N25+O26,0)</f>
        <v>515</v>
      </c>
      <c r="S26" s="10">
        <f>+R26-O26</f>
        <v>0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1144</v>
      </c>
      <c r="O27" s="10">
        <f>ROUND(+L27,0)</f>
        <v>1144</v>
      </c>
      <c r="Q27" s="13"/>
      <c r="R27" s="10">
        <f>SUM(R25:R26)</f>
        <v>1144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0.55000000000000004</v>
      </c>
      <c r="I29" s="1">
        <v>36907</v>
      </c>
      <c r="J29" s="10">
        <f>ROUND(+G29*H29,0)</f>
        <v>784</v>
      </c>
      <c r="K29" s="22">
        <v>1006</v>
      </c>
      <c r="L29" s="14">
        <f>ROUND(+K29*H29,0)</f>
        <v>553</v>
      </c>
      <c r="M29" s="14"/>
      <c r="N29" s="25">
        <f>ROUND(+K29,0)</f>
        <v>1006</v>
      </c>
      <c r="O29" s="14">
        <f>ROUND(+L29,0)</f>
        <v>553</v>
      </c>
      <c r="P29" s="14"/>
      <c r="Q29" s="24">
        <v>1006</v>
      </c>
      <c r="R29" s="14">
        <f>ROUND(+O29,0)</f>
        <v>553</v>
      </c>
    </row>
    <row r="30" spans="1:20" ht="13.5" thickBot="1" x14ac:dyDescent="0.25">
      <c r="A30">
        <v>67693</v>
      </c>
      <c r="B30" s="1">
        <v>18</v>
      </c>
      <c r="H30" s="8">
        <f>+$B$2</f>
        <v>0.45</v>
      </c>
      <c r="I30" s="1" t="s">
        <v>51</v>
      </c>
      <c r="J30" s="16">
        <f>ROUND(+G29*H30,0)</f>
        <v>641</v>
      </c>
      <c r="K30" s="19"/>
      <c r="L30" s="16">
        <f>ROUND(+K29*H30,0)</f>
        <v>453</v>
      </c>
      <c r="M30" s="16"/>
      <c r="N30" s="16"/>
      <c r="O30" s="18">
        <f>ROUND(+L30,0)</f>
        <v>453</v>
      </c>
      <c r="P30" s="16"/>
      <c r="Q30" s="19"/>
      <c r="R30" s="23">
        <f>ROUND(+Q29-N29+O30,0)</f>
        <v>453</v>
      </c>
      <c r="S30" s="10">
        <f>+R30-O30</f>
        <v>0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1006</v>
      </c>
      <c r="O31" s="10">
        <f>ROUND(+L31,0)</f>
        <v>1006</v>
      </c>
      <c r="Q31" s="13"/>
      <c r="R31" s="10">
        <f>SUM(R29:R30)</f>
        <v>1006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0.55000000000000004</v>
      </c>
      <c r="I33" s="1">
        <v>36907</v>
      </c>
      <c r="J33" s="10">
        <f>ROUND(+G33*H33,0)</f>
        <v>6247</v>
      </c>
      <c r="K33" s="22">
        <v>4513</v>
      </c>
      <c r="L33" s="14">
        <f>ROUND(+K33*H33,0)</f>
        <v>2482</v>
      </c>
      <c r="M33" s="14"/>
      <c r="N33" s="25">
        <f>ROUND(+K33,0)</f>
        <v>4513</v>
      </c>
      <c r="O33" s="14">
        <f>ROUND(+L33,0)</f>
        <v>2482</v>
      </c>
      <c r="P33" s="14"/>
      <c r="Q33" s="24">
        <v>4513</v>
      </c>
      <c r="R33" s="14">
        <f>ROUND(+O33,0)</f>
        <v>2482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0.45</v>
      </c>
      <c r="I36" s="1" t="s">
        <v>51</v>
      </c>
      <c r="J36" s="16">
        <f>ROUND(+G33*H36,0)</f>
        <v>5112</v>
      </c>
      <c r="K36" s="19"/>
      <c r="L36" s="16">
        <f>ROUND(+K33*H36,0)</f>
        <v>2031</v>
      </c>
      <c r="M36" s="16"/>
      <c r="N36" s="16"/>
      <c r="O36" s="18">
        <f>ROUND(+L36,0)</f>
        <v>2031</v>
      </c>
      <c r="P36" s="16"/>
      <c r="Q36" s="19"/>
      <c r="R36" s="23">
        <f>ROUND(+Q33-N33+O36,0)</f>
        <v>2031</v>
      </c>
      <c r="S36" s="10">
        <f>+R36-O36</f>
        <v>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4513</v>
      </c>
      <c r="O37" s="10">
        <f>ROUND(+L37,0)</f>
        <v>4513</v>
      </c>
      <c r="Q37" s="13"/>
      <c r="R37" s="10">
        <f>SUM(R33:R36)</f>
        <v>4513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0.55000000000000004</v>
      </c>
      <c r="I39" s="1">
        <v>36907</v>
      </c>
      <c r="J39" s="10">
        <f>ROUND(+G39*H39,0)</f>
        <v>1040</v>
      </c>
      <c r="K39" s="22">
        <v>972</v>
      </c>
      <c r="L39" s="14">
        <f>ROUND(+K39*H39,0)</f>
        <v>535</v>
      </c>
      <c r="M39" s="14"/>
      <c r="N39" s="25">
        <f>ROUND(+K39,0)</f>
        <v>972</v>
      </c>
      <c r="O39" s="14">
        <f>ROUND(+L39,0)</f>
        <v>535</v>
      </c>
      <c r="P39" s="14"/>
      <c r="Q39" s="24">
        <v>972</v>
      </c>
      <c r="R39" s="14">
        <f>ROUND(+O39,0)</f>
        <v>535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0.45</v>
      </c>
      <c r="I40" s="1" t="s">
        <v>51</v>
      </c>
      <c r="J40" s="16">
        <f>ROUND(+G39*H40,0)</f>
        <v>851</v>
      </c>
      <c r="K40" s="19"/>
      <c r="L40" s="16">
        <f>ROUND(+K39*H40,0)</f>
        <v>437</v>
      </c>
      <c r="M40" s="16"/>
      <c r="N40" s="16"/>
      <c r="O40" s="18">
        <f>ROUND(+L40,0)</f>
        <v>437</v>
      </c>
      <c r="P40" s="16"/>
      <c r="Q40" s="19"/>
      <c r="R40" s="23">
        <f>ROUND(+Q39-N39+O40,0)</f>
        <v>437</v>
      </c>
      <c r="S40" s="10">
        <f>+R40-O40</f>
        <v>0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972</v>
      </c>
      <c r="O41" s="10">
        <f>ROUND(+L41,0)</f>
        <v>972</v>
      </c>
      <c r="Q41" s="13"/>
      <c r="R41" s="10">
        <f>SUM(R39:R40)</f>
        <v>972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0.55000000000000004</v>
      </c>
      <c r="I43" s="1">
        <v>36907</v>
      </c>
      <c r="J43" s="10">
        <f>ROUND(+G43*H43,0)</f>
        <v>1100</v>
      </c>
      <c r="K43" s="22">
        <v>725</v>
      </c>
      <c r="L43" s="14">
        <f>ROUND(+K43*H43,0)</f>
        <v>399</v>
      </c>
      <c r="M43" s="14"/>
      <c r="N43" s="25">
        <f>ROUND(+K43,0)</f>
        <v>725</v>
      </c>
      <c r="O43" s="14">
        <f>ROUND(+L43,0)</f>
        <v>399</v>
      </c>
      <c r="P43" s="14"/>
      <c r="Q43" s="24">
        <v>725</v>
      </c>
      <c r="R43" s="14">
        <f>ROUND(+O43,0)</f>
        <v>399</v>
      </c>
    </row>
    <row r="44" spans="1:20" ht="13.5" thickBot="1" x14ac:dyDescent="0.25">
      <c r="A44">
        <v>67693</v>
      </c>
      <c r="B44" s="1">
        <v>21</v>
      </c>
      <c r="H44" s="8">
        <f>+$B$2</f>
        <v>0.45</v>
      </c>
      <c r="I44" s="1" t="s">
        <v>51</v>
      </c>
      <c r="J44" s="16">
        <f>ROUND(+G43*H44,0)</f>
        <v>900</v>
      </c>
      <c r="K44" s="19"/>
      <c r="L44" s="16">
        <f>ROUND(+K43*H44,0)</f>
        <v>326</v>
      </c>
      <c r="M44" s="16"/>
      <c r="N44" s="16"/>
      <c r="O44" s="18">
        <f>ROUND(+L44,0)</f>
        <v>326</v>
      </c>
      <c r="P44" s="16"/>
      <c r="Q44" s="19"/>
      <c r="R44" s="23">
        <f>ROUND(+Q43-N43+O44,0)</f>
        <v>326</v>
      </c>
      <c r="S44" s="10">
        <f>+R44-O44</f>
        <v>0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725</v>
      </c>
      <c r="O45" s="10">
        <f>ROUND(+L45,0)</f>
        <v>725</v>
      </c>
      <c r="R45" s="10">
        <f>SUM(R43:R44)</f>
        <v>725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0.55000000000000004</v>
      </c>
      <c r="I47" s="1">
        <v>36907</v>
      </c>
      <c r="J47" s="54">
        <v>1358</v>
      </c>
      <c r="K47" s="22">
        <v>1070</v>
      </c>
      <c r="L47" s="14">
        <f>ROUND(+K47*H47,0)</f>
        <v>589</v>
      </c>
      <c r="M47" s="14"/>
      <c r="N47" s="25">
        <f>ROUND(+K47,0)</f>
        <v>1070</v>
      </c>
      <c r="O47" s="14">
        <f>ROUND(+L47,0)</f>
        <v>589</v>
      </c>
      <c r="P47" s="14"/>
      <c r="Q47" s="24">
        <v>1070</v>
      </c>
      <c r="R47" s="14">
        <f>ROUND(+O47,0)</f>
        <v>589</v>
      </c>
    </row>
    <row r="48" spans="1:20" ht="13.5" thickBot="1" x14ac:dyDescent="0.25">
      <c r="A48">
        <v>67693</v>
      </c>
      <c r="B48" s="1">
        <v>22</v>
      </c>
      <c r="H48" s="8">
        <f>+$B$2</f>
        <v>0.45</v>
      </c>
      <c r="I48" s="1" t="s">
        <v>51</v>
      </c>
      <c r="J48" s="16">
        <f>ROUND(+G47*H48,0)</f>
        <v>1112</v>
      </c>
      <c r="K48" s="19"/>
      <c r="L48" s="16">
        <v>481</v>
      </c>
      <c r="M48" s="16"/>
      <c r="N48" s="16"/>
      <c r="O48" s="18">
        <f>ROUND(+L48,0)</f>
        <v>481</v>
      </c>
      <c r="P48" s="16"/>
      <c r="Q48" s="19"/>
      <c r="R48" s="23">
        <f>ROUND(+Q47-N47+O48,0)</f>
        <v>481</v>
      </c>
      <c r="S48" s="10">
        <f>+R48-O48</f>
        <v>0</v>
      </c>
      <c r="T48" t="s">
        <v>47</v>
      </c>
    </row>
    <row r="49" spans="1:21" x14ac:dyDescent="0.2">
      <c r="J49" s="10">
        <f>SUM(J47:J48)</f>
        <v>2470</v>
      </c>
      <c r="K49" s="13"/>
      <c r="L49" s="10">
        <f>SUM(L47:L48)</f>
        <v>1070</v>
      </c>
      <c r="O49" s="10">
        <f>ROUND(+L49,0)</f>
        <v>1070</v>
      </c>
      <c r="Q49" s="13"/>
      <c r="R49" s="10">
        <f>SUM(R47:R48)</f>
        <v>1070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0.55000000000000004</v>
      </c>
      <c r="I51" s="33">
        <v>36907</v>
      </c>
      <c r="J51" s="10">
        <f>ROUND(+G51*H51,0)</f>
        <v>702</v>
      </c>
      <c r="K51" s="22">
        <v>587</v>
      </c>
      <c r="L51" s="36">
        <f>ROUND(+K51*H51,0)</f>
        <v>323</v>
      </c>
      <c r="M51" s="36"/>
      <c r="N51" s="25">
        <f>ROUND(+K51,0)</f>
        <v>587</v>
      </c>
      <c r="O51" s="36">
        <f>ROUND(+L51,0)</f>
        <v>323</v>
      </c>
      <c r="P51" s="36"/>
      <c r="Q51" s="24">
        <v>587</v>
      </c>
      <c r="R51" s="36">
        <f>ROUND(+O51,0)</f>
        <v>323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0.45</v>
      </c>
      <c r="I52" s="33" t="s">
        <v>52</v>
      </c>
      <c r="J52" s="37">
        <f>ROUND(+G51*H52,0)</f>
        <v>574</v>
      </c>
      <c r="K52" s="38"/>
      <c r="L52" s="37">
        <f>ROUND(+K51*H52,0)</f>
        <v>264</v>
      </c>
      <c r="M52" s="37"/>
      <c r="N52" s="37"/>
      <c r="O52" s="39">
        <f>ROUND(+L52,0)</f>
        <v>264</v>
      </c>
      <c r="P52" s="37"/>
      <c r="Q52" s="38"/>
      <c r="R52" s="23">
        <f>ROUND(+Q51-N51+O52,0)</f>
        <v>264</v>
      </c>
      <c r="S52" s="35">
        <f>+R52-O52</f>
        <v>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587</v>
      </c>
      <c r="M53" s="40"/>
      <c r="N53" s="35"/>
      <c r="O53" s="35">
        <f>ROUND(+L53,0)</f>
        <v>587</v>
      </c>
      <c r="P53" s="40"/>
      <c r="Q53" s="41"/>
      <c r="R53" s="35">
        <f>SUM(R51:R52)</f>
        <v>587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0.55000000000000004</v>
      </c>
      <c r="I55" s="33">
        <v>36907</v>
      </c>
      <c r="J55" s="35">
        <f>ROUND(+G55*H55,0)</f>
        <v>14</v>
      </c>
      <c r="K55" s="22">
        <v>17</v>
      </c>
      <c r="L55" s="36">
        <v>4</v>
      </c>
      <c r="M55" s="36"/>
      <c r="N55" s="25">
        <f>ROUND(+K55,0)</f>
        <v>17</v>
      </c>
      <c r="O55" s="36">
        <f>ROUND(+L55,0)</f>
        <v>4</v>
      </c>
      <c r="P55" s="36"/>
      <c r="Q55" s="24">
        <v>17</v>
      </c>
      <c r="R55" s="36">
        <f>ROUND(+O55,0)</f>
        <v>4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0.45</v>
      </c>
      <c r="I56" s="33" t="s">
        <v>52</v>
      </c>
      <c r="J56" s="37">
        <f>ROUND(+G55*H56,0)</f>
        <v>11</v>
      </c>
      <c r="K56" s="37"/>
      <c r="L56" s="37">
        <v>13</v>
      </c>
      <c r="M56" s="37"/>
      <c r="N56" s="37"/>
      <c r="O56" s="39">
        <f>ROUND(+L56,0)</f>
        <v>13</v>
      </c>
      <c r="P56" s="37"/>
      <c r="Q56" s="37"/>
      <c r="R56" s="23">
        <f>ROUND(+Q55-N55+O56,0)</f>
        <v>13</v>
      </c>
      <c r="S56" s="35">
        <f>+R56-O56</f>
        <v>0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17</v>
      </c>
      <c r="M57" s="35"/>
      <c r="N57" s="35"/>
      <c r="O57" s="35">
        <f>ROUND(+L57,0)</f>
        <v>17</v>
      </c>
      <c r="P57" s="35"/>
      <c r="Q57" s="35"/>
      <c r="R57" s="35">
        <f>SUM(R55:R56)</f>
        <v>17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43625</v>
      </c>
      <c r="K59" s="10">
        <f>SUM(K6:K57)</f>
        <v>26960</v>
      </c>
      <c r="L59" s="28">
        <f>SUM(L8+L13+L17+L23+L27+L31+L37+L41+L45+L49+L53+L57)</f>
        <v>26960</v>
      </c>
      <c r="N59" s="10">
        <f>SUM(N6:N57)</f>
        <v>26960</v>
      </c>
      <c r="O59" s="28">
        <f>SUM(O8+O13+O17+O23+O27+O31+O37+O41+O45+O49+O53+O57)</f>
        <v>26960</v>
      </c>
      <c r="Q59" s="10">
        <f>SUM(Q6:Q57)</f>
        <v>26960</v>
      </c>
      <c r="R59" s="28">
        <f>SUM(R8+R13+R17+R23+R27+R31+R37+R41+R45+R49+R53+R57)</f>
        <v>26960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221</v>
      </c>
      <c r="L62" s="10">
        <f>SUMIF($I$6:$I$56,"22STOW",$L$6:$L$56)</f>
        <v>67</v>
      </c>
      <c r="O62" s="10">
        <f>SUMIF($I$6:$I$56,"22STOW",$O$6:$O$56)</f>
        <v>67</v>
      </c>
      <c r="R62" s="10">
        <f>SUMIF($I$6:$I$56,"22STOW",$R$6:$R$56)</f>
        <v>67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4046</v>
      </c>
      <c r="L63" s="10">
        <f>SUMIF($I$6:$I$56,"23nSTOW",$L$6:$L$56)</f>
        <v>3185</v>
      </c>
      <c r="O63" s="10">
        <f>SUMIF($I$6:$I$56,"23nSTOW",$O$6:$O$56)</f>
        <v>3185</v>
      </c>
      <c r="R63" s="10">
        <f>SUMIF($I$6:$I$56,"23nSTOW",$R$6:$R$56)</f>
        <v>3185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14780</v>
      </c>
      <c r="L64" s="10">
        <f>SUMIF($I$6:$I$56,"23STOW",$L$6:$L$56)</f>
        <v>8608</v>
      </c>
      <c r="O64" s="10">
        <f>SUMIF($I$6:$I$56,"23STOW",$O$6:$O$56)</f>
        <v>8608</v>
      </c>
      <c r="R64" s="10">
        <f>SUMIF($I$6:$I$56,"23STOW",$R$6:$R$56)</f>
        <v>8608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585</v>
      </c>
      <c r="L65" s="10">
        <f>SUMIF($I$6:$I$56,"24STOW",$L$6:$L$56)</f>
        <v>277</v>
      </c>
      <c r="O65" s="10">
        <f>SUMIF($I$6:$I$56,"24STOW",$O$6:$O$56)</f>
        <v>277</v>
      </c>
      <c r="R65" s="10">
        <f>SUMIF($I$6:$I$56,"24STOW",$R$6:$R$56)</f>
        <v>277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20070.33614132657</v>
      </c>
      <c r="I67" t="s">
        <v>33</v>
      </c>
      <c r="J67" s="10">
        <f>SUM(J62:J65)</f>
        <v>19632</v>
      </c>
      <c r="K67" s="10">
        <f>+L67/0.97816</f>
        <v>12407.990512799541</v>
      </c>
      <c r="L67" s="10">
        <f>SUM(L62:L65)</f>
        <v>12137</v>
      </c>
      <c r="N67" s="10">
        <f>+O67/0.97816</f>
        <v>12407.990512799541</v>
      </c>
      <c r="O67" s="10">
        <f>SUM(O62:O65)</f>
        <v>12137</v>
      </c>
      <c r="Q67" s="10">
        <f>+R67/0.97816</f>
        <v>12407.990512799541</v>
      </c>
      <c r="R67" s="10">
        <f>SUM(R62:R65)</f>
        <v>12137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26960</v>
      </c>
      <c r="O72" s="10">
        <f>SUMIF($A$6:$A$58,"67693",$O$6:$O$58)</f>
        <v>26960</v>
      </c>
      <c r="R72" s="10">
        <f>SUMIF($A$6:$A$58,"67693",$R$6:$R$58)</f>
        <v>26960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U74"/>
  <sheetViews>
    <sheetView topLeftCell="F51" workbookViewId="0">
      <selection activeCell="Q59" sqref="Q59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479</v>
      </c>
      <c r="L6" s="14">
        <f>ROUND(+K6*H6,0)</f>
        <v>287</v>
      </c>
      <c r="M6" s="14"/>
      <c r="N6" s="25">
        <f>ROUND(+K6,0)</f>
        <v>479</v>
      </c>
      <c r="O6" s="14">
        <f>ROUND(+L6,0)</f>
        <v>287</v>
      </c>
      <c r="P6" s="14"/>
      <c r="Q6" s="24">
        <v>619</v>
      </c>
      <c r="R6" s="14">
        <f>+O6</f>
        <v>287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192</v>
      </c>
      <c r="M7" s="16"/>
      <c r="N7" s="16"/>
      <c r="O7" s="18">
        <f>ROUND(+L7,0)</f>
        <v>192</v>
      </c>
      <c r="P7" s="14"/>
      <c r="R7" s="23">
        <f>ROUND(+Q6-N6+O7,0)</f>
        <v>332</v>
      </c>
      <c r="S7" s="10">
        <f>+R7-O7</f>
        <v>140</v>
      </c>
      <c r="T7" t="s">
        <v>47</v>
      </c>
    </row>
    <row r="8" spans="1:20" x14ac:dyDescent="0.2">
      <c r="J8" s="10">
        <f>SUM(J6:J7)</f>
        <v>491</v>
      </c>
      <c r="L8" s="10">
        <f>SUM(L6:L7)</f>
        <v>479</v>
      </c>
      <c r="O8" s="10">
        <f>ROUND(+L8,0)</f>
        <v>479</v>
      </c>
      <c r="R8" s="10">
        <f>SUM(R6:R7)</f>
        <v>619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8110</v>
      </c>
      <c r="L10" s="14">
        <f>ROUND(+K10*H10,0)</f>
        <v>4866</v>
      </c>
      <c r="M10" s="14"/>
      <c r="N10" s="25">
        <f>ROUND(+K10,0)</f>
        <v>8110</v>
      </c>
      <c r="O10" s="14">
        <f>ROUND(+L10,0)</f>
        <v>4866</v>
      </c>
      <c r="P10" s="14"/>
      <c r="Q10" s="24">
        <v>8450</v>
      </c>
      <c r="R10" s="14">
        <f>ROUND(+O10,0)</f>
        <v>4866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3244</v>
      </c>
      <c r="M12" s="16"/>
      <c r="N12" s="16"/>
      <c r="O12" s="18">
        <f>ROUND(+L12,0)</f>
        <v>3244</v>
      </c>
      <c r="P12" s="16"/>
      <c r="Q12" s="19"/>
      <c r="R12" s="23">
        <f>ROUND(+Q10-N10+O12,0)</f>
        <v>3584</v>
      </c>
      <c r="S12" s="10">
        <f>+R12-O12</f>
        <v>340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8110</v>
      </c>
      <c r="M13" s="14"/>
      <c r="O13" s="10">
        <f>ROUND(+L13,0)</f>
        <v>8110</v>
      </c>
      <c r="P13" s="14"/>
      <c r="Q13" s="13"/>
      <c r="R13" s="10">
        <f>SUM(R10:R12)</f>
        <v>8450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3256</v>
      </c>
      <c r="L15" s="14">
        <f>ROUND(+K15*H15,0)</f>
        <v>1954</v>
      </c>
      <c r="M15" s="14"/>
      <c r="N15" s="25">
        <f>ROUND(+K15,0)</f>
        <v>3256</v>
      </c>
      <c r="O15" s="14">
        <f>ROUND(+L15,0)</f>
        <v>1954</v>
      </c>
      <c r="P15" s="14"/>
      <c r="Q15" s="24">
        <v>3403</v>
      </c>
      <c r="R15" s="14">
        <f>ROUND(+O15,0)</f>
        <v>1954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1302</v>
      </c>
      <c r="M16" s="16"/>
      <c r="N16" s="16"/>
      <c r="O16" s="18">
        <f>ROUND(+L16,0)</f>
        <v>1302</v>
      </c>
      <c r="P16" s="16"/>
      <c r="Q16" s="19"/>
      <c r="R16" s="23">
        <f>ROUND(+Q15-N15+O16,0)</f>
        <v>1449</v>
      </c>
      <c r="S16" s="10">
        <f>+R16-O16</f>
        <v>147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3256</v>
      </c>
      <c r="O17" s="10">
        <f>ROUND(+L17,0)</f>
        <v>3256</v>
      </c>
      <c r="Q17" s="13"/>
      <c r="R17" s="10">
        <f>SUM(R15:R16)</f>
        <v>3403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15186</v>
      </c>
      <c r="L19" s="14">
        <f>ROUND(+K19*H19,0)</f>
        <v>9112</v>
      </c>
      <c r="M19" s="14"/>
      <c r="N19" s="25">
        <f>ROUND(+K19,0)</f>
        <v>15186</v>
      </c>
      <c r="O19" s="14">
        <f>ROUND(+L19,0)</f>
        <v>9112</v>
      </c>
      <c r="P19" s="14"/>
      <c r="Q19" s="24">
        <v>17931</v>
      </c>
      <c r="R19" s="14">
        <f>ROUND(+O19,0)</f>
        <v>9112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6074</v>
      </c>
      <c r="M22" s="16"/>
      <c r="N22" s="16"/>
      <c r="O22" s="18">
        <f>ROUND(+L22,0)</f>
        <v>6074</v>
      </c>
      <c r="P22" s="16"/>
      <c r="Q22" s="19"/>
      <c r="R22" s="23">
        <f>ROUND(+Q19-N19+O22,0)</f>
        <v>8819</v>
      </c>
      <c r="S22" s="10">
        <f>+R22-O22</f>
        <v>2745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15186</v>
      </c>
      <c r="M23" s="14"/>
      <c r="O23" s="10">
        <f>ROUND(+L23,0)</f>
        <v>15186</v>
      </c>
      <c r="P23" s="14"/>
      <c r="Q23" s="13"/>
      <c r="R23" s="10">
        <f>SUM(R19:R22)</f>
        <v>17931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2190</v>
      </c>
      <c r="L25" s="14">
        <f>ROUND(+K25*H25,0)</f>
        <v>1314</v>
      </c>
      <c r="M25" s="14"/>
      <c r="N25" s="25">
        <f>ROUND(+K25,0)</f>
        <v>2190</v>
      </c>
      <c r="O25" s="14">
        <f>ROUND(+L25,0)</f>
        <v>1314</v>
      </c>
      <c r="P25" s="14"/>
      <c r="Q25" s="24">
        <v>2504</v>
      </c>
      <c r="R25" s="14">
        <f>ROUND(+O25,0)</f>
        <v>1314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876</v>
      </c>
      <c r="M26" s="18"/>
      <c r="N26" s="16"/>
      <c r="O26" s="18">
        <f>ROUND(+L26,0)</f>
        <v>876</v>
      </c>
      <c r="P26" s="18"/>
      <c r="Q26" s="19"/>
      <c r="R26" s="23">
        <f>ROUND(+Q25-N25+O26,0)</f>
        <v>1190</v>
      </c>
      <c r="S26" s="10">
        <f>+R26-O26</f>
        <v>314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2190</v>
      </c>
      <c r="O27" s="10">
        <f>ROUND(+L27,0)</f>
        <v>2190</v>
      </c>
      <c r="Q27" s="13"/>
      <c r="R27" s="10">
        <f>SUM(R25:R26)</f>
        <v>2504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1732</v>
      </c>
      <c r="L29" s="14">
        <f>ROUND(+K29*H29,0)</f>
        <v>1039</v>
      </c>
      <c r="M29" s="14"/>
      <c r="N29" s="25">
        <f>ROUND(+K29,0)</f>
        <v>1732</v>
      </c>
      <c r="O29" s="14">
        <f>ROUND(+L29,0)</f>
        <v>1039</v>
      </c>
      <c r="P29" s="14"/>
      <c r="Q29" s="24">
        <v>1409</v>
      </c>
      <c r="R29" s="14">
        <f>ROUND(+O29,0)</f>
        <v>1039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693</v>
      </c>
      <c r="M30" s="16"/>
      <c r="N30" s="16"/>
      <c r="O30" s="18">
        <f>ROUND(+L30,0)</f>
        <v>693</v>
      </c>
      <c r="P30" s="16"/>
      <c r="Q30" s="19"/>
      <c r="R30" s="23">
        <f>ROUND(+Q29-N29+O30,0)</f>
        <v>370</v>
      </c>
      <c r="S30" s="10">
        <f>+R30-O30</f>
        <v>-323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1732</v>
      </c>
      <c r="O31" s="10">
        <f>ROUND(+L31,0)</f>
        <v>1732</v>
      </c>
      <c r="Q31" s="13"/>
      <c r="R31" s="10">
        <f>SUM(R29:R30)</f>
        <v>1409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11881</v>
      </c>
      <c r="L33" s="14">
        <f>ROUND(+K33*H33,0)</f>
        <v>7129</v>
      </c>
      <c r="M33" s="14"/>
      <c r="N33" s="25">
        <f>ROUND(+K33,0)</f>
        <v>11881</v>
      </c>
      <c r="O33" s="14">
        <f>ROUND(+L33,0)</f>
        <v>7129</v>
      </c>
      <c r="P33" s="14"/>
      <c r="Q33" s="24">
        <v>11211</v>
      </c>
      <c r="R33" s="14">
        <f>ROUND(+O33,0)</f>
        <v>7129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4752</v>
      </c>
      <c r="M36" s="16"/>
      <c r="N36" s="16"/>
      <c r="O36" s="18">
        <f>ROUND(+L36,0)</f>
        <v>4752</v>
      </c>
      <c r="P36" s="16"/>
      <c r="Q36" s="19"/>
      <c r="R36" s="23">
        <f>ROUND(+Q33-N33+O36,0)</f>
        <v>4082</v>
      </c>
      <c r="S36" s="10">
        <f>+R36-O36</f>
        <v>-670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11881</v>
      </c>
      <c r="O37" s="10">
        <f>ROUND(+L37,0)</f>
        <v>11881</v>
      </c>
      <c r="Q37" s="13"/>
      <c r="R37" s="10">
        <f>SUM(R33:R36)</f>
        <v>11211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209</v>
      </c>
      <c r="L39" s="14">
        <f>ROUND(+K39*H39,0)</f>
        <v>125</v>
      </c>
      <c r="M39" s="14"/>
      <c r="N39" s="25">
        <f>ROUND(+K39,0)</f>
        <v>209</v>
      </c>
      <c r="O39" s="14">
        <f>ROUND(+L39,0)</f>
        <v>125</v>
      </c>
      <c r="P39" s="14"/>
      <c r="Q39" s="24">
        <v>2324</v>
      </c>
      <c r="R39" s="14">
        <f>ROUND(+O39,0)</f>
        <v>125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84</v>
      </c>
      <c r="M40" s="16"/>
      <c r="N40" s="16"/>
      <c r="O40" s="18">
        <f>ROUND(+L40,0)</f>
        <v>84</v>
      </c>
      <c r="P40" s="16"/>
      <c r="Q40" s="19"/>
      <c r="R40" s="23">
        <f>ROUND(+Q39-N39+O40,0)</f>
        <v>2199</v>
      </c>
      <c r="S40" s="10">
        <f>+R40-O40</f>
        <v>2115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209</v>
      </c>
      <c r="O41" s="10">
        <f>ROUND(+L41,0)</f>
        <v>209</v>
      </c>
      <c r="Q41" s="13"/>
      <c r="R41" s="10">
        <f>SUM(R39:R40)</f>
        <v>2324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1957</v>
      </c>
      <c r="L43" s="14">
        <f>ROUND(+K43*H43,0)</f>
        <v>1174</v>
      </c>
      <c r="M43" s="14"/>
      <c r="N43" s="25">
        <f>ROUND(+K43,0)</f>
        <v>1957</v>
      </c>
      <c r="O43" s="14">
        <f>ROUND(+L43,0)</f>
        <v>1174</v>
      </c>
      <c r="P43" s="14"/>
      <c r="Q43" s="24">
        <v>2080</v>
      </c>
      <c r="R43" s="14">
        <f>ROUND(+O43,0)</f>
        <v>1174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783</v>
      </c>
      <c r="M44" s="16"/>
      <c r="N44" s="16"/>
      <c r="O44" s="18">
        <f>ROUND(+L44,0)</f>
        <v>783</v>
      </c>
      <c r="P44" s="16"/>
      <c r="Q44" s="19"/>
      <c r="R44" s="23">
        <f>ROUND(+Q43-N43+O44,0)</f>
        <v>906</v>
      </c>
      <c r="S44" s="10">
        <f>+R44-O44</f>
        <v>123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1957</v>
      </c>
      <c r="O45" s="10">
        <f>ROUND(+L45,0)</f>
        <v>1957</v>
      </c>
      <c r="R45" s="10">
        <f>SUM(R43:R44)</f>
        <v>2080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2437</v>
      </c>
      <c r="L47" s="14">
        <f>ROUND(+K47*H47,0)</f>
        <v>1462</v>
      </c>
      <c r="M47" s="14"/>
      <c r="N47" s="25">
        <f>ROUND(+K47,0)</f>
        <v>2437</v>
      </c>
      <c r="O47" s="14">
        <f>ROUND(+L47,0)</f>
        <v>1462</v>
      </c>
      <c r="P47" s="14"/>
      <c r="Q47" s="24">
        <v>1981</v>
      </c>
      <c r="R47" s="14">
        <f>ROUND(+O47,0)</f>
        <v>1462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975</v>
      </c>
      <c r="M48" s="16"/>
      <c r="N48" s="16"/>
      <c r="O48" s="18">
        <f>ROUND(+L48,0)</f>
        <v>975</v>
      </c>
      <c r="P48" s="16"/>
      <c r="Q48" s="19"/>
      <c r="R48" s="23">
        <f>ROUND(+Q47-N47+O48,0)</f>
        <v>519</v>
      </c>
      <c r="S48" s="10">
        <f>+R48-O48</f>
        <v>-456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2437</v>
      </c>
      <c r="O49" s="10">
        <f>ROUND(+L49,0)</f>
        <v>2437</v>
      </c>
      <c r="Q49" s="13"/>
      <c r="R49" s="10">
        <f>SUM(R47:R48)</f>
        <v>1981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1227</v>
      </c>
      <c r="L51" s="36">
        <f>ROUND(+K51*H51,0)</f>
        <v>736</v>
      </c>
      <c r="M51" s="36"/>
      <c r="N51" s="25">
        <f>ROUND(+K51,0)</f>
        <v>1227</v>
      </c>
      <c r="O51" s="36">
        <f>ROUND(+L51,0)</f>
        <v>736</v>
      </c>
      <c r="P51" s="36"/>
      <c r="Q51" s="24">
        <v>987</v>
      </c>
      <c r="R51" s="36">
        <f>ROUND(+O51,0)</f>
        <v>736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491</v>
      </c>
      <c r="M52" s="37"/>
      <c r="N52" s="37"/>
      <c r="O52" s="39">
        <f>ROUND(+L52,0)</f>
        <v>491</v>
      </c>
      <c r="P52" s="37"/>
      <c r="Q52" s="38"/>
      <c r="R52" s="23">
        <f>ROUND(+Q51-N51+O52,0)</f>
        <v>251</v>
      </c>
      <c r="S52" s="35">
        <f>+R52-O52</f>
        <v>-240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1227</v>
      </c>
      <c r="M53" s="40"/>
      <c r="N53" s="35"/>
      <c r="O53" s="35">
        <f>ROUND(+L53,0)</f>
        <v>1227</v>
      </c>
      <c r="P53" s="40"/>
      <c r="Q53" s="41"/>
      <c r="R53" s="35">
        <f>SUM(R51:R52)</f>
        <v>987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30</v>
      </c>
      <c r="L55" s="36">
        <v>10</v>
      </c>
      <c r="M55" s="36"/>
      <c r="N55" s="25">
        <f>ROUND(+K55,0)</f>
        <v>30</v>
      </c>
      <c r="O55" s="36">
        <f>ROUND(+L55,0)</f>
        <v>10</v>
      </c>
      <c r="P55" s="36"/>
      <c r="Q55" s="24">
        <v>24</v>
      </c>
      <c r="R55" s="36">
        <f>ROUND(+O55,0)</f>
        <v>10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20</v>
      </c>
      <c r="M56" s="37"/>
      <c r="N56" s="37"/>
      <c r="O56" s="39">
        <f>ROUND(+L56,0)</f>
        <v>20</v>
      </c>
      <c r="P56" s="37"/>
      <c r="Q56" s="37"/>
      <c r="R56" s="23">
        <f>ROUND(+Q55-N55+O56,0)</f>
        <v>14</v>
      </c>
      <c r="S56" s="35">
        <f>+R56-O56</f>
        <v>-6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30</v>
      </c>
      <c r="M57" s="35"/>
      <c r="N57" s="35"/>
      <c r="O57" s="35">
        <f>ROUND(+L57,0)</f>
        <v>30</v>
      </c>
      <c r="P57" s="35"/>
      <c r="Q57" s="35"/>
      <c r="R57" s="35">
        <f>SUM(R55:R56)</f>
        <v>24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48694</v>
      </c>
      <c r="L59" s="28">
        <f>SUM(L8+L13+L17+L23+L27+L31+L37+L41+L45+L49+L53+L57)</f>
        <v>48694</v>
      </c>
      <c r="N59" s="10">
        <f>SUM(N6:N57)</f>
        <v>48694</v>
      </c>
      <c r="O59" s="28">
        <f>SUM(O8+O13+O17+O23+O27+O31+O37+O41+O45+O49+O53+O57)</f>
        <v>48694</v>
      </c>
      <c r="Q59" s="10">
        <f>SUM(Q6:Q57)</f>
        <v>52923</v>
      </c>
      <c r="R59" s="28">
        <f>SUM(R8+R13+R17+R23+R27+R31+R37+R41+R45+R49+R53+R57)</f>
        <v>52923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192</v>
      </c>
      <c r="O62" s="10">
        <f>SUMIF($I$6:$I$56,"22STOW",$O$6:$O$56)</f>
        <v>192</v>
      </c>
      <c r="R62" s="10">
        <f>SUMIF($I$6:$I$56,"22STOW",$R$6:$R$56)</f>
        <v>332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4546</v>
      </c>
      <c r="O63" s="10">
        <f>SUMIF($I$6:$I$56,"23nSTOW",$O$6:$O$56)</f>
        <v>4546</v>
      </c>
      <c r="R63" s="10">
        <f>SUMIF($I$6:$I$56,"23nSTOW",$R$6:$R$56)</f>
        <v>5033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14237</v>
      </c>
      <c r="O64" s="10">
        <f>SUMIF($I$6:$I$56,"23STOW",$O$6:$O$56)</f>
        <v>14237</v>
      </c>
      <c r="R64" s="10">
        <f>SUMIF($I$6:$I$56,"23STOW",$R$6:$R$56)</f>
        <v>18085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511</v>
      </c>
      <c r="O65" s="10">
        <f>SUMIF($I$6:$I$56,"24STOW",$O$6:$O$56)</f>
        <v>511</v>
      </c>
      <c r="R65" s="10">
        <f>SUMIF($I$6:$I$56,"24STOW",$R$6:$R$56)</f>
        <v>265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19921.076306534716</v>
      </c>
      <c r="L67" s="10">
        <f>SUM(L62:L65)</f>
        <v>19486</v>
      </c>
      <c r="N67" s="10">
        <f>+O67/0.97816</f>
        <v>19921.076306534716</v>
      </c>
      <c r="O67" s="10">
        <f>SUM(O62:O65)</f>
        <v>19486</v>
      </c>
      <c r="Q67" s="10">
        <f>+R67/0.97816</f>
        <v>24244.499877320683</v>
      </c>
      <c r="R67" s="10">
        <f>SUM(R62:R65)</f>
        <v>23715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48694</v>
      </c>
      <c r="O72" s="10">
        <f>SUMIF($A$6:$A$58,"67693",$O$6:$O$58)</f>
        <v>48694</v>
      </c>
      <c r="R72" s="10">
        <f>SUMIF($A$6:$A$58,"67693",$R$6:$R$58)</f>
        <v>52923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U74"/>
  <sheetViews>
    <sheetView topLeftCell="E51" workbookViewId="0">
      <selection activeCell="O56" sqref="O56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573</v>
      </c>
      <c r="L6" s="14">
        <f>ROUND(+K6*H6,0)</f>
        <v>344</v>
      </c>
      <c r="M6" s="14"/>
      <c r="N6" s="25">
        <f>ROUND(+K6,0)</f>
        <v>573</v>
      </c>
      <c r="O6" s="14">
        <f>ROUND(+L6,0)</f>
        <v>344</v>
      </c>
      <c r="P6" s="14"/>
      <c r="Q6" s="24">
        <v>807</v>
      </c>
      <c r="R6" s="14">
        <f>+O6</f>
        <v>344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229</v>
      </c>
      <c r="M7" s="16"/>
      <c r="N7" s="16"/>
      <c r="O7" s="18">
        <f>ROUND(+L7,0)</f>
        <v>229</v>
      </c>
      <c r="P7" s="14"/>
      <c r="R7" s="23">
        <f>ROUND(+Q6-N6+O7,0)</f>
        <v>463</v>
      </c>
      <c r="S7" s="10">
        <f>+R7-O7</f>
        <v>234</v>
      </c>
      <c r="T7" t="s">
        <v>47</v>
      </c>
    </row>
    <row r="8" spans="1:20" x14ac:dyDescent="0.2">
      <c r="J8" s="10">
        <f>SUM(J6:J7)</f>
        <v>491</v>
      </c>
      <c r="L8" s="10">
        <f>SUM(L6:L7)</f>
        <v>573</v>
      </c>
      <c r="O8" s="10">
        <f>ROUND(+L8,0)</f>
        <v>573</v>
      </c>
      <c r="R8" s="10">
        <f>SUM(R6:R7)</f>
        <v>807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6749</v>
      </c>
      <c r="L10" s="14">
        <f>ROUND(+K10*H10,0)</f>
        <v>4049</v>
      </c>
      <c r="M10" s="14"/>
      <c r="N10" s="25">
        <f>ROUND(+K10,0)</f>
        <v>6749</v>
      </c>
      <c r="O10" s="14">
        <f>ROUND(+L10,0)</f>
        <v>4049</v>
      </c>
      <c r="P10" s="14"/>
      <c r="Q10" s="24">
        <v>8450</v>
      </c>
      <c r="R10" s="14">
        <f>ROUND(+O10,0)</f>
        <v>4049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2700</v>
      </c>
      <c r="M12" s="16"/>
      <c r="N12" s="16"/>
      <c r="O12" s="18">
        <f>ROUND(+L12,0)</f>
        <v>2700</v>
      </c>
      <c r="P12" s="16"/>
      <c r="Q12" s="19"/>
      <c r="R12" s="23">
        <f>ROUND(+Q10-N10+O12,0)</f>
        <v>4401</v>
      </c>
      <c r="S12" s="10">
        <f>+R12-O12</f>
        <v>1701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6749</v>
      </c>
      <c r="M13" s="14"/>
      <c r="O13" s="10">
        <f>ROUND(+L13,0)</f>
        <v>6749</v>
      </c>
      <c r="P13" s="14"/>
      <c r="Q13" s="13"/>
      <c r="R13" s="10">
        <f>SUM(R10:R12)</f>
        <v>8450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2715</v>
      </c>
      <c r="L15" s="14">
        <f>ROUND(+K15*H15,0)</f>
        <v>1629</v>
      </c>
      <c r="M15" s="14"/>
      <c r="N15" s="25">
        <f>ROUND(+K15,0)</f>
        <v>2715</v>
      </c>
      <c r="O15" s="14">
        <f>ROUND(+L15,0)</f>
        <v>1629</v>
      </c>
      <c r="P15" s="14"/>
      <c r="Q15" s="24">
        <v>2991</v>
      </c>
      <c r="R15" s="14">
        <f>ROUND(+O15,0)</f>
        <v>1629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1086</v>
      </c>
      <c r="M16" s="16"/>
      <c r="N16" s="16"/>
      <c r="O16" s="18">
        <f>ROUND(+L16,0)</f>
        <v>1086</v>
      </c>
      <c r="P16" s="16"/>
      <c r="Q16" s="19"/>
      <c r="R16" s="23">
        <f>ROUND(+Q15-N15+O16,0)</f>
        <v>1362</v>
      </c>
      <c r="S16" s="10">
        <f>+R16-O16</f>
        <v>276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2715</v>
      </c>
      <c r="O17" s="10">
        <f>ROUND(+L17,0)</f>
        <v>2715</v>
      </c>
      <c r="Q17" s="13"/>
      <c r="R17" s="10">
        <f>SUM(R15:R16)</f>
        <v>2991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13129</v>
      </c>
      <c r="L19" s="14">
        <f>ROUND(+K19*H19,0)</f>
        <v>7877</v>
      </c>
      <c r="M19" s="14"/>
      <c r="N19" s="25">
        <f>ROUND(+K19,0)</f>
        <v>13129</v>
      </c>
      <c r="O19" s="14">
        <f>ROUND(+L19,0)</f>
        <v>7877</v>
      </c>
      <c r="P19" s="14"/>
      <c r="Q19" s="24">
        <v>13129</v>
      </c>
      <c r="R19" s="14">
        <f>ROUND(+O19,0)</f>
        <v>7877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5252</v>
      </c>
      <c r="M22" s="16"/>
      <c r="N22" s="16"/>
      <c r="O22" s="18">
        <f>ROUND(+L22,0)</f>
        <v>5252</v>
      </c>
      <c r="P22" s="16"/>
      <c r="Q22" s="19"/>
      <c r="R22" s="23">
        <f>ROUND(+Q19-N19+O22,0)</f>
        <v>5252</v>
      </c>
      <c r="S22" s="10">
        <f>+R22-O22</f>
        <v>0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13129</v>
      </c>
      <c r="M23" s="14"/>
      <c r="O23" s="10">
        <f>ROUND(+L23,0)</f>
        <v>13129</v>
      </c>
      <c r="P23" s="14"/>
      <c r="Q23" s="13"/>
      <c r="R23" s="10">
        <f>SUM(R19:R22)</f>
        <v>13129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1981</v>
      </c>
      <c r="L25" s="14">
        <f>ROUND(+K25*H25,0)</f>
        <v>1189</v>
      </c>
      <c r="M25" s="14"/>
      <c r="N25" s="25">
        <f>ROUND(+K25,0)</f>
        <v>1981</v>
      </c>
      <c r="O25" s="14">
        <f>ROUND(+L25,0)</f>
        <v>1189</v>
      </c>
      <c r="P25" s="14"/>
      <c r="Q25" s="24">
        <v>2086</v>
      </c>
      <c r="R25" s="14">
        <f>ROUND(+O25,0)</f>
        <v>1189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792</v>
      </c>
      <c r="M26" s="18"/>
      <c r="N26" s="16"/>
      <c r="O26" s="18">
        <f>ROUND(+L26,0)</f>
        <v>792</v>
      </c>
      <c r="P26" s="18"/>
      <c r="Q26" s="19"/>
      <c r="R26" s="23">
        <f>ROUND(+Q25-N25+O26,0)</f>
        <v>897</v>
      </c>
      <c r="S26" s="10">
        <f>+R26-O26</f>
        <v>105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1981</v>
      </c>
      <c r="O27" s="10">
        <f>ROUND(+L27,0)</f>
        <v>1981</v>
      </c>
      <c r="Q27" s="13"/>
      <c r="R27" s="10">
        <f>SUM(R25:R26)</f>
        <v>2086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1490</v>
      </c>
      <c r="L29" s="14">
        <f>ROUND(+K29*H29,0)</f>
        <v>894</v>
      </c>
      <c r="M29" s="14"/>
      <c r="N29" s="25">
        <f>ROUND(+K29,0)</f>
        <v>1490</v>
      </c>
      <c r="O29" s="14">
        <f>ROUND(+L29,0)</f>
        <v>894</v>
      </c>
      <c r="P29" s="14"/>
      <c r="Q29" s="24">
        <v>1732</v>
      </c>
      <c r="R29" s="14">
        <f>ROUND(+O29,0)</f>
        <v>894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596</v>
      </c>
      <c r="M30" s="16"/>
      <c r="N30" s="16"/>
      <c r="O30" s="18">
        <f>ROUND(+L30,0)</f>
        <v>596</v>
      </c>
      <c r="P30" s="16"/>
      <c r="Q30" s="19"/>
      <c r="R30" s="23">
        <f>ROUND(+Q29-N29+O30,0)</f>
        <v>838</v>
      </c>
      <c r="S30" s="10">
        <f>+R30-O30</f>
        <v>242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1490</v>
      </c>
      <c r="O31" s="10">
        <f>ROUND(+L31,0)</f>
        <v>1490</v>
      </c>
      <c r="Q31" s="13"/>
      <c r="R31" s="10">
        <f>SUM(R29:R30)</f>
        <v>1732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11211</v>
      </c>
      <c r="L33" s="14">
        <f>ROUND(+K33*H33,0)</f>
        <v>6727</v>
      </c>
      <c r="M33" s="14"/>
      <c r="N33" s="25">
        <f>ROUND(+K33,0)</f>
        <v>11211</v>
      </c>
      <c r="O33" s="14">
        <f>ROUND(+L33,0)</f>
        <v>6727</v>
      </c>
      <c r="P33" s="14"/>
      <c r="Q33" s="24">
        <v>12551</v>
      </c>
      <c r="R33" s="14">
        <f>ROUND(+O33,0)</f>
        <v>6727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4484</v>
      </c>
      <c r="M36" s="16"/>
      <c r="N36" s="16"/>
      <c r="O36" s="18">
        <f>ROUND(+L36,0)</f>
        <v>4484</v>
      </c>
      <c r="P36" s="16"/>
      <c r="Q36" s="19"/>
      <c r="R36" s="23">
        <f>ROUND(+Q33-N33+O36,0)</f>
        <v>5824</v>
      </c>
      <c r="S36" s="10">
        <f>+R36-O36</f>
        <v>1340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11211</v>
      </c>
      <c r="O37" s="10">
        <f>ROUND(+L37,0)</f>
        <v>11211</v>
      </c>
      <c r="Q37" s="13"/>
      <c r="R37" s="10">
        <f>SUM(R33:R36)</f>
        <v>12551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1874</v>
      </c>
      <c r="L39" s="14">
        <f>ROUND(+K39*H39,0)</f>
        <v>1124</v>
      </c>
      <c r="M39" s="14"/>
      <c r="N39" s="25">
        <f>ROUND(+K39,0)</f>
        <v>1874</v>
      </c>
      <c r="O39" s="14">
        <f>ROUND(+L39,0)</f>
        <v>1124</v>
      </c>
      <c r="P39" s="14"/>
      <c r="Q39" s="24">
        <v>1986</v>
      </c>
      <c r="R39" s="14">
        <f>ROUND(+O39,0)</f>
        <v>1124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750</v>
      </c>
      <c r="M40" s="16"/>
      <c r="N40" s="16"/>
      <c r="O40" s="18">
        <f>ROUND(+L40,0)</f>
        <v>750</v>
      </c>
      <c r="P40" s="16"/>
      <c r="Q40" s="19"/>
      <c r="R40" s="23">
        <f>ROUND(+Q39-N39+O40,0)</f>
        <v>862</v>
      </c>
      <c r="S40" s="10">
        <f>+R40-O40</f>
        <v>112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1874</v>
      </c>
      <c r="O41" s="10">
        <f>ROUND(+L41,0)</f>
        <v>1874</v>
      </c>
      <c r="Q41" s="13"/>
      <c r="R41" s="10">
        <f>SUM(R39:R40)</f>
        <v>1986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1957</v>
      </c>
      <c r="L43" s="14">
        <f>ROUND(+K43*H43,0)</f>
        <v>1174</v>
      </c>
      <c r="M43" s="14"/>
      <c r="N43" s="25">
        <f>ROUND(+K43,0)</f>
        <v>1957</v>
      </c>
      <c r="O43" s="14">
        <f>ROUND(+L43,0)</f>
        <v>1174</v>
      </c>
      <c r="P43" s="14"/>
      <c r="Q43" s="24">
        <v>2327</v>
      </c>
      <c r="R43" s="14">
        <f>ROUND(+O43,0)</f>
        <v>1174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783</v>
      </c>
      <c r="M44" s="16"/>
      <c r="N44" s="16"/>
      <c r="O44" s="18">
        <f>ROUND(+L44,0)</f>
        <v>783</v>
      </c>
      <c r="P44" s="16"/>
      <c r="Q44" s="19"/>
      <c r="R44" s="23">
        <f>ROUND(+Q43-N43+O44,0)</f>
        <v>1153</v>
      </c>
      <c r="S44" s="10">
        <f>+R44-O44</f>
        <v>370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1957</v>
      </c>
      <c r="O45" s="10">
        <f>ROUND(+L45,0)</f>
        <v>1957</v>
      </c>
      <c r="R45" s="10">
        <f>SUM(R43:R44)</f>
        <v>2327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2437</v>
      </c>
      <c r="L47" s="14">
        <f>ROUND(+K47*H47,0)</f>
        <v>1462</v>
      </c>
      <c r="M47" s="14"/>
      <c r="N47" s="25">
        <f>ROUND(+K47,0)</f>
        <v>2437</v>
      </c>
      <c r="O47" s="14">
        <f>ROUND(+L47,0)</f>
        <v>1462</v>
      </c>
      <c r="P47" s="14"/>
      <c r="Q47" s="24">
        <v>2589</v>
      </c>
      <c r="R47" s="14">
        <f>ROUND(+O47,0)</f>
        <v>1462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975</v>
      </c>
      <c r="M48" s="16"/>
      <c r="N48" s="16"/>
      <c r="O48" s="18">
        <f>ROUND(+L48,0)</f>
        <v>975</v>
      </c>
      <c r="P48" s="16"/>
      <c r="Q48" s="19"/>
      <c r="R48" s="23">
        <f>ROUND(+Q47-N47+O48,0)</f>
        <v>1127</v>
      </c>
      <c r="S48" s="10">
        <f>+R48-O48</f>
        <v>152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2437</v>
      </c>
      <c r="O49" s="10">
        <f>ROUND(+L49,0)</f>
        <v>2437</v>
      </c>
      <c r="Q49" s="13"/>
      <c r="R49" s="10">
        <f>SUM(R47:R48)</f>
        <v>2589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1387</v>
      </c>
      <c r="L51" s="36">
        <f>ROUND(+K51*H51,0)</f>
        <v>832</v>
      </c>
      <c r="M51" s="36"/>
      <c r="N51" s="25">
        <f>ROUND(+K51,0)</f>
        <v>1387</v>
      </c>
      <c r="O51" s="36">
        <f>ROUND(+L51,0)</f>
        <v>832</v>
      </c>
      <c r="P51" s="36"/>
      <c r="Q51" s="24">
        <v>1227</v>
      </c>
      <c r="R51" s="36">
        <f>ROUND(+O51,0)</f>
        <v>832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555</v>
      </c>
      <c r="M52" s="37"/>
      <c r="N52" s="37"/>
      <c r="O52" s="39">
        <f>ROUND(+L52,0)</f>
        <v>555</v>
      </c>
      <c r="P52" s="37"/>
      <c r="Q52" s="38"/>
      <c r="R52" s="23">
        <f>ROUND(+Q51-N51+O52,0)</f>
        <v>395</v>
      </c>
      <c r="S52" s="35">
        <f>+R52-O52</f>
        <v>-160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1387</v>
      </c>
      <c r="M53" s="40"/>
      <c r="N53" s="35"/>
      <c r="O53" s="35">
        <f>ROUND(+L53,0)</f>
        <v>1387</v>
      </c>
      <c r="P53" s="40"/>
      <c r="Q53" s="41"/>
      <c r="R53" s="35">
        <f>SUM(R51:R52)</f>
        <v>1227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26</v>
      </c>
      <c r="L55" s="36">
        <v>10</v>
      </c>
      <c r="M55" s="36"/>
      <c r="N55" s="25">
        <f>ROUND(+K55,0)</f>
        <v>26</v>
      </c>
      <c r="O55" s="36">
        <f>ROUND(+L55,0)</f>
        <v>10</v>
      </c>
      <c r="P55" s="36"/>
      <c r="Q55" s="24">
        <v>30</v>
      </c>
      <c r="R55" s="36">
        <f>ROUND(+O55,0)</f>
        <v>10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16</v>
      </c>
      <c r="M56" s="37"/>
      <c r="N56" s="37"/>
      <c r="O56" s="39">
        <f>ROUND(+L56,0)</f>
        <v>16</v>
      </c>
      <c r="P56" s="37"/>
      <c r="Q56" s="37"/>
      <c r="R56" s="23">
        <f>ROUND(+Q55-N55+O56,0)</f>
        <v>20</v>
      </c>
      <c r="S56" s="35">
        <f>+R56-O56</f>
        <v>4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26</v>
      </c>
      <c r="M57" s="35"/>
      <c r="N57" s="35"/>
      <c r="O57" s="35">
        <f>ROUND(+L57,0)</f>
        <v>26</v>
      </c>
      <c r="P57" s="35"/>
      <c r="Q57" s="35"/>
      <c r="R57" s="35">
        <f>SUM(R55:R56)</f>
        <v>30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45529</v>
      </c>
      <c r="L59" s="28">
        <f>SUM(L8+L13+L17+L23+L27+L31+L37+L41+L45+L49+L53+L57)</f>
        <v>45529</v>
      </c>
      <c r="N59" s="10">
        <f>SUM(N6:N57)</f>
        <v>45529</v>
      </c>
      <c r="O59" s="28">
        <f>SUM(O8+O13+O17+O23+O27+O31+O37+O41+O45+O49+O53+O57)</f>
        <v>45529</v>
      </c>
      <c r="Q59" s="10">
        <f>SUM(Q6:Q57)</f>
        <v>49905</v>
      </c>
      <c r="R59" s="28">
        <f>SUM(R8+R13+R17+R23+R27+R31+R37+R41+R45+R49+R53+R57)</f>
        <v>49905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229</v>
      </c>
      <c r="O62" s="10">
        <f>SUMIF($I$6:$I$56,"22STOW",$O$6:$O$56)</f>
        <v>229</v>
      </c>
      <c r="R62" s="10">
        <f>SUMIF($I$6:$I$56,"22STOW",$R$6:$R$56)</f>
        <v>463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3786</v>
      </c>
      <c r="O63" s="10">
        <f>SUMIF($I$6:$I$56,"23nSTOW",$O$6:$O$56)</f>
        <v>3786</v>
      </c>
      <c r="R63" s="10">
        <f>SUMIF($I$6:$I$56,"23nSTOW",$R$6:$R$56)</f>
        <v>5763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13632</v>
      </c>
      <c r="O64" s="10">
        <f>SUMIF($I$6:$I$56,"23STOW",$O$6:$O$56)</f>
        <v>13632</v>
      </c>
      <c r="R64" s="10">
        <f>SUMIF($I$6:$I$56,"23STOW",$R$6:$R$56)</f>
        <v>15953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571</v>
      </c>
      <c r="O65" s="10">
        <f>SUMIF($I$6:$I$56,"24STOW",$O$6:$O$56)</f>
        <v>571</v>
      </c>
      <c r="R65" s="10">
        <f>SUMIF($I$6:$I$56,"24STOW",$R$6:$R$56)</f>
        <v>415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18624.764864643821</v>
      </c>
      <c r="L67" s="10">
        <f>SUM(L62:L65)</f>
        <v>18218</v>
      </c>
      <c r="N67" s="10">
        <f>+O67/0.97816</f>
        <v>18624.764864643821</v>
      </c>
      <c r="O67" s="10">
        <f>SUM(O62:O65)</f>
        <v>18218</v>
      </c>
      <c r="Q67" s="10">
        <f>+R67/0.97816</f>
        <v>23098.470597857202</v>
      </c>
      <c r="R67" s="10">
        <f>SUM(R62:R65)</f>
        <v>22594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45529</v>
      </c>
      <c r="O72" s="10">
        <f>SUMIF($A$6:$A$58,"67693",$O$6:$O$58)</f>
        <v>45529</v>
      </c>
      <c r="R72" s="10">
        <f>SUMIF($A$6:$A$58,"67693",$R$6:$R$58)</f>
        <v>49905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U64"/>
  <sheetViews>
    <sheetView topLeftCell="D45" workbookViewId="0">
      <selection activeCell="Q33" sqref="Q33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385</v>
      </c>
      <c r="L6" s="14">
        <f>ROUND(+K6*H6,0)</f>
        <v>212</v>
      </c>
      <c r="M6" s="14"/>
      <c r="N6" s="25">
        <f>ROUND(+K6,0)</f>
        <v>385</v>
      </c>
      <c r="O6" s="14">
        <f>ROUND(+L6,0)</f>
        <v>212</v>
      </c>
      <c r="P6" s="14"/>
      <c r="Q6" s="24">
        <v>244</v>
      </c>
      <c r="R6" s="14">
        <f>+O6</f>
        <v>212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173</v>
      </c>
      <c r="M7" s="16"/>
      <c r="N7" s="16"/>
      <c r="O7" s="18">
        <f>ROUND(+L7,0)</f>
        <v>173</v>
      </c>
      <c r="P7" s="14"/>
      <c r="R7" s="23">
        <f>ROUND(+Q6-N6+O7,0)</f>
        <v>32</v>
      </c>
      <c r="S7" s="10">
        <f>+R7-O7</f>
        <v>-141</v>
      </c>
      <c r="T7" t="s">
        <v>47</v>
      </c>
    </row>
    <row r="8" spans="1:20" x14ac:dyDescent="0.2">
      <c r="J8" s="10">
        <f>SUM(J6:J7)</f>
        <v>491</v>
      </c>
      <c r="L8" s="10">
        <f>SUM(L6:L7)</f>
        <v>385</v>
      </c>
      <c r="O8" s="10">
        <f>ROUND(+L8,0)</f>
        <v>385</v>
      </c>
      <c r="R8" s="10">
        <f>SUM(R6:R7)</f>
        <v>244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5388</v>
      </c>
      <c r="L10" s="14">
        <f>ROUND(+K10*H10,0)</f>
        <v>2963</v>
      </c>
      <c r="M10" s="14"/>
      <c r="N10" s="25">
        <f>ROUND(+K10,0)</f>
        <v>5388</v>
      </c>
      <c r="O10" s="14">
        <f>ROUND(+L10,0)</f>
        <v>2963</v>
      </c>
      <c r="P10" s="14"/>
      <c r="Q10" s="24">
        <v>6409</v>
      </c>
      <c r="R10" s="14">
        <f>ROUND(+O10,0)</f>
        <v>2963</v>
      </c>
    </row>
    <row r="11" spans="1:20" ht="13.5" thickBot="1" x14ac:dyDescent="0.25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2425</v>
      </c>
      <c r="M11" s="16"/>
      <c r="N11" s="16"/>
      <c r="O11" s="18">
        <f>ROUND(+L11,0)</f>
        <v>2425</v>
      </c>
      <c r="P11" s="16"/>
      <c r="Q11" s="19"/>
      <c r="R11" s="23">
        <f>ROUND(+Q10-N10+O11,0)</f>
        <v>3446</v>
      </c>
      <c r="S11" s="10">
        <f>+R11-O11</f>
        <v>1021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5388</v>
      </c>
      <c r="M12" s="14"/>
      <c r="O12" s="10">
        <f>ROUND(+L12,0)</f>
        <v>5388</v>
      </c>
      <c r="P12" s="14"/>
      <c r="Q12" s="13"/>
      <c r="R12" s="10">
        <f>SUM(R10:R11)</f>
        <v>6409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36907</v>
      </c>
      <c r="J14" s="10">
        <f>ROUND(+G14*H14,0)</f>
        <v>1420</v>
      </c>
      <c r="K14" s="22">
        <v>2166</v>
      </c>
      <c r="L14" s="14">
        <f>ROUND(+K14*H14,0)</f>
        <v>1191</v>
      </c>
      <c r="M14" s="14"/>
      <c r="N14" s="25">
        <f>ROUND(+K14,0)</f>
        <v>2166</v>
      </c>
      <c r="O14" s="14">
        <f>ROUND(+L14,0)</f>
        <v>1191</v>
      </c>
      <c r="P14" s="14"/>
      <c r="Q14" s="24">
        <v>2441</v>
      </c>
      <c r="R14" s="14">
        <f>ROUND(+O14,0)</f>
        <v>1191</v>
      </c>
    </row>
    <row r="15" spans="1:20" ht="13.5" thickBot="1" x14ac:dyDescent="0.25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975</v>
      </c>
      <c r="M15" s="16"/>
      <c r="N15" s="16"/>
      <c r="O15" s="18">
        <f>ROUND(+L15,0)</f>
        <v>975</v>
      </c>
      <c r="P15" s="16"/>
      <c r="Q15" s="19"/>
      <c r="R15" s="23">
        <f>ROUND(+Q14-N14+O15,0)</f>
        <v>1250</v>
      </c>
      <c r="S15" s="10">
        <f>+R15-O15</f>
        <v>275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2166</v>
      </c>
      <c r="O16" s="10">
        <f>ROUND(+L16,0)</f>
        <v>2166</v>
      </c>
      <c r="Q16" s="13"/>
      <c r="R16" s="10">
        <f>SUM(R14:R15)</f>
        <v>2441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36907</v>
      </c>
      <c r="J18" s="10">
        <f>ROUND(+G18*H18,0)</f>
        <v>6550</v>
      </c>
      <c r="K18" s="22">
        <v>11757</v>
      </c>
      <c r="L18" s="14">
        <f>ROUND(+K18*H18,0)</f>
        <v>6466</v>
      </c>
      <c r="M18" s="14"/>
      <c r="N18" s="25">
        <f>ROUND(+K18,0)</f>
        <v>11757</v>
      </c>
      <c r="O18" s="14">
        <f>ROUND(+L18,0)</f>
        <v>6466</v>
      </c>
      <c r="P18" s="14"/>
      <c r="Q18" s="24">
        <v>11757</v>
      </c>
      <c r="R18" s="14">
        <f>ROUND(+O18,0)</f>
        <v>6466</v>
      </c>
    </row>
    <row r="19" spans="1:20" ht="13.5" thickBot="1" x14ac:dyDescent="0.25">
      <c r="A19">
        <v>67693</v>
      </c>
      <c r="B19" s="1">
        <v>16</v>
      </c>
      <c r="H19" s="8">
        <f>+$B$2</f>
        <v>0.45</v>
      </c>
      <c r="I19" s="1" t="s">
        <v>51</v>
      </c>
      <c r="J19" s="16">
        <f>ROUND(+G18*H19,0)</f>
        <v>5359</v>
      </c>
      <c r="K19" s="19"/>
      <c r="L19" s="16">
        <f>ROUND(+K18*H19,0)</f>
        <v>5291</v>
      </c>
      <c r="M19" s="16"/>
      <c r="N19" s="16"/>
      <c r="O19" s="18">
        <f>ROUND(+L19,0)</f>
        <v>5291</v>
      </c>
      <c r="P19" s="16"/>
      <c r="Q19" s="19"/>
      <c r="R19" s="23">
        <f>ROUND(+Q18-N18+O19,0)</f>
        <v>5291</v>
      </c>
      <c r="S19" s="10">
        <f>+R19-O19</f>
        <v>0</v>
      </c>
      <c r="T19" t="s">
        <v>47</v>
      </c>
    </row>
    <row r="20" spans="1:20" x14ac:dyDescent="0.2">
      <c r="J20" s="14">
        <f>SUM(J18:J19)</f>
        <v>11909</v>
      </c>
      <c r="K20" s="13"/>
      <c r="L20" s="10">
        <f>SUM(L18:L19)</f>
        <v>11757</v>
      </c>
      <c r="M20" s="14"/>
      <c r="O20" s="10">
        <f>ROUND(+L20,0)</f>
        <v>11757</v>
      </c>
      <c r="P20" s="14"/>
      <c r="Q20" s="13"/>
      <c r="R20" s="10">
        <f>SUM(R18:R19)</f>
        <v>11757</v>
      </c>
      <c r="S20" s="10">
        <f>+R20-Q18</f>
        <v>0</v>
      </c>
      <c r="T20" t="s">
        <v>46</v>
      </c>
    </row>
    <row r="22" spans="1:20" x14ac:dyDescent="0.2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0.55000000000000004</v>
      </c>
      <c r="I22" s="1">
        <v>36907</v>
      </c>
      <c r="J22" s="10">
        <f>ROUND(+G22*H22,0)</f>
        <v>984</v>
      </c>
      <c r="K22" s="22">
        <v>1771</v>
      </c>
      <c r="L22" s="14">
        <f>ROUND(+K22*H22,0)</f>
        <v>974</v>
      </c>
      <c r="M22" s="14"/>
      <c r="N22" s="25">
        <f>ROUND(+K22,0)</f>
        <v>1771</v>
      </c>
      <c r="O22" s="14">
        <f>ROUND(+L22,0)</f>
        <v>974</v>
      </c>
      <c r="P22" s="14"/>
      <c r="Q22" s="24">
        <v>1667</v>
      </c>
      <c r="R22" s="14">
        <f>ROUND(+O22,0)</f>
        <v>974</v>
      </c>
    </row>
    <row r="23" spans="1:20" ht="13.5" thickBot="1" x14ac:dyDescent="0.25">
      <c r="A23">
        <v>67693</v>
      </c>
      <c r="B23" s="1">
        <v>17</v>
      </c>
      <c r="H23" s="8">
        <f>+$B$2</f>
        <v>0.45</v>
      </c>
      <c r="I23" s="1" t="s">
        <v>51</v>
      </c>
      <c r="J23" s="16">
        <f>ROUND(+G22*H23,0)</f>
        <v>805</v>
      </c>
      <c r="K23" s="19"/>
      <c r="L23" s="18">
        <f>ROUND(+K22*H23,0)</f>
        <v>797</v>
      </c>
      <c r="M23" s="18"/>
      <c r="N23" s="16"/>
      <c r="O23" s="18">
        <f>ROUND(+L23,0)</f>
        <v>797</v>
      </c>
      <c r="P23" s="18"/>
      <c r="Q23" s="19"/>
      <c r="R23" s="23">
        <f>ROUND(+Q22-N22+O23,0)</f>
        <v>693</v>
      </c>
      <c r="S23" s="10">
        <f>+R23-O23</f>
        <v>-104</v>
      </c>
      <c r="T23" t="s">
        <v>47</v>
      </c>
    </row>
    <row r="24" spans="1:20" x14ac:dyDescent="0.2">
      <c r="J24" s="10">
        <f>SUM(J22:J23)</f>
        <v>1789</v>
      </c>
      <c r="K24" s="13"/>
      <c r="L24" s="10">
        <f>SUM(L22:L23)</f>
        <v>1771</v>
      </c>
      <c r="O24" s="10">
        <f>ROUND(+L24,0)</f>
        <v>1771</v>
      </c>
      <c r="Q24" s="13"/>
      <c r="R24" s="10">
        <f>SUM(R22:R23)</f>
        <v>1667</v>
      </c>
      <c r="S24" s="10">
        <f>+R24-Q22</f>
        <v>0</v>
      </c>
      <c r="T24" t="s">
        <v>46</v>
      </c>
    </row>
    <row r="26" spans="1:20" x14ac:dyDescent="0.2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0.55000000000000004</v>
      </c>
      <c r="I26" s="1">
        <v>36907</v>
      </c>
      <c r="J26" s="10">
        <f>ROUND(+G26*H26,0)</f>
        <v>784</v>
      </c>
      <c r="K26" s="22">
        <v>1329</v>
      </c>
      <c r="L26" s="14">
        <f>ROUND(+K26*H26,0)</f>
        <v>731</v>
      </c>
      <c r="M26" s="14"/>
      <c r="N26" s="25">
        <f>ROUND(+K26,0)</f>
        <v>1329</v>
      </c>
      <c r="O26" s="14">
        <f>ROUND(+L26,0)</f>
        <v>731</v>
      </c>
      <c r="P26" s="14"/>
      <c r="Q26" s="24">
        <v>1490</v>
      </c>
      <c r="R26" s="14">
        <f>ROUND(+O26,0)</f>
        <v>731</v>
      </c>
    </row>
    <row r="27" spans="1:20" ht="13.5" thickBot="1" x14ac:dyDescent="0.25">
      <c r="A27">
        <v>67693</v>
      </c>
      <c r="B27" s="1">
        <v>18</v>
      </c>
      <c r="H27" s="8">
        <f>+$B$2</f>
        <v>0.45</v>
      </c>
      <c r="I27" s="1" t="s">
        <v>51</v>
      </c>
      <c r="J27" s="16">
        <f>ROUND(+G26*H27,0)</f>
        <v>641</v>
      </c>
      <c r="K27" s="19"/>
      <c r="L27" s="16">
        <f>ROUND(+K26*H27,0)</f>
        <v>598</v>
      </c>
      <c r="M27" s="16"/>
      <c r="N27" s="16"/>
      <c r="O27" s="18">
        <f>ROUND(+L27,0)</f>
        <v>598</v>
      </c>
      <c r="P27" s="16"/>
      <c r="Q27" s="19"/>
      <c r="R27" s="23">
        <f>ROUND(+Q26-N26+O27,0)</f>
        <v>759</v>
      </c>
      <c r="S27" s="10">
        <f>+R27-O27</f>
        <v>161</v>
      </c>
      <c r="T27" t="s">
        <v>47</v>
      </c>
    </row>
    <row r="28" spans="1:20" x14ac:dyDescent="0.2">
      <c r="J28" s="10">
        <f>SUM(J26:J27)</f>
        <v>1425</v>
      </c>
      <c r="K28" s="13"/>
      <c r="L28" s="10">
        <f>SUM(L26:L27)</f>
        <v>1329</v>
      </c>
      <c r="O28" s="10">
        <f>ROUND(+L28,0)</f>
        <v>1329</v>
      </c>
      <c r="Q28" s="13"/>
      <c r="R28" s="10">
        <f>SUM(R26:R27)</f>
        <v>1490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0.55000000000000004</v>
      </c>
      <c r="I30" s="1">
        <v>36907</v>
      </c>
      <c r="J30" s="10">
        <f>ROUND(+G30*H30,0)</f>
        <v>6247</v>
      </c>
      <c r="K30" s="22">
        <v>9202</v>
      </c>
      <c r="L30" s="14">
        <f>ROUND(+K30*H30,0)</f>
        <v>5061</v>
      </c>
      <c r="M30" s="14"/>
      <c r="N30" s="25">
        <f>ROUND(+K30,0)</f>
        <v>9202</v>
      </c>
      <c r="O30" s="14">
        <f>ROUND(+L30,0)</f>
        <v>5061</v>
      </c>
      <c r="P30" s="14"/>
      <c r="Q30" s="24">
        <v>7863</v>
      </c>
      <c r="R30" s="14">
        <f>ROUND(+O30,0)</f>
        <v>5061</v>
      </c>
    </row>
    <row r="31" spans="1:20" ht="13.5" thickBot="1" x14ac:dyDescent="0.25">
      <c r="A31">
        <v>67693</v>
      </c>
      <c r="B31" s="1">
        <v>19</v>
      </c>
      <c r="H31" s="8">
        <f>+$B$2</f>
        <v>0.45</v>
      </c>
      <c r="I31" s="1" t="s">
        <v>51</v>
      </c>
      <c r="J31" s="16">
        <f>ROUND(+G30*H31,0)</f>
        <v>5112</v>
      </c>
      <c r="K31" s="19"/>
      <c r="L31" s="16">
        <f>ROUND(+K30*H31,0)</f>
        <v>4141</v>
      </c>
      <c r="M31" s="16"/>
      <c r="N31" s="16"/>
      <c r="O31" s="18">
        <f>ROUND(+L31,0)</f>
        <v>4141</v>
      </c>
      <c r="P31" s="16"/>
      <c r="Q31" s="19"/>
      <c r="R31" s="23">
        <f>ROUND(+Q30-N30+O31,0)</f>
        <v>2802</v>
      </c>
      <c r="S31" s="10">
        <f>+R31-O31</f>
        <v>-1339</v>
      </c>
      <c r="T31" t="s">
        <v>47</v>
      </c>
    </row>
    <row r="32" spans="1:20" x14ac:dyDescent="0.2">
      <c r="J32" s="10">
        <f>SUM(J30:J31)</f>
        <v>11359</v>
      </c>
      <c r="K32" s="13"/>
      <c r="L32" s="10">
        <f>SUM(L30:L31)</f>
        <v>9202</v>
      </c>
      <c r="O32" s="10">
        <f>ROUND(+L32,0)</f>
        <v>9202</v>
      </c>
      <c r="Q32" s="13"/>
      <c r="R32" s="10">
        <f>SUM(R30:R31)</f>
        <v>7863</v>
      </c>
      <c r="S32" s="10">
        <f>+R32-Q30</f>
        <v>0</v>
      </c>
      <c r="T32" t="s">
        <v>46</v>
      </c>
    </row>
    <row r="34" spans="1:20" ht="12" customHeight="1" x14ac:dyDescent="0.2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0.55000000000000004</v>
      </c>
      <c r="I34" s="1">
        <v>36907</v>
      </c>
      <c r="J34" s="10">
        <f>ROUND(+G34*H34,0)</f>
        <v>1040</v>
      </c>
      <c r="K34" s="22">
        <v>1535</v>
      </c>
      <c r="L34" s="14">
        <f>ROUND(+K34*H34,0)</f>
        <v>844</v>
      </c>
      <c r="M34" s="14"/>
      <c r="N34" s="25">
        <f>ROUND(+K34,0)</f>
        <v>1535</v>
      </c>
      <c r="O34" s="14">
        <f>ROUND(+L34,0)</f>
        <v>844</v>
      </c>
      <c r="P34" s="14"/>
      <c r="Q34" s="24">
        <v>1310</v>
      </c>
      <c r="R34" s="14">
        <f>ROUND(+O34,0)</f>
        <v>844</v>
      </c>
    </row>
    <row r="35" spans="1:20" ht="12" customHeight="1" thickBot="1" x14ac:dyDescent="0.25">
      <c r="A35">
        <v>67693</v>
      </c>
      <c r="B35" s="1">
        <v>20</v>
      </c>
      <c r="H35" s="8">
        <f>+$B$2</f>
        <v>0.45</v>
      </c>
      <c r="I35" s="1" t="s">
        <v>51</v>
      </c>
      <c r="J35" s="16">
        <f>ROUND(+G34*H35,0)</f>
        <v>851</v>
      </c>
      <c r="K35" s="19"/>
      <c r="L35" s="16">
        <f>ROUND(+K34*H35,0)</f>
        <v>691</v>
      </c>
      <c r="M35" s="16"/>
      <c r="N35" s="16"/>
      <c r="O35" s="18">
        <f>ROUND(+L35,0)</f>
        <v>691</v>
      </c>
      <c r="P35" s="16"/>
      <c r="Q35" s="19"/>
      <c r="R35" s="23">
        <f>ROUND(+Q34-N34+O35,0)</f>
        <v>466</v>
      </c>
      <c r="S35" s="10">
        <f>+R35-O35</f>
        <v>-225</v>
      </c>
      <c r="T35" t="s">
        <v>47</v>
      </c>
    </row>
    <row r="36" spans="1:20" ht="12" customHeight="1" x14ac:dyDescent="0.2">
      <c r="J36" s="10">
        <f>SUM(J34:J35)</f>
        <v>1891</v>
      </c>
      <c r="K36" s="13"/>
      <c r="L36" s="10">
        <f>SUM(L34:L35)</f>
        <v>1535</v>
      </c>
      <c r="O36" s="10">
        <f>ROUND(+L36,0)</f>
        <v>1535</v>
      </c>
      <c r="Q36" s="13"/>
      <c r="R36" s="10">
        <f>SUM(R34:R35)</f>
        <v>1310</v>
      </c>
      <c r="S36" s="10">
        <f>+R36-Q34</f>
        <v>0</v>
      </c>
      <c r="T36" t="s">
        <v>46</v>
      </c>
    </row>
    <row r="37" spans="1:20" ht="12" customHeight="1" x14ac:dyDescent="0.2"/>
    <row r="38" spans="1:20" x14ac:dyDescent="0.2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0.55000000000000004</v>
      </c>
      <c r="I38" s="1">
        <v>36907</v>
      </c>
      <c r="J38" s="10">
        <f>ROUND(+G38*H38,0)</f>
        <v>1100</v>
      </c>
      <c r="K38" s="22">
        <v>1464</v>
      </c>
      <c r="L38" s="14">
        <f>ROUND(+K38*H38,0)</f>
        <v>805</v>
      </c>
      <c r="M38" s="14"/>
      <c r="N38" s="25">
        <f>ROUND(+K38,0)</f>
        <v>1464</v>
      </c>
      <c r="O38" s="14">
        <f>ROUND(+L38,0)</f>
        <v>805</v>
      </c>
      <c r="P38" s="14"/>
      <c r="Q38" s="24">
        <v>1341</v>
      </c>
      <c r="R38" s="14">
        <f>ROUND(+O38,0)</f>
        <v>805</v>
      </c>
    </row>
    <row r="39" spans="1:20" ht="13.5" thickBot="1" x14ac:dyDescent="0.25">
      <c r="A39">
        <v>67693</v>
      </c>
      <c r="B39" s="1">
        <v>21</v>
      </c>
      <c r="H39" s="8">
        <f>+$B$2</f>
        <v>0.45</v>
      </c>
      <c r="I39" s="1" t="s">
        <v>51</v>
      </c>
      <c r="J39" s="16">
        <f>ROUND(+G38*H39,0)</f>
        <v>900</v>
      </c>
      <c r="K39" s="19"/>
      <c r="L39" s="16">
        <f>ROUND(+K38*H39,0)</f>
        <v>659</v>
      </c>
      <c r="M39" s="16"/>
      <c r="N39" s="16"/>
      <c r="O39" s="18">
        <f>ROUND(+L39,0)</f>
        <v>659</v>
      </c>
      <c r="P39" s="16"/>
      <c r="Q39" s="19"/>
      <c r="R39" s="23">
        <f>ROUND(+Q38-N38+O39,0)</f>
        <v>536</v>
      </c>
      <c r="S39" s="10">
        <f>+R39-O39</f>
        <v>-123</v>
      </c>
      <c r="T39" t="s">
        <v>47</v>
      </c>
    </row>
    <row r="40" spans="1:20" x14ac:dyDescent="0.2">
      <c r="J40" s="10">
        <f>SUM(J38:J39)</f>
        <v>2000</v>
      </c>
      <c r="L40" s="10">
        <f>SUM(L38:L39)</f>
        <v>1464</v>
      </c>
      <c r="O40" s="10">
        <f>ROUND(+L40,0)</f>
        <v>1464</v>
      </c>
      <c r="R40" s="10">
        <f>SUM(R38:R39)</f>
        <v>1341</v>
      </c>
      <c r="S40" s="10">
        <f>+R40-Q38</f>
        <v>0</v>
      </c>
      <c r="T40" t="s">
        <v>46</v>
      </c>
    </row>
    <row r="42" spans="1:20" x14ac:dyDescent="0.2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0.55000000000000004</v>
      </c>
      <c r="I42" s="1">
        <v>36907</v>
      </c>
      <c r="J42" s="54">
        <v>1358</v>
      </c>
      <c r="K42" s="22">
        <v>1981</v>
      </c>
      <c r="L42" s="14">
        <f>ROUND(+K42*H42,0)</f>
        <v>1090</v>
      </c>
      <c r="M42" s="14"/>
      <c r="N42" s="25">
        <f>ROUND(+K42,0)</f>
        <v>1981</v>
      </c>
      <c r="O42" s="14">
        <f>ROUND(+L42,0)</f>
        <v>1090</v>
      </c>
      <c r="P42" s="14"/>
      <c r="Q42" s="24">
        <v>1829</v>
      </c>
      <c r="R42" s="14">
        <f>ROUND(+O42,0)</f>
        <v>1090</v>
      </c>
    </row>
    <row r="43" spans="1:20" ht="13.5" thickBot="1" x14ac:dyDescent="0.25">
      <c r="A43">
        <v>67693</v>
      </c>
      <c r="B43" s="1">
        <v>22</v>
      </c>
      <c r="H43" s="8">
        <f>+$B$2</f>
        <v>0.45</v>
      </c>
      <c r="I43" s="1" t="s">
        <v>51</v>
      </c>
      <c r="J43" s="16">
        <f>ROUND(+G42*H43,0)</f>
        <v>1112</v>
      </c>
      <c r="K43" s="19"/>
      <c r="L43" s="16">
        <f>ROUND(+K42*H43,0)</f>
        <v>891</v>
      </c>
      <c r="M43" s="16"/>
      <c r="N43" s="16"/>
      <c r="O43" s="18">
        <f>ROUND(+L43,0)</f>
        <v>891</v>
      </c>
      <c r="P43" s="16"/>
      <c r="Q43" s="19"/>
      <c r="R43" s="23">
        <f>ROUND(+Q42-N42+O43,0)</f>
        <v>739</v>
      </c>
      <c r="S43" s="10">
        <f>+R43-O43</f>
        <v>-152</v>
      </c>
      <c r="T43" t="s">
        <v>47</v>
      </c>
    </row>
    <row r="44" spans="1:20" x14ac:dyDescent="0.2">
      <c r="J44" s="10">
        <f>SUM(J42:J43)</f>
        <v>2470</v>
      </c>
      <c r="K44" s="13"/>
      <c r="L44" s="10">
        <f>SUM(L42:L43)</f>
        <v>1981</v>
      </c>
      <c r="O44" s="10">
        <f>ROUND(+L44,0)</f>
        <v>1981</v>
      </c>
      <c r="Q44" s="13"/>
      <c r="R44" s="10">
        <f>SUM(R42:R43)</f>
        <v>1829</v>
      </c>
      <c r="S44" s="10">
        <f>+R44-Q42</f>
        <v>0</v>
      </c>
      <c r="T44" t="s">
        <v>46</v>
      </c>
    </row>
    <row r="46" spans="1:20" s="32" customFormat="1" x14ac:dyDescent="0.2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0.55000000000000004</v>
      </c>
      <c r="I46" s="33">
        <v>36907</v>
      </c>
      <c r="J46" s="10">
        <f>ROUND(+G46*H46,0)</f>
        <v>702</v>
      </c>
      <c r="K46" s="22">
        <v>907</v>
      </c>
      <c r="L46" s="36">
        <f>ROUND(+K46*H46,0)</f>
        <v>499</v>
      </c>
      <c r="M46" s="36"/>
      <c r="N46" s="25">
        <f>ROUND(+K46,0)</f>
        <v>907</v>
      </c>
      <c r="O46" s="36">
        <f>ROUND(+L46,0)</f>
        <v>499</v>
      </c>
      <c r="P46" s="36"/>
      <c r="Q46" s="24">
        <v>827</v>
      </c>
      <c r="R46" s="36">
        <f>ROUND(+O46,0)</f>
        <v>499</v>
      </c>
    </row>
    <row r="47" spans="1:20" s="32" customFormat="1" ht="13.5" thickBot="1" x14ac:dyDescent="0.25">
      <c r="A47">
        <v>67693</v>
      </c>
      <c r="B47" s="33">
        <v>23</v>
      </c>
      <c r="E47" s="33"/>
      <c r="F47" s="52"/>
      <c r="H47" s="8">
        <f>+$B$2</f>
        <v>0.45</v>
      </c>
      <c r="I47" s="33" t="s">
        <v>52</v>
      </c>
      <c r="J47" s="37">
        <f>ROUND(+G46*H47,0)</f>
        <v>574</v>
      </c>
      <c r="K47" s="38"/>
      <c r="L47" s="37">
        <f>ROUND(+K46*H47,0)</f>
        <v>408</v>
      </c>
      <c r="M47" s="37"/>
      <c r="N47" s="37"/>
      <c r="O47" s="39">
        <f>ROUND(+L47,0)</f>
        <v>408</v>
      </c>
      <c r="P47" s="37"/>
      <c r="Q47" s="38"/>
      <c r="R47" s="23">
        <f>ROUND(+Q46-N46+O47,0)</f>
        <v>328</v>
      </c>
      <c r="S47" s="35">
        <f>+R47-O47</f>
        <v>-80</v>
      </c>
      <c r="T47" s="32" t="s">
        <v>47</v>
      </c>
    </row>
    <row r="48" spans="1:20" s="32" customFormat="1" x14ac:dyDescent="0.2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907</v>
      </c>
      <c r="M48" s="40"/>
      <c r="N48" s="35"/>
      <c r="O48" s="35">
        <f>ROUND(+L48,0)</f>
        <v>907</v>
      </c>
      <c r="P48" s="40"/>
      <c r="Q48" s="41"/>
      <c r="R48" s="35">
        <f>SUM(R46:R47)</f>
        <v>827</v>
      </c>
      <c r="S48" s="35">
        <f>+R48-Q46</f>
        <v>0</v>
      </c>
      <c r="T48" s="32" t="s">
        <v>46</v>
      </c>
    </row>
    <row r="50" spans="1:21" s="32" customFormat="1" x14ac:dyDescent="0.2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0.55000000000000004</v>
      </c>
      <c r="I50" s="33">
        <v>36907</v>
      </c>
      <c r="J50" s="35">
        <f>ROUND(+G50*H50,0)</f>
        <v>14</v>
      </c>
      <c r="K50" s="22">
        <v>23</v>
      </c>
      <c r="L50" s="36">
        <f>ROUND(+K50*H50,0)</f>
        <v>13</v>
      </c>
      <c r="M50" s="36"/>
      <c r="N50" s="25">
        <f>ROUND(+K50,0)</f>
        <v>23</v>
      </c>
      <c r="O50" s="36">
        <f>ROUND(+L50,0)</f>
        <v>13</v>
      </c>
      <c r="P50" s="36"/>
      <c r="Q50" s="24">
        <v>26</v>
      </c>
      <c r="R50" s="36">
        <f>ROUND(+O50,0)</f>
        <v>13</v>
      </c>
    </row>
    <row r="51" spans="1:21" s="32" customFormat="1" ht="13.5" thickBot="1" x14ac:dyDescent="0.25">
      <c r="A51">
        <v>67693</v>
      </c>
      <c r="B51" s="33">
        <v>24</v>
      </c>
      <c r="E51" s="33"/>
      <c r="F51" s="52"/>
      <c r="H51" s="8">
        <f>+$B$2</f>
        <v>0.45</v>
      </c>
      <c r="I51" s="33" t="s">
        <v>52</v>
      </c>
      <c r="J51" s="37">
        <f>ROUND(+G50*H51,0)</f>
        <v>11</v>
      </c>
      <c r="K51" s="37"/>
      <c r="L51" s="37">
        <f>ROUND(+K50*H51,0)</f>
        <v>10</v>
      </c>
      <c r="M51" s="37"/>
      <c r="N51" s="37"/>
      <c r="O51" s="39">
        <f>ROUND(+L51,0)</f>
        <v>10</v>
      </c>
      <c r="P51" s="37"/>
      <c r="Q51" s="37"/>
      <c r="R51" s="23">
        <f>ROUND(+Q50-N50+O51,0)</f>
        <v>13</v>
      </c>
      <c r="S51" s="35">
        <f>+R51-O51</f>
        <v>3</v>
      </c>
      <c r="T51" s="32" t="s">
        <v>47</v>
      </c>
    </row>
    <row r="52" spans="1:21" s="32" customFormat="1" x14ac:dyDescent="0.2">
      <c r="B52" s="33"/>
      <c r="E52" s="33"/>
      <c r="F52" s="52"/>
      <c r="H52" s="34" t="s">
        <v>79</v>
      </c>
      <c r="I52" s="33"/>
      <c r="J52" s="35">
        <f>SUM(J50:J51)</f>
        <v>25</v>
      </c>
      <c r="K52" s="35"/>
      <c r="L52" s="35">
        <f>SUM(L50:L51)</f>
        <v>23</v>
      </c>
      <c r="M52" s="35"/>
      <c r="N52" s="35"/>
      <c r="O52" s="35">
        <f>ROUND(+L52,0)</f>
        <v>23</v>
      </c>
      <c r="P52" s="35"/>
      <c r="Q52" s="35"/>
      <c r="R52" s="35">
        <f>SUM(R50:R51)</f>
        <v>26</v>
      </c>
      <c r="S52" s="35">
        <f>+R52-Q50</f>
        <v>0</v>
      </c>
      <c r="T52" s="32" t="s">
        <v>46</v>
      </c>
    </row>
    <row r="53" spans="1:21" ht="13.5" thickBot="1" x14ac:dyDescent="0.25"/>
    <row r="54" spans="1:21" ht="13.5" thickBot="1" x14ac:dyDescent="0.25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43625</v>
      </c>
      <c r="K54" s="10">
        <f>SUM(K6:K52)</f>
        <v>37908</v>
      </c>
      <c r="L54" s="28">
        <f>SUM(L8+L12+L16+L20+L24+L28+L32+L36+L40+L44+L48+L52)</f>
        <v>37908</v>
      </c>
      <c r="N54" s="10">
        <f>SUM(N6:N52)</f>
        <v>37908</v>
      </c>
      <c r="O54" s="28">
        <f>SUM(O8+O12+O16+O20+O24+O28+O32+O36+O40+O44+O48+O52)</f>
        <v>37908</v>
      </c>
      <c r="Q54" s="10">
        <f>SUM(Q6:Q52)</f>
        <v>37204</v>
      </c>
      <c r="R54" s="28">
        <f>SUM(R8+R12+R16+R20+R24+R28+R32+R36+R40+R44+R48+R52)</f>
        <v>37204</v>
      </c>
      <c r="S54" s="29">
        <f>S8+S12+S16+S20+S24+S28+S32+S36+S40+S44+S48+S52</f>
        <v>0</v>
      </c>
      <c r="T54" s="30" t="s">
        <v>55</v>
      </c>
      <c r="U54" s="31"/>
    </row>
    <row r="57" spans="1:21" x14ac:dyDescent="0.2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221</v>
      </c>
      <c r="L57" s="10">
        <f>SUMIF($I$6:$I$51,"22STOW",$L$6:$L$51)</f>
        <v>173</v>
      </c>
      <c r="O57" s="10">
        <f>SUMIF($I$6:$I$51,"22STOW",$O$6:$O$51)</f>
        <v>173</v>
      </c>
      <c r="R57" s="10">
        <f>SUMIF($I$6:$I$51,"22STOW",$R$6:$R$51)</f>
        <v>32</v>
      </c>
    </row>
    <row r="58" spans="1:21" x14ac:dyDescent="0.2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4046</v>
      </c>
      <c r="L58" s="10">
        <f>SUMIF($I$6:$I$51,"23nSTOW",$L$6:$L$51)</f>
        <v>3400</v>
      </c>
      <c r="O58" s="10">
        <f>SUMIF($I$6:$I$51,"23nSTOW",$O$6:$O$51)</f>
        <v>3400</v>
      </c>
      <c r="R58" s="10">
        <f>SUMIF($I$6:$I$51,"23nSTOW",$R$6:$R$51)</f>
        <v>4696</v>
      </c>
    </row>
    <row r="59" spans="1:21" x14ac:dyDescent="0.2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14780</v>
      </c>
      <c r="L59" s="10">
        <f>SUMIF($I$6:$I$51,"23STOW",$L$6:$L$51)</f>
        <v>13068</v>
      </c>
      <c r="O59" s="10">
        <f>SUMIF($I$6:$I$51,"23STOW",$O$6:$O$51)</f>
        <v>13068</v>
      </c>
      <c r="R59" s="10">
        <f>SUMIF($I$6:$I$51,"23STOW",$R$6:$R$51)</f>
        <v>11286</v>
      </c>
    </row>
    <row r="60" spans="1:21" x14ac:dyDescent="0.2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585</v>
      </c>
      <c r="L60" s="10">
        <f>SUMIF($I$6:$I$51,"24STOW",$L$6:$L$51)</f>
        <v>418</v>
      </c>
      <c r="O60" s="10">
        <f>SUMIF($I$6:$I$51,"24STOW",$O$6:$O$51)</f>
        <v>418</v>
      </c>
      <c r="R60" s="10">
        <f>SUMIF($I$6:$I$51,"24STOW",$R$6:$R$51)</f>
        <v>341</v>
      </c>
    </row>
    <row r="62" spans="1:21" x14ac:dyDescent="0.2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20070.33614132657</v>
      </c>
      <c r="I62" t="s">
        <v>33</v>
      </c>
      <c r="J62" s="10">
        <f>SUM(J57:J60)</f>
        <v>19632</v>
      </c>
      <c r="K62" s="10">
        <f>+L62/0.97816</f>
        <v>17439.887135029032</v>
      </c>
      <c r="L62" s="10">
        <f>SUM(L57:L60)</f>
        <v>17059</v>
      </c>
      <c r="N62" s="10">
        <f>+O62/0.97816</f>
        <v>17439.887135029032</v>
      </c>
      <c r="O62" s="10">
        <f>SUM(O57:O60)</f>
        <v>17059</v>
      </c>
      <c r="Q62" s="10">
        <f>+R62/0.97816</f>
        <v>16720.16847959434</v>
      </c>
      <c r="R62" s="10">
        <f>SUM(R57:R60)</f>
        <v>16355</v>
      </c>
    </row>
    <row r="64" spans="1:21" x14ac:dyDescent="0.2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U74"/>
  <sheetViews>
    <sheetView topLeftCell="E51" workbookViewId="0">
      <selection activeCell="A19" sqref="A19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198</v>
      </c>
      <c r="L6" s="14">
        <f>ROUND(+K6*H6,0)</f>
        <v>119</v>
      </c>
      <c r="M6" s="14"/>
      <c r="N6" s="25">
        <f>ROUND(+K6,0)</f>
        <v>198</v>
      </c>
      <c r="O6" s="14">
        <f>ROUND(+L6,0)</f>
        <v>119</v>
      </c>
      <c r="P6" s="14"/>
      <c r="Q6" s="24">
        <v>526</v>
      </c>
      <c r="R6" s="14">
        <f>+O6</f>
        <v>119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79</v>
      </c>
      <c r="M7" s="16"/>
      <c r="N7" s="16"/>
      <c r="O7" s="18">
        <f>ROUND(+L7,0)</f>
        <v>79</v>
      </c>
      <c r="P7" s="14"/>
      <c r="R7" s="23">
        <f>ROUND(+Q6-N6+O7,0)</f>
        <v>407</v>
      </c>
      <c r="S7" s="10">
        <f>+R7-O7</f>
        <v>328</v>
      </c>
      <c r="T7" t="s">
        <v>47</v>
      </c>
    </row>
    <row r="8" spans="1:20" x14ac:dyDescent="0.2">
      <c r="J8" s="10">
        <f>SUM(J6:J7)</f>
        <v>491</v>
      </c>
      <c r="L8" s="10">
        <f>SUM(L6:L7)</f>
        <v>198</v>
      </c>
      <c r="O8" s="10">
        <f>ROUND(+L8,0)</f>
        <v>198</v>
      </c>
      <c r="R8" s="10">
        <f>SUM(R6:R7)</f>
        <v>526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5048</v>
      </c>
      <c r="L10" s="14">
        <f>ROUND(+K10*H10,0)</f>
        <v>3029</v>
      </c>
      <c r="M10" s="14"/>
      <c r="N10" s="25">
        <f>ROUND(+K10,0)</f>
        <v>5048</v>
      </c>
      <c r="O10" s="14">
        <f>ROUND(+L10,0)</f>
        <v>3029</v>
      </c>
      <c r="P10" s="14"/>
      <c r="Q10" s="24">
        <v>5048</v>
      </c>
      <c r="R10" s="14">
        <f>ROUND(+O10,0)</f>
        <v>3029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2019</v>
      </c>
      <c r="M12" s="16"/>
      <c r="N12" s="16"/>
      <c r="O12" s="18">
        <f>ROUND(+L12,0)</f>
        <v>2019</v>
      </c>
      <c r="P12" s="16"/>
      <c r="Q12" s="19"/>
      <c r="R12" s="23">
        <f>ROUND(+Q10-N10+O12,0)</f>
        <v>2019</v>
      </c>
      <c r="S12" s="10">
        <f>+R12-O12</f>
        <v>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5048</v>
      </c>
      <c r="M13" s="14"/>
      <c r="O13" s="10">
        <f>ROUND(+L13,0)</f>
        <v>5048</v>
      </c>
      <c r="P13" s="14"/>
      <c r="Q13" s="13"/>
      <c r="R13" s="10">
        <f>SUM(R10:R12)</f>
        <v>5048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1891</v>
      </c>
      <c r="L15" s="14">
        <f>ROUND(+K15*H15,0)</f>
        <v>1135</v>
      </c>
      <c r="M15" s="14"/>
      <c r="N15" s="25">
        <f>ROUND(+K15,0)</f>
        <v>1891</v>
      </c>
      <c r="O15" s="14">
        <f>ROUND(+L15,0)</f>
        <v>1135</v>
      </c>
      <c r="P15" s="14"/>
      <c r="Q15" s="24">
        <v>2029</v>
      </c>
      <c r="R15" s="14">
        <f>ROUND(+O15,0)</f>
        <v>1135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756</v>
      </c>
      <c r="M16" s="16"/>
      <c r="N16" s="16"/>
      <c r="O16" s="18">
        <f>ROUND(+L16,0)</f>
        <v>756</v>
      </c>
      <c r="P16" s="16"/>
      <c r="Q16" s="19"/>
      <c r="R16" s="23">
        <f>ROUND(+Q15-N15+O16,0)</f>
        <v>894</v>
      </c>
      <c r="S16" s="10">
        <f>+R16-O16</f>
        <v>138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1891</v>
      </c>
      <c r="O17" s="10">
        <f>ROUND(+L17,0)</f>
        <v>1891</v>
      </c>
      <c r="Q17" s="13"/>
      <c r="R17" s="10">
        <f>SUM(R15:R16)</f>
        <v>2029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9699</v>
      </c>
      <c r="L19" s="14">
        <f>ROUND(+K19*H19,0)</f>
        <v>5819</v>
      </c>
      <c r="M19" s="14"/>
      <c r="N19" s="25">
        <f>ROUND(+K19,0)</f>
        <v>9699</v>
      </c>
      <c r="O19" s="14">
        <f>ROUND(+L19,0)</f>
        <v>5819</v>
      </c>
      <c r="P19" s="14"/>
      <c r="Q19" s="24">
        <v>10384</v>
      </c>
      <c r="R19" s="14">
        <f>ROUND(+O19,0)</f>
        <v>5819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3880</v>
      </c>
      <c r="M22" s="16"/>
      <c r="N22" s="16"/>
      <c r="O22" s="18">
        <f>ROUND(+L22,0)</f>
        <v>3880</v>
      </c>
      <c r="P22" s="16"/>
      <c r="Q22" s="19"/>
      <c r="R22" s="23">
        <f>ROUND(+Q19-N19+O22,0)</f>
        <v>4565</v>
      </c>
      <c r="S22" s="10">
        <f>+R22-O22</f>
        <v>685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9699</v>
      </c>
      <c r="M23" s="14"/>
      <c r="O23" s="10">
        <f>ROUND(+L23,0)</f>
        <v>9699</v>
      </c>
      <c r="P23" s="14"/>
      <c r="Q23" s="13"/>
      <c r="R23" s="10">
        <f>SUM(R19:R22)</f>
        <v>10384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1352</v>
      </c>
      <c r="L25" s="14">
        <f>ROUND(+K25*H25,0)</f>
        <v>811</v>
      </c>
      <c r="M25" s="14"/>
      <c r="N25" s="25">
        <f>ROUND(+K25,0)</f>
        <v>1352</v>
      </c>
      <c r="O25" s="14">
        <f>ROUND(+L25,0)</f>
        <v>811</v>
      </c>
      <c r="P25" s="14"/>
      <c r="Q25" s="24">
        <v>1457</v>
      </c>
      <c r="R25" s="14">
        <f>ROUND(+O25,0)</f>
        <v>811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541</v>
      </c>
      <c r="M26" s="18"/>
      <c r="N26" s="16"/>
      <c r="O26" s="18">
        <f>ROUND(+L26,0)</f>
        <v>541</v>
      </c>
      <c r="P26" s="18"/>
      <c r="Q26" s="19"/>
      <c r="R26" s="23">
        <f>ROUND(+Q25-N25+O26,0)</f>
        <v>646</v>
      </c>
      <c r="S26" s="10">
        <f>+R26-O26</f>
        <v>105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1352</v>
      </c>
      <c r="O27" s="10">
        <f>ROUND(+L27,0)</f>
        <v>1352</v>
      </c>
      <c r="Q27" s="13"/>
      <c r="R27" s="10">
        <f>SUM(R25:R26)</f>
        <v>1457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1087</v>
      </c>
      <c r="L29" s="14">
        <f>ROUND(+K29*H29,0)</f>
        <v>652</v>
      </c>
      <c r="M29" s="14"/>
      <c r="N29" s="25">
        <f>ROUND(+K29,0)</f>
        <v>1087</v>
      </c>
      <c r="O29" s="14">
        <f>ROUND(+L29,0)</f>
        <v>652</v>
      </c>
      <c r="P29" s="14"/>
      <c r="Q29" s="24">
        <v>1329</v>
      </c>
      <c r="R29" s="14">
        <f>ROUND(+O29,0)</f>
        <v>652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435</v>
      </c>
      <c r="M30" s="16"/>
      <c r="N30" s="16"/>
      <c r="O30" s="18">
        <f>ROUND(+L30,0)</f>
        <v>435</v>
      </c>
      <c r="P30" s="16"/>
      <c r="Q30" s="19"/>
      <c r="R30" s="23">
        <f>ROUND(+Q29-N29+O30,0)</f>
        <v>677</v>
      </c>
      <c r="S30" s="10">
        <f>+R30-O30</f>
        <v>242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1087</v>
      </c>
      <c r="O31" s="10">
        <f>ROUND(+L31,0)</f>
        <v>1087</v>
      </c>
      <c r="Q31" s="13"/>
      <c r="R31" s="10">
        <f>SUM(R29:R30)</f>
        <v>1329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5853</v>
      </c>
      <c r="L33" s="14">
        <f>ROUND(+K33*H33,0)</f>
        <v>3512</v>
      </c>
      <c r="M33" s="14"/>
      <c r="N33" s="25">
        <f>ROUND(+K33,0)</f>
        <v>5853</v>
      </c>
      <c r="O33" s="14">
        <f>ROUND(+L33,0)</f>
        <v>3512</v>
      </c>
      <c r="P33" s="14"/>
      <c r="Q33" s="24">
        <v>8532</v>
      </c>
      <c r="R33" s="14">
        <f>ROUND(+O33,0)</f>
        <v>3512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2341</v>
      </c>
      <c r="M36" s="16"/>
      <c r="N36" s="16"/>
      <c r="O36" s="18">
        <f>ROUND(+L36,0)</f>
        <v>2341</v>
      </c>
      <c r="P36" s="16"/>
      <c r="Q36" s="19"/>
      <c r="R36" s="23">
        <f>ROUND(+Q33-N33+O36,0)</f>
        <v>5020</v>
      </c>
      <c r="S36" s="10">
        <f>+R36-O36</f>
        <v>2679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5853</v>
      </c>
      <c r="O37" s="10">
        <f>ROUND(+L37,0)</f>
        <v>5853</v>
      </c>
      <c r="Q37" s="13"/>
      <c r="R37" s="10">
        <f>SUM(R33:R36)</f>
        <v>8532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1085</v>
      </c>
      <c r="L39" s="14">
        <f>ROUND(+K39*H39,0)</f>
        <v>651</v>
      </c>
      <c r="M39" s="14"/>
      <c r="N39" s="25">
        <f>ROUND(+K39,0)</f>
        <v>1085</v>
      </c>
      <c r="O39" s="14">
        <f>ROUND(+L39,0)</f>
        <v>651</v>
      </c>
      <c r="P39" s="14"/>
      <c r="Q39" s="24">
        <v>1310</v>
      </c>
      <c r="R39" s="14">
        <f>ROUND(+O39,0)</f>
        <v>651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434</v>
      </c>
      <c r="M40" s="16"/>
      <c r="N40" s="16"/>
      <c r="O40" s="18">
        <f>ROUND(+L40,0)</f>
        <v>434</v>
      </c>
      <c r="P40" s="16"/>
      <c r="Q40" s="19"/>
      <c r="R40" s="23">
        <f>ROUND(+Q39-N39+O40,0)</f>
        <v>659</v>
      </c>
      <c r="S40" s="10">
        <f>+R40-O40</f>
        <v>225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1085</v>
      </c>
      <c r="O41" s="10">
        <f>ROUND(+L41,0)</f>
        <v>1085</v>
      </c>
      <c r="Q41" s="13"/>
      <c r="R41" s="10">
        <f>SUM(R39:R40)</f>
        <v>1310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971</v>
      </c>
      <c r="L43" s="14">
        <f>ROUND(+K43*H43,0)</f>
        <v>583</v>
      </c>
      <c r="M43" s="14"/>
      <c r="N43" s="25">
        <f>ROUND(+K43,0)</f>
        <v>971</v>
      </c>
      <c r="O43" s="14">
        <f>ROUND(+L43,0)</f>
        <v>583</v>
      </c>
      <c r="P43" s="14"/>
      <c r="Q43" s="24">
        <v>1464</v>
      </c>
      <c r="R43" s="14">
        <f>ROUND(+O43,0)</f>
        <v>583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388</v>
      </c>
      <c r="M44" s="16"/>
      <c r="N44" s="16"/>
      <c r="O44" s="18">
        <f>ROUND(+L44,0)</f>
        <v>388</v>
      </c>
      <c r="P44" s="16"/>
      <c r="Q44" s="19"/>
      <c r="R44" s="23">
        <f>ROUND(+Q43-N43+O44,0)</f>
        <v>881</v>
      </c>
      <c r="S44" s="10">
        <f>+R44-O44</f>
        <v>493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971</v>
      </c>
      <c r="O45" s="10">
        <f>ROUND(+L45,0)</f>
        <v>971</v>
      </c>
      <c r="R45" s="10">
        <f>SUM(R43:R44)</f>
        <v>1464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1526</v>
      </c>
      <c r="L47" s="14">
        <f>ROUND(+K47*H47,0)</f>
        <v>916</v>
      </c>
      <c r="M47" s="14"/>
      <c r="N47" s="25">
        <f>ROUND(+K47,0)</f>
        <v>1526</v>
      </c>
      <c r="O47" s="14">
        <f>ROUND(+L47,0)</f>
        <v>916</v>
      </c>
      <c r="P47" s="14"/>
      <c r="Q47" s="24">
        <v>2133</v>
      </c>
      <c r="R47" s="14">
        <f>ROUND(+O47,0)</f>
        <v>916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610</v>
      </c>
      <c r="M48" s="16"/>
      <c r="N48" s="16"/>
      <c r="O48" s="18">
        <f>ROUND(+L48,0)</f>
        <v>610</v>
      </c>
      <c r="P48" s="16"/>
      <c r="Q48" s="19"/>
      <c r="R48" s="23">
        <f>ROUND(+Q47-N47+O48,0)</f>
        <v>1217</v>
      </c>
      <c r="S48" s="10">
        <f>+R48-O48</f>
        <v>607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1526</v>
      </c>
      <c r="O49" s="10">
        <f>ROUND(+L49,0)</f>
        <v>1526</v>
      </c>
      <c r="Q49" s="13"/>
      <c r="R49" s="10">
        <f>SUM(R47:R48)</f>
        <v>2133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907</v>
      </c>
      <c r="L51" s="36">
        <f>ROUND(+K51*H51,0)</f>
        <v>544</v>
      </c>
      <c r="M51" s="36"/>
      <c r="N51" s="25">
        <f>ROUND(+K51,0)</f>
        <v>907</v>
      </c>
      <c r="O51" s="36">
        <f>ROUND(+L51,0)</f>
        <v>544</v>
      </c>
      <c r="P51" s="36"/>
      <c r="Q51" s="24">
        <v>1067</v>
      </c>
      <c r="R51" s="36">
        <f>ROUND(+O51,0)</f>
        <v>544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363</v>
      </c>
      <c r="M52" s="37"/>
      <c r="N52" s="37"/>
      <c r="O52" s="39">
        <f>ROUND(+L52,0)</f>
        <v>363</v>
      </c>
      <c r="P52" s="37"/>
      <c r="Q52" s="38"/>
      <c r="R52" s="23">
        <f>ROUND(+Q51-N51+O52,0)</f>
        <v>523</v>
      </c>
      <c r="S52" s="35">
        <f>+R52-O52</f>
        <v>160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907</v>
      </c>
      <c r="M53" s="40"/>
      <c r="N53" s="35"/>
      <c r="O53" s="35">
        <f>ROUND(+L53,0)</f>
        <v>907</v>
      </c>
      <c r="P53" s="40"/>
      <c r="Q53" s="41"/>
      <c r="R53" s="35">
        <f>SUM(R51:R52)</f>
        <v>1067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19</v>
      </c>
      <c r="L55" s="36">
        <v>8</v>
      </c>
      <c r="M55" s="36"/>
      <c r="N55" s="25">
        <f>ROUND(+K55,0)</f>
        <v>19</v>
      </c>
      <c r="O55" s="36">
        <f>ROUND(+L55,0)</f>
        <v>8</v>
      </c>
      <c r="P55" s="36"/>
      <c r="Q55" s="24">
        <v>23</v>
      </c>
      <c r="R55" s="36">
        <f>ROUND(+O55,0)</f>
        <v>8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11</v>
      </c>
      <c r="M56" s="37"/>
      <c r="N56" s="37"/>
      <c r="O56" s="39">
        <f>ROUND(+L56,0)</f>
        <v>11</v>
      </c>
      <c r="P56" s="37"/>
      <c r="Q56" s="37"/>
      <c r="R56" s="23">
        <f>ROUND(+Q55-N55+O56,0)</f>
        <v>15</v>
      </c>
      <c r="S56" s="35">
        <f>+R56-O56</f>
        <v>4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19</v>
      </c>
      <c r="M57" s="35"/>
      <c r="N57" s="35"/>
      <c r="O57" s="35">
        <f>ROUND(+L57,0)</f>
        <v>19</v>
      </c>
      <c r="P57" s="35"/>
      <c r="Q57" s="35"/>
      <c r="R57" s="35">
        <f>SUM(R55:R56)</f>
        <v>23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29636</v>
      </c>
      <c r="L59" s="28">
        <f>SUM(L8+L13+L17+L23+L27+L31+L37+L41+L45+L49+L53+L57)</f>
        <v>29636</v>
      </c>
      <c r="N59" s="10">
        <f>SUM(N6:N57)</f>
        <v>29636</v>
      </c>
      <c r="O59" s="28">
        <f>SUM(O8+O13+O17+O23+O27+O31+O37+O41+O45+O49+O53+O57)</f>
        <v>29636</v>
      </c>
      <c r="Q59" s="10">
        <f>SUM(Q6:Q57)</f>
        <v>35302</v>
      </c>
      <c r="R59" s="28">
        <f>SUM(R8+R13+R17+R23+R27+R31+R37+R41+R45+R49+R53+R57)</f>
        <v>35302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79</v>
      </c>
      <c r="O62" s="10">
        <f>SUMIF($I$6:$I$56,"22STOW",$O$6:$O$56)</f>
        <v>79</v>
      </c>
      <c r="R62" s="10">
        <f>SUMIF($I$6:$I$56,"22STOW",$R$6:$R$56)</f>
        <v>407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2775</v>
      </c>
      <c r="O63" s="10">
        <f>SUMIF($I$6:$I$56,"23nSTOW",$O$6:$O$56)</f>
        <v>2775</v>
      </c>
      <c r="R63" s="10">
        <f>SUMIF($I$6:$I$56,"23nSTOW",$R$6:$R$56)</f>
        <v>2913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8629</v>
      </c>
      <c r="O64" s="10">
        <f>SUMIF($I$6:$I$56,"23STOW",$O$6:$O$56)</f>
        <v>8629</v>
      </c>
      <c r="R64" s="10">
        <f>SUMIF($I$6:$I$56,"23STOW",$R$6:$R$56)</f>
        <v>13665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374</v>
      </c>
      <c r="O65" s="10">
        <f>SUMIF($I$6:$I$56,"24STOW",$O$6:$O$56)</f>
        <v>374</v>
      </c>
      <c r="R65" s="10">
        <f>SUMIF($I$6:$I$56,"24STOW",$R$6:$R$56)</f>
        <v>538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12121.738774842561</v>
      </c>
      <c r="L67" s="10">
        <f>SUM(L62:L65)</f>
        <v>11857</v>
      </c>
      <c r="N67" s="10">
        <f>+O67/0.97816</f>
        <v>12121.738774842561</v>
      </c>
      <c r="O67" s="10">
        <f>SUM(O62:O65)</f>
        <v>11857</v>
      </c>
      <c r="Q67" s="10">
        <f>+R67/0.97816</f>
        <v>17914.247157929174</v>
      </c>
      <c r="R67" s="10">
        <f>SUM(R62:R65)</f>
        <v>17523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29636</v>
      </c>
      <c r="O72" s="10">
        <f>SUMIF($A$6:$A$58,"67693",$O$6:$O$58)</f>
        <v>29636</v>
      </c>
      <c r="R72" s="10">
        <f>SUMIF($A$6:$A$58,"67693",$R$6:$R$58)</f>
        <v>35302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U74"/>
  <sheetViews>
    <sheetView topLeftCell="F47" workbookViewId="0">
      <selection activeCell="R58" sqref="R58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150</v>
      </c>
      <c r="L6" s="14">
        <f>ROUND(+K6*H6,0)</f>
        <v>90</v>
      </c>
      <c r="M6" s="14"/>
      <c r="N6" s="25">
        <f>ROUND(+K6,0)</f>
        <v>150</v>
      </c>
      <c r="O6" s="14">
        <f>ROUND(+L6,0)</f>
        <v>90</v>
      </c>
      <c r="P6" s="14"/>
      <c r="Q6" s="24">
        <v>104</v>
      </c>
      <c r="R6" s="14">
        <f>+O6</f>
        <v>90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60</v>
      </c>
      <c r="M7" s="16"/>
      <c r="N7" s="16"/>
      <c r="O7" s="18">
        <f>ROUND(+L7,0)</f>
        <v>60</v>
      </c>
      <c r="P7" s="14"/>
      <c r="R7" s="23">
        <f>ROUND(+Q6-N6+O7,0)</f>
        <v>14</v>
      </c>
      <c r="S7" s="10">
        <f>+R7-O7</f>
        <v>-46</v>
      </c>
      <c r="T7" t="s">
        <v>47</v>
      </c>
    </row>
    <row r="8" spans="1:20" x14ac:dyDescent="0.2">
      <c r="J8" s="10">
        <f>SUM(J6:J7)</f>
        <v>491</v>
      </c>
      <c r="L8" s="10">
        <f>SUM(L6:L7)</f>
        <v>150</v>
      </c>
      <c r="O8" s="10">
        <f>ROUND(+L8,0)</f>
        <v>150</v>
      </c>
      <c r="R8" s="10">
        <f>SUM(R6:R7)</f>
        <v>104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4708</v>
      </c>
      <c r="L10" s="14">
        <f>ROUND(+K10*H10,0)</f>
        <v>2825</v>
      </c>
      <c r="M10" s="14"/>
      <c r="N10" s="25">
        <f>ROUND(+K10,0)</f>
        <v>4708</v>
      </c>
      <c r="O10" s="14">
        <f>ROUND(+L10,0)</f>
        <v>2825</v>
      </c>
      <c r="P10" s="14"/>
      <c r="Q10" s="24">
        <v>4027</v>
      </c>
      <c r="R10" s="14">
        <f>ROUND(+O10,0)</f>
        <v>2825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1883</v>
      </c>
      <c r="M12" s="16"/>
      <c r="N12" s="16"/>
      <c r="O12" s="18">
        <f>ROUND(+L12,0)</f>
        <v>1883</v>
      </c>
      <c r="P12" s="16"/>
      <c r="Q12" s="19"/>
      <c r="R12" s="23">
        <f>ROUND(+Q10-N10+O12,0)</f>
        <v>1202</v>
      </c>
      <c r="S12" s="10">
        <f>+R12-O12</f>
        <v>-681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4708</v>
      </c>
      <c r="M13" s="14"/>
      <c r="O13" s="10">
        <f>ROUND(+L13,0)</f>
        <v>4708</v>
      </c>
      <c r="P13" s="14"/>
      <c r="Q13" s="13"/>
      <c r="R13" s="10">
        <f>SUM(R10:R12)</f>
        <v>4027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2029</v>
      </c>
      <c r="L15" s="14">
        <f>ROUND(+K15*H15,0)</f>
        <v>1217</v>
      </c>
      <c r="M15" s="14"/>
      <c r="N15" s="25">
        <f>ROUND(+K15,0)</f>
        <v>2029</v>
      </c>
      <c r="O15" s="14">
        <f>ROUND(+L15,0)</f>
        <v>1217</v>
      </c>
      <c r="P15" s="14"/>
      <c r="Q15" s="24">
        <v>1754</v>
      </c>
      <c r="R15" s="14">
        <f>ROUND(+O15,0)</f>
        <v>1217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812</v>
      </c>
      <c r="M16" s="16"/>
      <c r="N16" s="16"/>
      <c r="O16" s="18">
        <f>ROUND(+L16,0)</f>
        <v>812</v>
      </c>
      <c r="P16" s="16"/>
      <c r="Q16" s="19"/>
      <c r="R16" s="23">
        <f>ROUND(+Q15-N15+O16,0)</f>
        <v>537</v>
      </c>
      <c r="S16" s="10">
        <f>+R16-O16</f>
        <v>-275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2029</v>
      </c>
      <c r="O17" s="10">
        <f>ROUND(+L17,0)</f>
        <v>2029</v>
      </c>
      <c r="Q17" s="13"/>
      <c r="R17" s="10">
        <f>SUM(R15:R16)</f>
        <v>1754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11070</v>
      </c>
      <c r="L19" s="14">
        <f>ROUND(+K19*H19,0)</f>
        <v>6642</v>
      </c>
      <c r="M19" s="14"/>
      <c r="N19" s="25">
        <f>ROUND(+K19,0)</f>
        <v>11070</v>
      </c>
      <c r="O19" s="14">
        <f>ROUND(+L19,0)</f>
        <v>6642</v>
      </c>
      <c r="P19" s="14"/>
      <c r="Q19" s="24">
        <v>9699</v>
      </c>
      <c r="R19" s="14">
        <f>ROUND(+O19,0)</f>
        <v>6642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4428</v>
      </c>
      <c r="M22" s="16"/>
      <c r="N22" s="16"/>
      <c r="O22" s="18">
        <f>ROUND(+L22,0)</f>
        <v>4428</v>
      </c>
      <c r="P22" s="16"/>
      <c r="Q22" s="19"/>
      <c r="R22" s="23">
        <f>ROUND(+Q19-N19+O22,0)</f>
        <v>3057</v>
      </c>
      <c r="S22" s="10">
        <f>+R22-O22</f>
        <v>-1371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11070</v>
      </c>
      <c r="M23" s="14"/>
      <c r="O23" s="10">
        <f>ROUND(+L23,0)</f>
        <v>11070</v>
      </c>
      <c r="P23" s="14"/>
      <c r="Q23" s="13"/>
      <c r="R23" s="10">
        <f>SUM(R19:R22)</f>
        <v>9699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1562</v>
      </c>
      <c r="L25" s="14">
        <f>ROUND(+K25*H25,0)</f>
        <v>937</v>
      </c>
      <c r="M25" s="14"/>
      <c r="N25" s="25">
        <f>ROUND(+K25,0)</f>
        <v>1562</v>
      </c>
      <c r="O25" s="14">
        <f>ROUND(+L25,0)</f>
        <v>937</v>
      </c>
      <c r="P25" s="14"/>
      <c r="Q25" s="24">
        <v>1144</v>
      </c>
      <c r="R25" s="14">
        <f>ROUND(+O25,0)</f>
        <v>937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625</v>
      </c>
      <c r="M26" s="18"/>
      <c r="N26" s="16"/>
      <c r="O26" s="18">
        <f>ROUND(+L26,0)</f>
        <v>625</v>
      </c>
      <c r="P26" s="18"/>
      <c r="Q26" s="19"/>
      <c r="R26" s="23">
        <f>ROUND(+Q25-N25+O26,0)</f>
        <v>207</v>
      </c>
      <c r="S26" s="10">
        <f>+R26-O26</f>
        <v>-418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1562</v>
      </c>
      <c r="O27" s="10">
        <f>ROUND(+L27,0)</f>
        <v>1562</v>
      </c>
      <c r="Q27" s="13"/>
      <c r="R27" s="10">
        <f>SUM(R25:R26)</f>
        <v>1144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1006</v>
      </c>
      <c r="L29" s="14">
        <f>ROUND(+K29*H29,0)</f>
        <v>604</v>
      </c>
      <c r="M29" s="14"/>
      <c r="N29" s="25">
        <f>ROUND(+K29,0)</f>
        <v>1006</v>
      </c>
      <c r="O29" s="14">
        <f>ROUND(+L29,0)</f>
        <v>604</v>
      </c>
      <c r="P29" s="14"/>
      <c r="Q29" s="24">
        <v>765</v>
      </c>
      <c r="R29" s="14">
        <f>ROUND(+O29,0)</f>
        <v>604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402</v>
      </c>
      <c r="M30" s="16"/>
      <c r="N30" s="16"/>
      <c r="O30" s="18">
        <f>ROUND(+L30,0)</f>
        <v>402</v>
      </c>
      <c r="P30" s="16"/>
      <c r="Q30" s="19"/>
      <c r="R30" s="23">
        <f>ROUND(+Q29-N29+O30,0)</f>
        <v>161</v>
      </c>
      <c r="S30" s="10">
        <f>+R30-O30</f>
        <v>-241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1006</v>
      </c>
      <c r="O31" s="10">
        <f>ROUND(+L31,0)</f>
        <v>1006</v>
      </c>
      <c r="Q31" s="13"/>
      <c r="R31" s="10">
        <f>SUM(R29:R30)</f>
        <v>765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6522</v>
      </c>
      <c r="L33" s="14">
        <f>ROUND(+K33*H33,0)</f>
        <v>3913</v>
      </c>
      <c r="M33" s="14"/>
      <c r="N33" s="25">
        <f>ROUND(+K33,0)</f>
        <v>6522</v>
      </c>
      <c r="O33" s="14">
        <f>ROUND(+L33,0)</f>
        <v>3913</v>
      </c>
      <c r="P33" s="14"/>
      <c r="Q33" s="24">
        <v>3843</v>
      </c>
      <c r="R33" s="14">
        <f>ROUND(+O33,0)</f>
        <v>3913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0</v>
      </c>
      <c r="M34" s="24"/>
      <c r="N34" s="24"/>
      <c r="O34" s="66">
        <f>L34</f>
        <v>0</v>
      </c>
      <c r="P34" s="24"/>
      <c r="Q34" s="24"/>
      <c r="R34" s="66">
        <f>L34</f>
        <v>0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2609</v>
      </c>
      <c r="M36" s="16"/>
      <c r="N36" s="16"/>
      <c r="O36" s="18">
        <f>ROUND(+L36,0)</f>
        <v>2609</v>
      </c>
      <c r="P36" s="16"/>
      <c r="Q36" s="19"/>
      <c r="R36" s="23">
        <v>0</v>
      </c>
      <c r="S36" s="10">
        <f>+R36-O36</f>
        <v>-2609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6522</v>
      </c>
      <c r="O37" s="10">
        <f>ROUND(+L37,0)</f>
        <v>6522</v>
      </c>
      <c r="Q37" s="13"/>
      <c r="R37" s="10">
        <f>SUM(R33:R36)</f>
        <v>3913</v>
      </c>
      <c r="S37" s="10">
        <f>+R37-Q33</f>
        <v>70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1310</v>
      </c>
      <c r="L39" s="14">
        <f>ROUND(+K39*H39,0)</f>
        <v>786</v>
      </c>
      <c r="M39" s="14"/>
      <c r="N39" s="25">
        <f>ROUND(+K39,0)</f>
        <v>1310</v>
      </c>
      <c r="O39" s="14">
        <f>ROUND(+L39,0)</f>
        <v>786</v>
      </c>
      <c r="P39" s="14"/>
      <c r="Q39" s="24">
        <v>1085</v>
      </c>
      <c r="R39" s="14">
        <f>ROUND(+O39,0)</f>
        <v>786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524</v>
      </c>
      <c r="M40" s="16"/>
      <c r="N40" s="16"/>
      <c r="O40" s="18">
        <f>ROUND(+L40,0)</f>
        <v>524</v>
      </c>
      <c r="P40" s="16"/>
      <c r="Q40" s="19"/>
      <c r="R40" s="23">
        <f>ROUND(+Q39-N39+O40,0)</f>
        <v>299</v>
      </c>
      <c r="S40" s="10">
        <f>+R40-O40</f>
        <v>-225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1310</v>
      </c>
      <c r="O41" s="10">
        <f>ROUND(+L41,0)</f>
        <v>1310</v>
      </c>
      <c r="Q41" s="13"/>
      <c r="R41" s="10">
        <f>SUM(R39:R40)</f>
        <v>1085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971</v>
      </c>
      <c r="L43" s="14">
        <f>ROUND(+K43*H43,0)</f>
        <v>583</v>
      </c>
      <c r="M43" s="14"/>
      <c r="N43" s="25">
        <f>ROUND(+K43,0)</f>
        <v>971</v>
      </c>
      <c r="O43" s="14">
        <f>ROUND(+L43,0)</f>
        <v>583</v>
      </c>
      <c r="P43" s="14"/>
      <c r="Q43" s="24">
        <v>478</v>
      </c>
      <c r="R43" s="14">
        <f>ROUND(+O43,0)</f>
        <v>583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388</v>
      </c>
      <c r="M44" s="16"/>
      <c r="N44" s="16"/>
      <c r="O44" s="18">
        <f>ROUND(+L44,0)</f>
        <v>388</v>
      </c>
      <c r="P44" s="16"/>
      <c r="Q44" s="19"/>
      <c r="R44" s="23">
        <v>0</v>
      </c>
      <c r="S44" s="10">
        <f>+R44-O44</f>
        <v>-388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971</v>
      </c>
      <c r="O45" s="10">
        <f>ROUND(+L45,0)</f>
        <v>971</v>
      </c>
      <c r="R45" s="10">
        <f>SUM(R43:R44)</f>
        <v>583</v>
      </c>
      <c r="S45" s="10">
        <f>+R45-Q43</f>
        <v>105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1374</v>
      </c>
      <c r="L47" s="14">
        <f>ROUND(+K47*H47,0)</f>
        <v>824</v>
      </c>
      <c r="M47" s="14"/>
      <c r="N47" s="25">
        <f>ROUND(+K47,0)</f>
        <v>1374</v>
      </c>
      <c r="O47" s="14">
        <f>ROUND(+L47,0)</f>
        <v>824</v>
      </c>
      <c r="P47" s="14"/>
      <c r="Q47" s="24">
        <v>462</v>
      </c>
      <c r="R47" s="14">
        <f>ROUND(+O47,0)</f>
        <v>824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550</v>
      </c>
      <c r="M48" s="16"/>
      <c r="N48" s="16"/>
      <c r="O48" s="18">
        <f>ROUND(+L48,0)</f>
        <v>550</v>
      </c>
      <c r="P48" s="16"/>
      <c r="Q48" s="19"/>
      <c r="R48" s="23">
        <v>0</v>
      </c>
      <c r="S48" s="10">
        <f>+R48-O48</f>
        <v>-550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1374</v>
      </c>
      <c r="O49" s="10">
        <f>ROUND(+L49,0)</f>
        <v>1374</v>
      </c>
      <c r="Q49" s="13"/>
      <c r="R49" s="10">
        <f>SUM(R47:R48)</f>
        <v>824</v>
      </c>
      <c r="S49" s="10">
        <f>+R49-Q47</f>
        <v>362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667</v>
      </c>
      <c r="L51" s="36">
        <f>ROUND(+K51*H51,0)</f>
        <v>400</v>
      </c>
      <c r="M51" s="36"/>
      <c r="N51" s="25">
        <f>ROUND(+K51,0)</f>
        <v>667</v>
      </c>
      <c r="O51" s="36">
        <f>ROUND(+L51,0)</f>
        <v>400</v>
      </c>
      <c r="P51" s="36"/>
      <c r="Q51" s="24">
        <v>186</v>
      </c>
      <c r="R51" s="36">
        <f>ROUND(+O51,0)</f>
        <v>400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267</v>
      </c>
      <c r="M52" s="37"/>
      <c r="N52" s="37"/>
      <c r="O52" s="39">
        <f>ROUND(+L52,0)</f>
        <v>267</v>
      </c>
      <c r="P52" s="37"/>
      <c r="Q52" s="38"/>
      <c r="R52" s="23">
        <v>0</v>
      </c>
      <c r="S52" s="35">
        <f>+R52-O52</f>
        <v>-267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667</v>
      </c>
      <c r="M53" s="40"/>
      <c r="N53" s="35"/>
      <c r="O53" s="35">
        <f>ROUND(+L53,0)</f>
        <v>667</v>
      </c>
      <c r="P53" s="40"/>
      <c r="Q53" s="41"/>
      <c r="R53" s="35">
        <f>SUM(R51:R52)</f>
        <v>400</v>
      </c>
      <c r="S53" s="35">
        <f>+R53-Q51</f>
        <v>214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17</v>
      </c>
      <c r="L55" s="36">
        <v>6</v>
      </c>
      <c r="M55" s="36"/>
      <c r="N55" s="25">
        <f>ROUND(+K55,0)</f>
        <v>17</v>
      </c>
      <c r="O55" s="36">
        <f>ROUND(+L55,0)</f>
        <v>6</v>
      </c>
      <c r="P55" s="36"/>
      <c r="Q55" s="24">
        <v>13</v>
      </c>
      <c r="R55" s="36">
        <f>ROUND(+O55,0)</f>
        <v>6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v>11</v>
      </c>
      <c r="M56" s="37"/>
      <c r="N56" s="37"/>
      <c r="O56" s="39">
        <f>ROUND(+L56,0)</f>
        <v>11</v>
      </c>
      <c r="P56" s="37"/>
      <c r="Q56" s="37"/>
      <c r="R56" s="23">
        <f>ROUND(+Q55-N55+O56,0)</f>
        <v>7</v>
      </c>
      <c r="S56" s="35">
        <f>+R56-O56</f>
        <v>-4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17</v>
      </c>
      <c r="M57" s="35"/>
      <c r="N57" s="35"/>
      <c r="O57" s="35">
        <f>ROUND(+L57,0)</f>
        <v>17</v>
      </c>
      <c r="P57" s="35"/>
      <c r="Q57" s="35"/>
      <c r="R57" s="35">
        <f>SUM(R55:R56)</f>
        <v>13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31386</v>
      </c>
      <c r="L59" s="28">
        <f>SUM(L8+L13+L17+L23+L27+L31+L37+L41+L45+L49+L53+L57)</f>
        <v>31386</v>
      </c>
      <c r="N59" s="10">
        <f>SUM(N6:N57)</f>
        <v>31386</v>
      </c>
      <c r="O59" s="28">
        <f>SUM(O8+O13+O17+O23+O27+O31+O37+O41+O45+O49+O53+O57)</f>
        <v>31386</v>
      </c>
      <c r="Q59" s="10">
        <f>SUM(Q6:Q57)</f>
        <v>23560</v>
      </c>
      <c r="R59" s="28">
        <f>SUM(R8+R13+R17+R23+R27+R31+R37+R41+R45+R49+R53+R57)</f>
        <v>24311</v>
      </c>
      <c r="S59" s="29">
        <f>S8+S13+S17+S23+S27+S31+S37+S41+S45+S49+S53+S57</f>
        <v>751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60</v>
      </c>
      <c r="O62" s="10">
        <f>SUMIF($I$6:$I$56,"22STOW",$O$6:$O$56)</f>
        <v>60</v>
      </c>
      <c r="R62" s="10">
        <f>SUMIF($I$6:$I$56,"22STOW",$R$6:$R$56)</f>
        <v>14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2695</v>
      </c>
      <c r="O63" s="10">
        <f>SUMIF($I$6:$I$56,"23nSTOW",$O$6:$O$56)</f>
        <v>2695</v>
      </c>
      <c r="R63" s="10">
        <f>SUMIF($I$6:$I$56,"23nSTOW",$R$6:$R$56)</f>
        <v>1739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9526</v>
      </c>
      <c r="O64" s="10">
        <f>SUMIF($I$6:$I$56,"23STOW",$O$6:$O$56)</f>
        <v>9526</v>
      </c>
      <c r="R64" s="10">
        <f>SUMIF($I$6:$I$56,"23STOW",$R$6:$R$56)</f>
        <v>3724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278</v>
      </c>
      <c r="O65" s="10">
        <f>SUMIF($I$6:$I$56,"24STOW",$O$6:$O$56)</f>
        <v>278</v>
      </c>
      <c r="R65" s="10">
        <f>SUMIF($I$6:$I$56,"24STOW",$R$6:$R$56)</f>
        <v>7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12839.412775006134</v>
      </c>
      <c r="L67" s="10">
        <f>SUM(L62:L65)</f>
        <v>12559</v>
      </c>
      <c r="N67" s="10">
        <f>+O67/0.97816</f>
        <v>12839.412775006134</v>
      </c>
      <c r="O67" s="10">
        <f>SUM(O62:O65)</f>
        <v>12559</v>
      </c>
      <c r="Q67" s="10">
        <f>+R67/0.97816</f>
        <v>5606.4447534145738</v>
      </c>
      <c r="R67" s="10">
        <f>SUM(R62:R65)</f>
        <v>5484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31386</v>
      </c>
      <c r="O72" s="10">
        <f>SUMIF($A$6:$A$58,"67693",$O$6:$O$58)</f>
        <v>31386</v>
      </c>
      <c r="R72" s="10">
        <f>SUMIF($A$6:$A$58,"67693",$R$6:$R$58)</f>
        <v>24311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0</v>
      </c>
      <c r="O74" s="10">
        <f>SUMIF($A$6:$A$53,"40998",$O$6:$O$53)</f>
        <v>0</v>
      </c>
      <c r="R74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U76"/>
  <sheetViews>
    <sheetView topLeftCell="D13" workbookViewId="0">
      <selection activeCell="Q61" sqref="Q6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761</v>
      </c>
      <c r="L6" s="14">
        <v>380</v>
      </c>
      <c r="M6" s="14"/>
      <c r="N6" s="25">
        <f>ROUND(+K6,0)</f>
        <v>761</v>
      </c>
      <c r="O6" s="14">
        <f>ROUND(+L6,0)</f>
        <v>380</v>
      </c>
      <c r="P6" s="14"/>
      <c r="Q6" s="24">
        <v>1089</v>
      </c>
      <c r="R6" s="14">
        <f>+O6</f>
        <v>380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381</v>
      </c>
      <c r="M7" s="16"/>
      <c r="N7" s="16"/>
      <c r="O7" s="18">
        <f>ROUND(+L7,0)</f>
        <v>381</v>
      </c>
      <c r="P7" s="14"/>
      <c r="R7" s="23">
        <f>ROUND(+Q6-N6+O7,0)</f>
        <v>709</v>
      </c>
      <c r="S7" s="10">
        <f>+R7-O7</f>
        <v>328</v>
      </c>
      <c r="T7" t="s">
        <v>47</v>
      </c>
    </row>
    <row r="8" spans="1:20" x14ac:dyDescent="0.2">
      <c r="J8" s="10">
        <f>SUM(J6:J7)</f>
        <v>492</v>
      </c>
      <c r="L8" s="10">
        <f>SUM(L6:L7)</f>
        <v>761</v>
      </c>
      <c r="O8" s="10">
        <f>ROUND(+L8,0)</f>
        <v>761</v>
      </c>
      <c r="R8" s="10">
        <f>SUM(R6:R7)</f>
        <v>1089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7429</v>
      </c>
      <c r="L10" s="14">
        <v>3714</v>
      </c>
      <c r="M10" s="14"/>
      <c r="N10" s="25">
        <f>ROUND(+K10,0)</f>
        <v>7429</v>
      </c>
      <c r="O10" s="14">
        <f>ROUND(+L10,0)</f>
        <v>3714</v>
      </c>
      <c r="P10" s="14"/>
      <c r="Q10" s="24">
        <v>7770</v>
      </c>
      <c r="R10" s="14">
        <f>ROUND(+O10,0)</f>
        <v>3714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3715</v>
      </c>
      <c r="M12" s="16"/>
      <c r="N12" s="16"/>
      <c r="O12" s="18">
        <f>ROUND(+L12,0)</f>
        <v>3715</v>
      </c>
      <c r="P12" s="16"/>
      <c r="Q12" s="19"/>
      <c r="R12" s="23">
        <f>ROUND(+Q10-N10+O12,0)</f>
        <v>4056</v>
      </c>
      <c r="S12" s="10">
        <f>+R12-O12</f>
        <v>341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7770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3128</v>
      </c>
      <c r="L15" s="14">
        <f>ROUND(+K15*H15,0)</f>
        <v>1564</v>
      </c>
      <c r="M15" s="14"/>
      <c r="N15" s="25">
        <f>ROUND(+K15,0)</f>
        <v>3128</v>
      </c>
      <c r="O15" s="14">
        <f>ROUND(+L15,0)</f>
        <v>1564</v>
      </c>
      <c r="P15" s="14"/>
      <c r="Q15" s="24">
        <v>3265</v>
      </c>
      <c r="R15" s="14">
        <f>ROUND(+O15,0)</f>
        <v>1564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1564</v>
      </c>
      <c r="M16" s="16"/>
      <c r="N16" s="16"/>
      <c r="O16" s="18">
        <f>ROUND(+L16,0)</f>
        <v>1564</v>
      </c>
      <c r="P16" s="16"/>
      <c r="Q16" s="19"/>
      <c r="R16" s="23">
        <f>ROUND(+Q15-N15+O16,0)</f>
        <v>1701</v>
      </c>
      <c r="S16" s="10">
        <f>+R16-O16</f>
        <v>137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3128</v>
      </c>
      <c r="O17" s="10">
        <f>ROUND(+L17,0)</f>
        <v>3128</v>
      </c>
      <c r="Q17" s="13"/>
      <c r="R17" s="10">
        <f>SUM(R15:R16)</f>
        <v>3265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16558</v>
      </c>
      <c r="L19" s="14">
        <f>ROUND(+K19*H19,0)-5000</f>
        <v>3279</v>
      </c>
      <c r="M19" s="14"/>
      <c r="N19" s="25">
        <f>ROUND(+K19,0)</f>
        <v>16558</v>
      </c>
      <c r="O19" s="14">
        <f>ROUND(+L19,0)</f>
        <v>3279</v>
      </c>
      <c r="P19" s="14"/>
      <c r="Q19" s="24">
        <v>17244</v>
      </c>
      <c r="R19" s="14">
        <f>ROUND(+O19,0)</f>
        <v>3279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/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ht="13.5" thickBot="1" x14ac:dyDescent="0.25">
      <c r="A23">
        <v>67693</v>
      </c>
      <c r="B23" s="1">
        <v>16</v>
      </c>
      <c r="H23" s="8">
        <f>+$B$2</f>
        <v>0.5</v>
      </c>
      <c r="I23" s="1" t="s">
        <v>51</v>
      </c>
      <c r="J23" s="16">
        <f>ROUND(+G19*H23,0)</f>
        <v>5955</v>
      </c>
      <c r="K23" s="19"/>
      <c r="L23" s="16">
        <f>ROUND(+K19*H23,0)</f>
        <v>8279</v>
      </c>
      <c r="M23" s="16"/>
      <c r="N23" s="16"/>
      <c r="O23" s="18">
        <f>ROUND(+L23,0)</f>
        <v>8279</v>
      </c>
      <c r="P23" s="16"/>
      <c r="Q23" s="19"/>
      <c r="R23" s="23">
        <f>ROUND(+Q19-N19+O23,0)</f>
        <v>8965</v>
      </c>
      <c r="S23" s="10">
        <f>+R23-O23</f>
        <v>686</v>
      </c>
      <c r="T23" t="s">
        <v>47</v>
      </c>
    </row>
    <row r="24" spans="1:20" x14ac:dyDescent="0.2">
      <c r="J24" s="14">
        <f>SUM(J19:J23)</f>
        <v>11910</v>
      </c>
      <c r="K24" s="13"/>
      <c r="L24" s="10">
        <f>SUM(L19:L23)</f>
        <v>16558</v>
      </c>
      <c r="M24" s="14"/>
      <c r="O24" s="10">
        <f>ROUND(+L24,0)</f>
        <v>16558</v>
      </c>
      <c r="P24" s="14"/>
      <c r="Q24" s="13"/>
      <c r="R24" s="10">
        <f>SUM(R19:R23)</f>
        <v>17244</v>
      </c>
      <c r="S24" s="10">
        <f>+R24-Q19</f>
        <v>0</v>
      </c>
      <c r="T24" t="s">
        <v>46</v>
      </c>
    </row>
    <row r="26" spans="1:20" x14ac:dyDescent="0.2">
      <c r="A26">
        <v>67693</v>
      </c>
      <c r="B26" s="1">
        <v>4</v>
      </c>
      <c r="C26" t="s">
        <v>12</v>
      </c>
      <c r="D26" t="s">
        <v>38</v>
      </c>
      <c r="E26" s="1" t="s">
        <v>23</v>
      </c>
      <c r="F26" s="48">
        <v>2273</v>
      </c>
      <c r="G26">
        <v>1789</v>
      </c>
      <c r="H26" s="8">
        <f>+$B$1</f>
        <v>0.5</v>
      </c>
      <c r="I26" s="1">
        <v>36907</v>
      </c>
      <c r="J26" s="10">
        <f>ROUND(+G26*H26,0)</f>
        <v>895</v>
      </c>
      <c r="K26" s="22">
        <v>2400</v>
      </c>
      <c r="L26" s="14">
        <f>ROUND(+K26*H26,0)</f>
        <v>1200</v>
      </c>
      <c r="M26" s="14"/>
      <c r="N26" s="25">
        <f>ROUND(+K26,0)</f>
        <v>2400</v>
      </c>
      <c r="O26" s="14">
        <f>ROUND(+L26,0)</f>
        <v>1200</v>
      </c>
      <c r="P26" s="14"/>
      <c r="Q26" s="24">
        <v>2609</v>
      </c>
      <c r="R26" s="14">
        <f>ROUND(+O26,0)</f>
        <v>1200</v>
      </c>
    </row>
    <row r="27" spans="1:20" ht="13.5" thickBot="1" x14ac:dyDescent="0.25">
      <c r="A27">
        <v>67693</v>
      </c>
      <c r="B27" s="1">
        <v>17</v>
      </c>
      <c r="H27" s="8">
        <f>+$B$2</f>
        <v>0.5</v>
      </c>
      <c r="I27" s="1" t="s">
        <v>51</v>
      </c>
      <c r="J27" s="16">
        <f>ROUND(+G26*H27,0)</f>
        <v>895</v>
      </c>
      <c r="K27" s="19"/>
      <c r="L27" s="18">
        <f>ROUND(+K26*H27,0)</f>
        <v>1200</v>
      </c>
      <c r="M27" s="18"/>
      <c r="N27" s="16"/>
      <c r="O27" s="18">
        <f>ROUND(+L27,0)</f>
        <v>1200</v>
      </c>
      <c r="P27" s="18"/>
      <c r="Q27" s="19"/>
      <c r="R27" s="23">
        <f>ROUND(+Q26-N26+O27,0)</f>
        <v>1409</v>
      </c>
      <c r="S27" s="10">
        <f>+R27-O27</f>
        <v>209</v>
      </c>
      <c r="T27" t="s">
        <v>47</v>
      </c>
    </row>
    <row r="28" spans="1:20" x14ac:dyDescent="0.2">
      <c r="J28" s="10">
        <f>SUM(J26:J27)</f>
        <v>1790</v>
      </c>
      <c r="K28" s="13"/>
      <c r="L28" s="10">
        <f>SUM(L26:L27)</f>
        <v>2400</v>
      </c>
      <c r="O28" s="10">
        <f>ROUND(+L28,0)</f>
        <v>2400</v>
      </c>
      <c r="Q28" s="13"/>
      <c r="R28" s="10">
        <f>SUM(R26:R27)</f>
        <v>2609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5</v>
      </c>
      <c r="C30" t="s">
        <v>13</v>
      </c>
      <c r="D30" t="s">
        <v>39</v>
      </c>
      <c r="E30" s="1" t="s">
        <v>24</v>
      </c>
      <c r="F30" s="48">
        <v>1763</v>
      </c>
      <c r="G30">
        <v>1425</v>
      </c>
      <c r="H30" s="8">
        <f>+$B$1</f>
        <v>0.5</v>
      </c>
      <c r="I30" s="1">
        <v>36907</v>
      </c>
      <c r="J30" s="10">
        <f>ROUND(+G30*H30,0)</f>
        <v>713</v>
      </c>
      <c r="K30" s="22">
        <v>1651</v>
      </c>
      <c r="L30" s="14">
        <v>825</v>
      </c>
      <c r="M30" s="14"/>
      <c r="N30" s="25">
        <f>ROUND(+K30,0)</f>
        <v>1651</v>
      </c>
      <c r="O30" s="14">
        <f>ROUND(+L30,0)</f>
        <v>825</v>
      </c>
      <c r="P30" s="14"/>
      <c r="Q30" s="24">
        <v>1974</v>
      </c>
      <c r="R30" s="14">
        <f>ROUND(+O30,0)</f>
        <v>825</v>
      </c>
    </row>
    <row r="31" spans="1:20" ht="13.5" thickBot="1" x14ac:dyDescent="0.25">
      <c r="A31">
        <v>67693</v>
      </c>
      <c r="B31" s="1">
        <v>18</v>
      </c>
      <c r="H31" s="8">
        <f>+$B$2</f>
        <v>0.5</v>
      </c>
      <c r="I31" s="1" t="s">
        <v>51</v>
      </c>
      <c r="J31" s="16">
        <f>ROUND(+G30*H31,0)</f>
        <v>713</v>
      </c>
      <c r="K31" s="19"/>
      <c r="L31" s="16">
        <f>ROUND(+K30*H31,0)</f>
        <v>826</v>
      </c>
      <c r="M31" s="16"/>
      <c r="N31" s="16"/>
      <c r="O31" s="18">
        <f>ROUND(+L31,0)</f>
        <v>826</v>
      </c>
      <c r="P31" s="16"/>
      <c r="Q31" s="19"/>
      <c r="R31" s="23">
        <f>ROUND(+Q30-N30+O31,0)</f>
        <v>1149</v>
      </c>
      <c r="S31" s="10">
        <f>+R31-O31</f>
        <v>323</v>
      </c>
      <c r="T31" t="s">
        <v>47</v>
      </c>
    </row>
    <row r="32" spans="1:20" x14ac:dyDescent="0.2">
      <c r="J32" s="10">
        <f>SUM(J30:J31)</f>
        <v>1426</v>
      </c>
      <c r="K32" s="13"/>
      <c r="L32" s="10">
        <f>SUM(L30:L31)</f>
        <v>1651</v>
      </c>
      <c r="O32" s="10">
        <f>ROUND(+L32,0)</f>
        <v>1651</v>
      </c>
      <c r="Q32" s="13"/>
      <c r="R32" s="10">
        <f>SUM(R30:R31)</f>
        <v>1974</v>
      </c>
      <c r="S32" s="10">
        <f>+R32-Q30</f>
        <v>0</v>
      </c>
      <c r="T32" t="s">
        <v>46</v>
      </c>
    </row>
    <row r="34" spans="1:20" x14ac:dyDescent="0.2">
      <c r="A34">
        <v>67693</v>
      </c>
      <c r="B34" s="1">
        <v>6</v>
      </c>
      <c r="C34" t="s">
        <v>14</v>
      </c>
      <c r="D34" t="s">
        <v>40</v>
      </c>
      <c r="E34" s="1" t="s">
        <v>25</v>
      </c>
      <c r="F34" s="48">
        <v>14119</v>
      </c>
      <c r="G34" s="6">
        <v>11359</v>
      </c>
      <c r="H34" s="8">
        <f>+$B$1</f>
        <v>0.5</v>
      </c>
      <c r="I34" s="1">
        <v>36907</v>
      </c>
      <c r="J34" s="10">
        <f>ROUND(+G34*H34,0)</f>
        <v>5680</v>
      </c>
      <c r="K34" s="22">
        <v>13220</v>
      </c>
      <c r="L34" s="14">
        <f>ROUND(+K34*H34,0)-3527</f>
        <v>3083</v>
      </c>
      <c r="M34" s="14"/>
      <c r="N34" s="25">
        <f>ROUND(+K34,0)</f>
        <v>13220</v>
      </c>
      <c r="O34" s="14">
        <f>ROUND(+L34,0)</f>
        <v>3083</v>
      </c>
      <c r="P34" s="14"/>
      <c r="Q34" s="24">
        <v>16569</v>
      </c>
      <c r="R34" s="14">
        <f>ROUND(+O34,0)</f>
        <v>3083</v>
      </c>
    </row>
    <row r="35" spans="1:20" s="60" customFormat="1" x14ac:dyDescent="0.2">
      <c r="A35" s="60">
        <v>40998</v>
      </c>
      <c r="B35" s="61">
        <v>91</v>
      </c>
      <c r="E35" s="61"/>
      <c r="F35" s="62"/>
      <c r="G35" s="63"/>
      <c r="H35" s="64"/>
      <c r="I35" s="61"/>
      <c r="J35" s="65">
        <v>0</v>
      </c>
      <c r="K35" s="24"/>
      <c r="L35" s="66">
        <v>0</v>
      </c>
      <c r="M35" s="24"/>
      <c r="N35" s="24"/>
      <c r="O35" s="66">
        <f>L35</f>
        <v>0</v>
      </c>
      <c r="P35" s="24"/>
      <c r="Q35" s="24"/>
      <c r="R35" s="66">
        <f>L35</f>
        <v>0</v>
      </c>
    </row>
    <row r="36" spans="1:20" s="60" customFormat="1" x14ac:dyDescent="0.2">
      <c r="A36" s="60">
        <v>66931</v>
      </c>
      <c r="B36" s="67" t="s">
        <v>86</v>
      </c>
      <c r="E36" s="61"/>
      <c r="F36" s="62"/>
      <c r="G36" s="63"/>
      <c r="H36" s="64"/>
      <c r="I36" s="61"/>
      <c r="J36" s="65">
        <v>0</v>
      </c>
      <c r="K36" s="24"/>
      <c r="L36" s="66">
        <v>0</v>
      </c>
      <c r="M36" s="24"/>
      <c r="N36" s="24"/>
      <c r="O36" s="66">
        <f>L36</f>
        <v>0</v>
      </c>
      <c r="P36" s="24"/>
      <c r="Q36" s="24"/>
      <c r="R36" s="66">
        <f>L36</f>
        <v>0</v>
      </c>
    </row>
    <row r="37" spans="1:20" s="60" customFormat="1" x14ac:dyDescent="0.2">
      <c r="A37" s="60">
        <v>67829</v>
      </c>
      <c r="B37" s="87" t="s">
        <v>113</v>
      </c>
      <c r="C37" s="60" t="s">
        <v>114</v>
      </c>
      <c r="E37" s="61"/>
      <c r="F37" s="62"/>
      <c r="G37" s="63"/>
      <c r="H37" s="64"/>
      <c r="I37" s="61"/>
      <c r="J37" s="65">
        <v>0</v>
      </c>
      <c r="K37" s="24"/>
      <c r="L37" s="66">
        <v>3527</v>
      </c>
      <c r="M37" s="24"/>
      <c r="N37" s="24"/>
      <c r="O37" s="66">
        <f>L37</f>
        <v>3527</v>
      </c>
      <c r="P37" s="24"/>
      <c r="Q37" s="24"/>
      <c r="R37" s="66">
        <f>L37</f>
        <v>3527</v>
      </c>
    </row>
    <row r="38" spans="1:20" ht="13.5" thickBot="1" x14ac:dyDescent="0.25">
      <c r="A38">
        <v>67693</v>
      </c>
      <c r="B38" s="1">
        <v>19</v>
      </c>
      <c r="H38" s="8">
        <f>+$B$2</f>
        <v>0.5</v>
      </c>
      <c r="I38" s="1" t="s">
        <v>51</v>
      </c>
      <c r="J38" s="16">
        <f>ROUND(+G34*H38,0)</f>
        <v>5680</v>
      </c>
      <c r="K38" s="19"/>
      <c r="L38" s="16">
        <f>ROUND(+K34*H38,0)</f>
        <v>6610</v>
      </c>
      <c r="M38" s="16"/>
      <c r="N38" s="16"/>
      <c r="O38" s="18">
        <f>ROUND(+L38,0)</f>
        <v>6610</v>
      </c>
      <c r="P38" s="16"/>
      <c r="Q38" s="19"/>
      <c r="R38" s="23">
        <f>ROUND(+Q34-N34+O38,0)</f>
        <v>9959</v>
      </c>
      <c r="S38" s="10">
        <f>+R38-O38</f>
        <v>3349</v>
      </c>
      <c r="T38" t="s">
        <v>47</v>
      </c>
    </row>
    <row r="39" spans="1:20" x14ac:dyDescent="0.2">
      <c r="J39" s="10">
        <f>SUM(J34:J38)</f>
        <v>11360</v>
      </c>
      <c r="K39" s="13"/>
      <c r="L39" s="10">
        <f>SUM(L34:L38)</f>
        <v>13220</v>
      </c>
      <c r="O39" s="10">
        <f>ROUND(+L39,0)</f>
        <v>13220</v>
      </c>
      <c r="Q39" s="13"/>
      <c r="R39" s="10">
        <f>SUM(R34:R38)</f>
        <v>16569</v>
      </c>
      <c r="S39" s="10">
        <f>+R39-Q34</f>
        <v>0</v>
      </c>
      <c r="T39" t="s">
        <v>46</v>
      </c>
    </row>
    <row r="41" spans="1:20" ht="12" customHeight="1" x14ac:dyDescent="0.2">
      <c r="A41">
        <v>67693</v>
      </c>
      <c r="B41" s="1">
        <v>7</v>
      </c>
      <c r="C41" t="s">
        <v>15</v>
      </c>
      <c r="D41" t="s">
        <v>41</v>
      </c>
      <c r="E41" s="1" t="s">
        <v>26</v>
      </c>
      <c r="F41" s="48">
        <v>2405</v>
      </c>
      <c r="G41">
        <v>1891</v>
      </c>
      <c r="H41" s="8">
        <f>+$B$1</f>
        <v>0.5</v>
      </c>
      <c r="I41" s="1">
        <v>36907</v>
      </c>
      <c r="J41" s="10">
        <f>ROUND(+G41*H41,0)</f>
        <v>946</v>
      </c>
      <c r="K41" s="22">
        <v>2437</v>
      </c>
      <c r="L41" s="14">
        <v>1218</v>
      </c>
      <c r="M41" s="14"/>
      <c r="N41" s="25">
        <f>ROUND(+K41,0)</f>
        <v>2437</v>
      </c>
      <c r="O41" s="14">
        <f>ROUND(+L41,0)</f>
        <v>1218</v>
      </c>
      <c r="P41" s="14"/>
      <c r="Q41" s="24">
        <v>3002</v>
      </c>
      <c r="R41" s="14">
        <f>ROUND(+O41,0)</f>
        <v>1218</v>
      </c>
    </row>
    <row r="42" spans="1:20" ht="12" customHeight="1" thickBot="1" x14ac:dyDescent="0.25">
      <c r="A42">
        <v>67693</v>
      </c>
      <c r="B42" s="1">
        <v>20</v>
      </c>
      <c r="H42" s="8">
        <f>+$B$2</f>
        <v>0.5</v>
      </c>
      <c r="I42" s="1" t="s">
        <v>51</v>
      </c>
      <c r="J42" s="16">
        <f>ROUND(+G41*H42,0)</f>
        <v>946</v>
      </c>
      <c r="K42" s="19"/>
      <c r="L42" s="16">
        <f>ROUND(+K41*H42,0)</f>
        <v>1219</v>
      </c>
      <c r="M42" s="16"/>
      <c r="N42" s="16"/>
      <c r="O42" s="18">
        <f>ROUND(+L42,0)</f>
        <v>1219</v>
      </c>
      <c r="P42" s="16"/>
      <c r="Q42" s="19"/>
      <c r="R42" s="23">
        <f>ROUND(+Q41-N41+O42,0)</f>
        <v>1784</v>
      </c>
      <c r="S42" s="10">
        <f>+R42-O42</f>
        <v>565</v>
      </c>
      <c r="T42" t="s">
        <v>47</v>
      </c>
    </row>
    <row r="43" spans="1:20" ht="12" customHeight="1" x14ac:dyDescent="0.2">
      <c r="J43" s="10">
        <f>SUM(J41:J42)</f>
        <v>1892</v>
      </c>
      <c r="K43" s="13"/>
      <c r="L43" s="10">
        <f>SUM(L41:L42)</f>
        <v>2437</v>
      </c>
      <c r="O43" s="10">
        <f>ROUND(+L43,0)</f>
        <v>2437</v>
      </c>
      <c r="Q43" s="13"/>
      <c r="R43" s="10">
        <f>SUM(R41:R42)</f>
        <v>3002</v>
      </c>
      <c r="S43" s="10">
        <f>+R43-Q41</f>
        <v>0</v>
      </c>
      <c r="T43" t="s">
        <v>46</v>
      </c>
    </row>
    <row r="44" spans="1:20" ht="12" customHeight="1" x14ac:dyDescent="0.2"/>
    <row r="45" spans="1:20" x14ac:dyDescent="0.2">
      <c r="A45">
        <v>67693</v>
      </c>
      <c r="B45" s="1">
        <v>8</v>
      </c>
      <c r="C45" t="s">
        <v>16</v>
      </c>
      <c r="D45" t="s">
        <v>42</v>
      </c>
      <c r="E45" s="1" t="s">
        <v>27</v>
      </c>
      <c r="F45" s="48">
        <v>2573</v>
      </c>
      <c r="G45">
        <v>2000</v>
      </c>
      <c r="H45" s="8">
        <f>+$B$1</f>
        <v>0.5</v>
      </c>
      <c r="I45" s="1">
        <v>36907</v>
      </c>
      <c r="J45" s="10">
        <f>ROUND(+G45*H45,0)</f>
        <v>1000</v>
      </c>
      <c r="K45" s="22">
        <v>2327</v>
      </c>
      <c r="L45" s="14">
        <v>1163</v>
      </c>
      <c r="M45" s="14"/>
      <c r="N45" s="25">
        <f>ROUND(+K45,0)</f>
        <v>2327</v>
      </c>
      <c r="O45" s="14">
        <f>ROUND(+L45,0)</f>
        <v>1163</v>
      </c>
      <c r="P45" s="14"/>
      <c r="Q45" s="24">
        <v>2943</v>
      </c>
      <c r="R45" s="14">
        <f>ROUND(+O45,0)</f>
        <v>1163</v>
      </c>
    </row>
    <row r="46" spans="1:20" ht="13.5" thickBot="1" x14ac:dyDescent="0.25">
      <c r="A46">
        <v>67693</v>
      </c>
      <c r="B46" s="1">
        <v>21</v>
      </c>
      <c r="H46" s="8">
        <f>+$B$2</f>
        <v>0.5</v>
      </c>
      <c r="I46" s="1" t="s">
        <v>51</v>
      </c>
      <c r="J46" s="16">
        <f>ROUND(+G45*H46,0)</f>
        <v>1000</v>
      </c>
      <c r="K46" s="19"/>
      <c r="L46" s="16">
        <f>ROUND(+K45*H46,0)</f>
        <v>1164</v>
      </c>
      <c r="M46" s="16"/>
      <c r="N46" s="16"/>
      <c r="O46" s="18">
        <f>ROUND(+L46,0)</f>
        <v>1164</v>
      </c>
      <c r="P46" s="16"/>
      <c r="Q46" s="19"/>
      <c r="R46" s="23">
        <f>ROUND(+Q45-N45+O46,0)</f>
        <v>1780</v>
      </c>
      <c r="S46" s="10">
        <f>+R46-O46</f>
        <v>616</v>
      </c>
      <c r="T46" t="s">
        <v>47</v>
      </c>
    </row>
    <row r="47" spans="1:20" x14ac:dyDescent="0.2">
      <c r="J47" s="10">
        <f>SUM(J45:J46)</f>
        <v>2000</v>
      </c>
      <c r="L47" s="10">
        <f>SUM(L45:L46)</f>
        <v>2327</v>
      </c>
      <c r="O47" s="10">
        <f>ROUND(+L47,0)</f>
        <v>2327</v>
      </c>
      <c r="R47" s="10">
        <f>SUM(R45:R46)</f>
        <v>2943</v>
      </c>
      <c r="S47" s="10">
        <f>+R47-Q45</f>
        <v>0</v>
      </c>
      <c r="T47" t="s">
        <v>46</v>
      </c>
    </row>
    <row r="49" spans="1:21" x14ac:dyDescent="0.2">
      <c r="A49">
        <v>67693</v>
      </c>
      <c r="B49" s="1">
        <v>9</v>
      </c>
      <c r="C49" t="s">
        <v>17</v>
      </c>
      <c r="D49" t="s">
        <v>43</v>
      </c>
      <c r="E49" s="1" t="s">
        <v>28</v>
      </c>
      <c r="F49" s="48">
        <v>3128</v>
      </c>
      <c r="G49">
        <v>2470</v>
      </c>
      <c r="H49" s="8">
        <f>+$B$1</f>
        <v>0.5</v>
      </c>
      <c r="I49" s="1">
        <v>36907</v>
      </c>
      <c r="J49" s="54">
        <v>1358</v>
      </c>
      <c r="K49" s="22">
        <v>2741</v>
      </c>
      <c r="L49" s="14">
        <v>1370</v>
      </c>
      <c r="M49" s="14"/>
      <c r="N49" s="25">
        <f>ROUND(+K49,0)</f>
        <v>2741</v>
      </c>
      <c r="O49" s="14">
        <f>ROUND(+L49,0)</f>
        <v>1370</v>
      </c>
      <c r="P49" s="14"/>
      <c r="Q49" s="24">
        <v>3501</v>
      </c>
      <c r="R49" s="14">
        <f>ROUND(+O49,0)</f>
        <v>1370</v>
      </c>
    </row>
    <row r="50" spans="1:21" ht="13.5" thickBot="1" x14ac:dyDescent="0.25">
      <c r="A50">
        <v>67693</v>
      </c>
      <c r="B50" s="1">
        <v>22</v>
      </c>
      <c r="H50" s="8">
        <f>+$B$2</f>
        <v>0.5</v>
      </c>
      <c r="I50" s="1" t="s">
        <v>51</v>
      </c>
      <c r="J50" s="16">
        <f>ROUND(+G49*H50,0)</f>
        <v>1235</v>
      </c>
      <c r="K50" s="19"/>
      <c r="L50" s="16">
        <f>ROUND(+K49*H50,0)</f>
        <v>1371</v>
      </c>
      <c r="M50" s="16"/>
      <c r="N50" s="16"/>
      <c r="O50" s="18">
        <f>ROUND(+L50,0)</f>
        <v>1371</v>
      </c>
      <c r="P50" s="16"/>
      <c r="Q50" s="19"/>
      <c r="R50" s="23">
        <f>ROUND(+Q49-N49+O50,0)</f>
        <v>2131</v>
      </c>
      <c r="S50" s="10">
        <f>+R50-O50</f>
        <v>760</v>
      </c>
      <c r="T50" t="s">
        <v>47</v>
      </c>
    </row>
    <row r="51" spans="1:21" x14ac:dyDescent="0.2">
      <c r="J51" s="10">
        <f>SUM(J49:J50)</f>
        <v>2593</v>
      </c>
      <c r="K51" s="13"/>
      <c r="L51" s="10">
        <f>SUM(L49:L50)</f>
        <v>2741</v>
      </c>
      <c r="O51" s="10">
        <f>ROUND(+L51,0)</f>
        <v>2741</v>
      </c>
      <c r="Q51" s="13"/>
      <c r="R51" s="10">
        <f>SUM(R49:R50)</f>
        <v>3501</v>
      </c>
      <c r="S51" s="10">
        <f>+R51-Q49</f>
        <v>0</v>
      </c>
      <c r="T51" t="s">
        <v>46</v>
      </c>
    </row>
    <row r="53" spans="1:21" s="32" customFormat="1" x14ac:dyDescent="0.2">
      <c r="A53">
        <v>67693</v>
      </c>
      <c r="B53" s="33">
        <v>12</v>
      </c>
      <c r="C53" s="32" t="s">
        <v>18</v>
      </c>
      <c r="D53" s="32" t="s">
        <v>44</v>
      </c>
      <c r="E53" s="33" t="s">
        <v>29</v>
      </c>
      <c r="F53" s="52">
        <v>1654</v>
      </c>
      <c r="G53" s="32">
        <v>1276</v>
      </c>
      <c r="H53" s="8">
        <f>+$B$1</f>
        <v>0.5</v>
      </c>
      <c r="I53" s="33">
        <v>36907</v>
      </c>
      <c r="J53" s="10">
        <f>ROUND(+G53*H53,0)</f>
        <v>638</v>
      </c>
      <c r="K53" s="22">
        <v>1227</v>
      </c>
      <c r="L53" s="36">
        <v>613</v>
      </c>
      <c r="M53" s="36"/>
      <c r="N53" s="25">
        <f>ROUND(+K53,0)</f>
        <v>1227</v>
      </c>
      <c r="O53" s="36">
        <f>ROUND(+L53,0)</f>
        <v>613</v>
      </c>
      <c r="P53" s="36"/>
      <c r="Q53" s="24">
        <v>1627</v>
      </c>
      <c r="R53" s="36">
        <f>ROUND(+O53,0)</f>
        <v>613</v>
      </c>
    </row>
    <row r="54" spans="1:21" s="32" customFormat="1" ht="13.5" thickBot="1" x14ac:dyDescent="0.25">
      <c r="A54">
        <v>67693</v>
      </c>
      <c r="B54" s="33">
        <v>23</v>
      </c>
      <c r="E54" s="33"/>
      <c r="F54" s="52"/>
      <c r="H54" s="8">
        <f>+$B$2</f>
        <v>0.5</v>
      </c>
      <c r="I54" s="33" t="s">
        <v>52</v>
      </c>
      <c r="J54" s="37">
        <f>ROUND(+G53*H54,0)</f>
        <v>638</v>
      </c>
      <c r="K54" s="38"/>
      <c r="L54" s="37">
        <f>ROUND(+K53*H54,0)</f>
        <v>614</v>
      </c>
      <c r="M54" s="37"/>
      <c r="N54" s="37"/>
      <c r="O54" s="39">
        <f>ROUND(+L54,0)</f>
        <v>614</v>
      </c>
      <c r="P54" s="37"/>
      <c r="Q54" s="38"/>
      <c r="R54" s="23">
        <f>ROUND(+Q53-N53+O54,0)</f>
        <v>1014</v>
      </c>
      <c r="S54" s="35">
        <f>+R54-O54</f>
        <v>400</v>
      </c>
      <c r="T54" s="32" t="s">
        <v>47</v>
      </c>
    </row>
    <row r="55" spans="1:21" s="32" customFormat="1" x14ac:dyDescent="0.2">
      <c r="B55" s="33"/>
      <c r="E55" s="33"/>
      <c r="F55" s="52"/>
      <c r="H55" s="34"/>
      <c r="I55" s="33"/>
      <c r="J55" s="40">
        <f>SUM(J53:J54)</f>
        <v>1276</v>
      </c>
      <c r="K55" s="41"/>
      <c r="L55" s="40">
        <f>SUM(L53:L54)</f>
        <v>1227</v>
      </c>
      <c r="M55" s="40"/>
      <c r="N55" s="35"/>
      <c r="O55" s="35">
        <f>ROUND(+L55,0)</f>
        <v>1227</v>
      </c>
      <c r="P55" s="40"/>
      <c r="Q55" s="41"/>
      <c r="R55" s="35">
        <f>SUM(R53:R54)</f>
        <v>1627</v>
      </c>
      <c r="S55" s="35">
        <f>+R55-Q53</f>
        <v>0</v>
      </c>
      <c r="T55" s="32" t="s">
        <v>46</v>
      </c>
    </row>
    <row r="57" spans="1:21" s="32" customFormat="1" x14ac:dyDescent="0.2">
      <c r="A57">
        <v>67693</v>
      </c>
      <c r="B57" s="33">
        <v>14</v>
      </c>
      <c r="C57" s="32" t="s">
        <v>19</v>
      </c>
      <c r="D57" s="32" t="s">
        <v>45</v>
      </c>
      <c r="E57" s="33" t="s">
        <v>30</v>
      </c>
      <c r="F57" s="52">
        <v>33</v>
      </c>
      <c r="G57" s="32">
        <v>25</v>
      </c>
      <c r="H57" s="8">
        <f>+$B$1</f>
        <v>0.5</v>
      </c>
      <c r="I57" s="33">
        <v>36907</v>
      </c>
      <c r="J57" s="35">
        <f>ROUND(+G57*H57,0)</f>
        <v>13</v>
      </c>
      <c r="K57" s="22">
        <v>29</v>
      </c>
      <c r="L57" s="36">
        <v>10</v>
      </c>
      <c r="M57" s="36"/>
      <c r="N57" s="25">
        <f>ROUND(+K57,0)</f>
        <v>29</v>
      </c>
      <c r="O57" s="36">
        <f>ROUND(+L57,0)</f>
        <v>10</v>
      </c>
      <c r="P57" s="36"/>
      <c r="Q57" s="24">
        <v>36</v>
      </c>
      <c r="R57" s="36">
        <f>ROUND(+O57,0)</f>
        <v>10</v>
      </c>
    </row>
    <row r="58" spans="1:21" s="32" customFormat="1" ht="13.5" thickBot="1" x14ac:dyDescent="0.25">
      <c r="A58">
        <v>67693</v>
      </c>
      <c r="B58" s="33">
        <v>24</v>
      </c>
      <c r="E58" s="33"/>
      <c r="F58" s="52"/>
      <c r="H58" s="8">
        <f>+$B$2</f>
        <v>0.5</v>
      </c>
      <c r="I58" s="33" t="s">
        <v>52</v>
      </c>
      <c r="J58" s="37">
        <f>ROUND(+G57*H58,0)</f>
        <v>13</v>
      </c>
      <c r="K58" s="37"/>
      <c r="L58" s="37">
        <v>19</v>
      </c>
      <c r="M58" s="37"/>
      <c r="N58" s="37"/>
      <c r="O58" s="39">
        <f>ROUND(+L58,0)</f>
        <v>19</v>
      </c>
      <c r="P58" s="37"/>
      <c r="Q58" s="37"/>
      <c r="R58" s="23">
        <f>ROUND(+Q57-N57+O58,0)</f>
        <v>26</v>
      </c>
      <c r="S58" s="35">
        <f>+R58-O58</f>
        <v>7</v>
      </c>
      <c r="T58" s="32" t="s">
        <v>47</v>
      </c>
    </row>
    <row r="59" spans="1:21" s="32" customFormat="1" x14ac:dyDescent="0.2">
      <c r="B59" s="33"/>
      <c r="E59" s="33"/>
      <c r="F59" s="52"/>
      <c r="H59" s="34" t="s">
        <v>79</v>
      </c>
      <c r="I59" s="33"/>
      <c r="J59" s="35">
        <f>SUM(J57:J58)</f>
        <v>26</v>
      </c>
      <c r="K59" s="35"/>
      <c r="L59" s="35">
        <f>SUM(L57:L58)</f>
        <v>29</v>
      </c>
      <c r="M59" s="35"/>
      <c r="N59" s="35"/>
      <c r="O59" s="35">
        <f>ROUND(+L59,0)</f>
        <v>29</v>
      </c>
      <c r="P59" s="35"/>
      <c r="Q59" s="35"/>
      <c r="R59" s="35">
        <f>SUM(R57:R58)</f>
        <v>36</v>
      </c>
      <c r="S59" s="35">
        <f>+R59-Q57</f>
        <v>0</v>
      </c>
      <c r="T59" s="32" t="s">
        <v>46</v>
      </c>
    </row>
    <row r="60" spans="1:21" ht="13.5" thickBot="1" x14ac:dyDescent="0.25"/>
    <row r="61" spans="1:21" ht="13.5" thickBot="1" x14ac:dyDescent="0.25">
      <c r="E61" t="s">
        <v>32</v>
      </c>
      <c r="F61" s="50">
        <f>SUM(F6:F59)</f>
        <v>54327</v>
      </c>
      <c r="G61">
        <f>SUM(G6:G59)</f>
        <v>43625</v>
      </c>
      <c r="J61" s="28">
        <f>SUM(J8+J13+J17+J24+J28+J32+J39+J43+J47+J51+J55+J59)</f>
        <v>43755</v>
      </c>
      <c r="K61" s="10">
        <f>SUM(K6:K59)</f>
        <v>53908</v>
      </c>
      <c r="L61" s="28">
        <f>SUM(L8+L13+L17+L24+L28+L32+L39+L43+L47+L51+L55+L59)</f>
        <v>53908</v>
      </c>
      <c r="N61" s="10">
        <f>SUM(N6:N59)</f>
        <v>53908</v>
      </c>
      <c r="O61" s="28">
        <f>SUM(O8+O13+O17+O24+O28+O32+O39+O43+O47+O51+O55+O59)</f>
        <v>53908</v>
      </c>
      <c r="Q61" s="10">
        <f>SUM(Q6:Q59)</f>
        <v>61629</v>
      </c>
      <c r="R61" s="28">
        <f>SUM(R8+R13+R17+R24+R28+R32+R39+R43+R47+R51+R55+R59)</f>
        <v>61629</v>
      </c>
      <c r="S61" s="29">
        <f>S8+S13+S17+S24+S28+S32+S39+S43+S47+S51+S55+S59</f>
        <v>0</v>
      </c>
      <c r="T61" s="30" t="s">
        <v>55</v>
      </c>
      <c r="U61" s="31"/>
    </row>
    <row r="64" spans="1:21" x14ac:dyDescent="0.2">
      <c r="A64">
        <v>63281</v>
      </c>
      <c r="B64" s="1">
        <v>40</v>
      </c>
      <c r="H64" s="1">
        <v>22</v>
      </c>
      <c r="I64" t="s">
        <v>33</v>
      </c>
      <c r="J64" s="10">
        <f>SUMIF($I$6:$I$58,"22STOW",$J$6:$J$58)</f>
        <v>246</v>
      </c>
      <c r="L64" s="10">
        <f>SUMIF($I$6:$I$58,"22STOW",$L$6:$L$58)</f>
        <v>381</v>
      </c>
      <c r="O64" s="10">
        <f>SUMIF($I$6:$I$58,"22STOW",$O$6:$O$58)</f>
        <v>381</v>
      </c>
      <c r="R64" s="10">
        <f>SUMIF($I$6:$I$58,"22STOW",$R$6:$R$58)</f>
        <v>709</v>
      </c>
    </row>
    <row r="65" spans="1:18" x14ac:dyDescent="0.2">
      <c r="A65">
        <v>63281</v>
      </c>
      <c r="B65" s="1">
        <v>53</v>
      </c>
      <c r="C65" t="s">
        <v>54</v>
      </c>
      <c r="H65" s="1" t="s">
        <v>48</v>
      </c>
      <c r="I65" t="s">
        <v>33</v>
      </c>
      <c r="J65" s="10">
        <f>SUMIF($I$6:$I$58,"23nSTOW",$J$6:$J$58)</f>
        <v>4495</v>
      </c>
      <c r="L65" s="10">
        <f>SUMIF($I$6:$I$58,"23nSTOW",$L$6:$L$58)</f>
        <v>5279</v>
      </c>
      <c r="O65" s="10">
        <f>SUMIF($I$6:$I$58,"23nSTOW",$O$6:$O$58)</f>
        <v>5279</v>
      </c>
      <c r="R65" s="10">
        <f>SUMIF($I$6:$I$58,"23nSTOW",$R$6:$R$58)</f>
        <v>5757</v>
      </c>
    </row>
    <row r="66" spans="1:18" x14ac:dyDescent="0.2">
      <c r="A66">
        <v>63281</v>
      </c>
      <c r="B66" s="1">
        <v>54</v>
      </c>
      <c r="C66" t="s">
        <v>54</v>
      </c>
      <c r="H66" s="1">
        <v>23</v>
      </c>
      <c r="I66" t="s">
        <v>33</v>
      </c>
      <c r="J66" s="10">
        <f>SUMIF($I$6:$I$58,"23STOW",$J$6:$J$58)</f>
        <v>16424</v>
      </c>
      <c r="L66" s="10">
        <f>SUMIF($I$6:$I$58,"23STOW",$L$6:$L$58)</f>
        <v>20669</v>
      </c>
      <c r="O66" s="10">
        <f>SUMIF($I$6:$I$58,"23STOW",$O$6:$O$58)</f>
        <v>20669</v>
      </c>
      <c r="R66" s="10">
        <f>SUMIF($I$6:$I$58,"23STOW",$R$6:$R$58)</f>
        <v>27177</v>
      </c>
    </row>
    <row r="67" spans="1:18" x14ac:dyDescent="0.2">
      <c r="A67">
        <v>63281</v>
      </c>
      <c r="B67" s="1">
        <v>55</v>
      </c>
      <c r="C67" t="s">
        <v>54</v>
      </c>
      <c r="H67" s="1">
        <v>24</v>
      </c>
      <c r="I67" t="s">
        <v>33</v>
      </c>
      <c r="J67" s="10">
        <f>SUMIF($I$6:$I$58,"24STOW",$J$6:$J$58)</f>
        <v>651</v>
      </c>
      <c r="L67" s="10">
        <f>SUMIF($I$6:$I$58,"24STOW",$L$6:$L$58)</f>
        <v>633</v>
      </c>
      <c r="O67" s="10">
        <f>SUMIF($I$6:$I$58,"24STOW",$O$6:$O$58)</f>
        <v>633</v>
      </c>
      <c r="R67" s="10">
        <f>SUMIF($I$6:$I$58,"24STOW",$R$6:$R$58)</f>
        <v>1040</v>
      </c>
    </row>
    <row r="69" spans="1:18" x14ac:dyDescent="0.2">
      <c r="A69">
        <v>63281</v>
      </c>
      <c r="B69" s="1">
        <v>52</v>
      </c>
      <c r="D69" s="55" t="s">
        <v>80</v>
      </c>
      <c r="E69" s="56">
        <v>20070</v>
      </c>
      <c r="F69" s="50"/>
      <c r="G69" s="10">
        <f>+J69/0.97816</f>
        <v>22303.099697391019</v>
      </c>
      <c r="I69" t="s">
        <v>33</v>
      </c>
      <c r="J69" s="10">
        <f>SUM(J64:J67)</f>
        <v>21816</v>
      </c>
      <c r="K69" s="10">
        <f>+L69/0.97816</f>
        <v>27563.997709986095</v>
      </c>
      <c r="L69" s="10">
        <f>SUM(L64:L67)</f>
        <v>26962</v>
      </c>
      <c r="N69" s="10">
        <f>+O69/0.97816</f>
        <v>27563.997709986095</v>
      </c>
      <c r="O69" s="10">
        <f>SUM(O64:O67)</f>
        <v>26962</v>
      </c>
      <c r="Q69" s="10">
        <f>+R69/0.97816</f>
        <v>35457.389384149828</v>
      </c>
      <c r="R69" s="10">
        <f>SUM(R64:R67)</f>
        <v>34683</v>
      </c>
    </row>
    <row r="71" spans="1:18" x14ac:dyDescent="0.2">
      <c r="H71" s="1"/>
      <c r="I71">
        <v>63281</v>
      </c>
      <c r="J71" s="1" t="s">
        <v>72</v>
      </c>
      <c r="L71" s="42">
        <f>SUMIF($A$6:$A$58,63281,$L$6:$L$58)</f>
        <v>0</v>
      </c>
      <c r="O71" s="42">
        <f>SUMIF($A$6:$A$58,63281,$O$6:$O$58)</f>
        <v>0</v>
      </c>
      <c r="R71" s="42">
        <f>SUMIF($A$6:$A$58,63281,$R$6:$R$58)</f>
        <v>0</v>
      </c>
    </row>
    <row r="74" spans="1:18" x14ac:dyDescent="0.2">
      <c r="D74" t="s">
        <v>85</v>
      </c>
      <c r="F74">
        <v>67693</v>
      </c>
      <c r="G74" s="1" t="s">
        <v>84</v>
      </c>
      <c r="L74" s="10">
        <f>SUMIF($A$6:$A$60,"67693",$L$6:$L$60)</f>
        <v>45381</v>
      </c>
      <c r="O74" s="10">
        <f>SUMIF($A$6:$A$60,"67693",$O$6:$O$60)</f>
        <v>45381</v>
      </c>
      <c r="R74" s="10">
        <f>SUMIF($A$6:$A$60,"67693",$R$6:$R$60)</f>
        <v>53102</v>
      </c>
    </row>
    <row r="75" spans="1:18" x14ac:dyDescent="0.2">
      <c r="F75">
        <v>38021</v>
      </c>
      <c r="G75" s="1" t="s">
        <v>84</v>
      </c>
      <c r="L75" s="10">
        <f>SUMIF($A$6:$A$60,"38021",$L$6:$L$60)</f>
        <v>0</v>
      </c>
      <c r="O75" s="10">
        <f>SUMIF($A$6:$A$60,"38021",$O$6:$O$60)</f>
        <v>0</v>
      </c>
      <c r="R75" s="10">
        <f>SUMIF($A$6:$A$60,"38021",$R$6:$R$60)</f>
        <v>0</v>
      </c>
    </row>
    <row r="76" spans="1:18" x14ac:dyDescent="0.2">
      <c r="F76" s="58">
        <v>40998</v>
      </c>
      <c r="G76" t="s">
        <v>84</v>
      </c>
      <c r="L76" s="10">
        <f>SUMIF($A$6:$A$55,"40998",$L$6:$L$55)</f>
        <v>0</v>
      </c>
      <c r="O76" s="10">
        <f>SUMIF($A$6:$A$55,"40998",$O$6:$O$55)</f>
        <v>0</v>
      </c>
      <c r="R76" s="10">
        <f>SUMIF($A$6:$A$55,"40998",$R$6:$R$55)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1">
    <pageSetUpPr fitToPage="1"/>
  </sheetPr>
  <dimension ref="A1:U80"/>
  <sheetViews>
    <sheetView topLeftCell="E17" workbookViewId="0">
      <selection activeCell="P6" sqref="P6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854</v>
      </c>
      <c r="L6" s="14">
        <f>ROUND(+K6*H6,0)</f>
        <v>427</v>
      </c>
      <c r="M6" s="14"/>
      <c r="N6" s="25">
        <f>ROUND(+K6,0)</f>
        <v>854</v>
      </c>
      <c r="O6" s="14">
        <f>ROUND(+L6,0)</f>
        <v>427</v>
      </c>
      <c r="P6" s="14"/>
      <c r="Q6" s="24">
        <v>1089</v>
      </c>
      <c r="R6" s="14">
        <f>+O6</f>
        <v>427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427</v>
      </c>
      <c r="M7" s="16"/>
      <c r="N7" s="16"/>
      <c r="O7" s="18">
        <f>ROUND(+L7,0)</f>
        <v>427</v>
      </c>
      <c r="P7" s="14"/>
      <c r="R7" s="23">
        <f>ROUND(+Q6-N6+O7,0)</f>
        <v>662</v>
      </c>
      <c r="S7" s="10">
        <f>+R7-O7</f>
        <v>235</v>
      </c>
      <c r="T7" t="s">
        <v>47</v>
      </c>
    </row>
    <row r="8" spans="1:20" x14ac:dyDescent="0.2">
      <c r="J8" s="10">
        <f>SUM(J6:J7)</f>
        <v>492</v>
      </c>
      <c r="L8" s="10">
        <f>SUM(L6:L7)</f>
        <v>854</v>
      </c>
      <c r="O8" s="10">
        <f>ROUND(+L8,0)</f>
        <v>854</v>
      </c>
      <c r="R8" s="10">
        <f>SUM(R6:R7)</f>
        <v>1089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7770</v>
      </c>
      <c r="L10" s="14">
        <f>ROUND(+K10*H10,0)</f>
        <v>3885</v>
      </c>
      <c r="M10" s="14"/>
      <c r="N10" s="25">
        <f>ROUND(+K10,0)</f>
        <v>7770</v>
      </c>
      <c r="O10" s="14">
        <f>ROUND(+L10,0)</f>
        <v>3885</v>
      </c>
      <c r="P10" s="14"/>
      <c r="Q10" s="24">
        <v>9131</v>
      </c>
      <c r="R10" s="14">
        <f>ROUND(+O10,0)</f>
        <v>3885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3885</v>
      </c>
      <c r="M12" s="16"/>
      <c r="N12" s="16"/>
      <c r="O12" s="18">
        <f>ROUND(+L12,0)</f>
        <v>3885</v>
      </c>
      <c r="P12" s="16"/>
      <c r="Q12" s="19"/>
      <c r="R12" s="23">
        <f>ROUND(+Q10-N10+O12,0)</f>
        <v>5246</v>
      </c>
      <c r="S12" s="10">
        <f>+R12-O12</f>
        <v>1361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7770</v>
      </c>
      <c r="M13" s="14"/>
      <c r="O13" s="10">
        <f>ROUND(+L13,0)</f>
        <v>7770</v>
      </c>
      <c r="P13" s="14"/>
      <c r="Q13" s="13"/>
      <c r="R13" s="10">
        <f>SUM(R10:R12)</f>
        <v>9131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3128</v>
      </c>
      <c r="L15" s="14">
        <f>ROUND(+K15*H15,0)</f>
        <v>1564</v>
      </c>
      <c r="M15" s="14"/>
      <c r="N15" s="25">
        <f>ROUND(+K15,0)</f>
        <v>3128</v>
      </c>
      <c r="O15" s="14">
        <f>ROUND(+L15,0)</f>
        <v>1564</v>
      </c>
      <c r="P15" s="14"/>
      <c r="Q15" s="24">
        <v>3403</v>
      </c>
      <c r="R15" s="14">
        <f>ROUND(+O15,0)</f>
        <v>1564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1564</v>
      </c>
      <c r="M16" s="16"/>
      <c r="N16" s="16"/>
      <c r="O16" s="18">
        <f>ROUND(+L16,0)</f>
        <v>1564</v>
      </c>
      <c r="P16" s="16"/>
      <c r="Q16" s="19"/>
      <c r="R16" s="23">
        <f>ROUND(+Q15-N15+O16,0)</f>
        <v>1839</v>
      </c>
      <c r="S16" s="10">
        <f>+R16-O16</f>
        <v>275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3128</v>
      </c>
      <c r="O17" s="10">
        <f>ROUND(+L17,0)</f>
        <v>3128</v>
      </c>
      <c r="Q17" s="13"/>
      <c r="R17" s="10">
        <f>SUM(R15:R16)</f>
        <v>3403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15872</v>
      </c>
      <c r="L19" s="14">
        <v>2936</v>
      </c>
      <c r="M19" s="14"/>
      <c r="N19" s="25">
        <f>ROUND(+K19,0)</f>
        <v>15872</v>
      </c>
      <c r="O19" s="14">
        <f>ROUND(+L19,0)</f>
        <v>2936</v>
      </c>
      <c r="P19" s="14"/>
      <c r="Q19" s="24">
        <v>15872</v>
      </c>
      <c r="R19" s="14">
        <f>ROUND(+O19,0)</f>
        <v>2936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5" thickBot="1" x14ac:dyDescent="0.25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7936</v>
      </c>
      <c r="M25" s="16"/>
      <c r="N25" s="16"/>
      <c r="O25" s="18">
        <f>ROUND(+L25,0)</f>
        <v>7936</v>
      </c>
      <c r="P25" s="16"/>
      <c r="Q25" s="19"/>
      <c r="R25" s="23">
        <f>ROUND(+Q19-N19+O25,0)</f>
        <v>7936</v>
      </c>
      <c r="S25" s="10">
        <f>+R25-O25</f>
        <v>0</v>
      </c>
      <c r="T25" t="s">
        <v>47</v>
      </c>
    </row>
    <row r="26" spans="1:20" x14ac:dyDescent="0.2">
      <c r="J26" s="14">
        <f>SUM(J19:J25)</f>
        <v>11910</v>
      </c>
      <c r="K26" s="13"/>
      <c r="L26" s="10">
        <f>SUM(L19:L25)</f>
        <v>15872</v>
      </c>
      <c r="M26" s="14"/>
      <c r="O26" s="10">
        <f>ROUND(+L26,0)</f>
        <v>15872</v>
      </c>
      <c r="P26" s="14"/>
      <c r="Q26" s="13"/>
      <c r="R26" s="10">
        <f>SUM(R19:R25)</f>
        <v>15872</v>
      </c>
      <c r="S26" s="10">
        <f>+R26-Q19</f>
        <v>0</v>
      </c>
      <c r="T26" t="s">
        <v>46</v>
      </c>
    </row>
    <row r="28" spans="1:20" x14ac:dyDescent="0.2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2294</v>
      </c>
      <c r="L28" s="14">
        <f>ROUND(+K28*H28,0)</f>
        <v>1147</v>
      </c>
      <c r="M28" s="14"/>
      <c r="N28" s="25">
        <f>ROUND(+K28,0)</f>
        <v>2294</v>
      </c>
      <c r="O28" s="14">
        <f>ROUND(+L28,0)</f>
        <v>1147</v>
      </c>
      <c r="P28" s="14"/>
      <c r="Q28" s="24">
        <v>2504</v>
      </c>
      <c r="R28" s="14">
        <f>ROUND(+O28,0)</f>
        <v>1147</v>
      </c>
    </row>
    <row r="29" spans="1:20" ht="13.5" thickBot="1" x14ac:dyDescent="0.25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1147</v>
      </c>
      <c r="M29" s="18"/>
      <c r="N29" s="16"/>
      <c r="O29" s="18">
        <f>ROUND(+L29,0)</f>
        <v>1147</v>
      </c>
      <c r="P29" s="18"/>
      <c r="Q29" s="19"/>
      <c r="R29" s="23">
        <f>ROUND(+Q28-N28+O29,0)</f>
        <v>1357</v>
      </c>
      <c r="S29" s="10">
        <f>+R29-O29</f>
        <v>210</v>
      </c>
      <c r="T29" t="s">
        <v>47</v>
      </c>
    </row>
    <row r="30" spans="1:20" x14ac:dyDescent="0.2">
      <c r="J30" s="10">
        <f>SUM(J28:J29)</f>
        <v>1790</v>
      </c>
      <c r="K30" s="13"/>
      <c r="L30" s="10">
        <f>SUM(L28:L29)</f>
        <v>2294</v>
      </c>
      <c r="O30" s="10">
        <f>ROUND(+L30,0)</f>
        <v>2294</v>
      </c>
      <c r="Q30" s="13"/>
      <c r="R30" s="10">
        <f>SUM(R28:R29)</f>
        <v>2504</v>
      </c>
      <c r="S30" s="10">
        <f>+R30-Q28</f>
        <v>0</v>
      </c>
      <c r="T30" t="s">
        <v>46</v>
      </c>
    </row>
    <row r="32" spans="1:20" x14ac:dyDescent="0.2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1893</v>
      </c>
      <c r="L32" s="14">
        <v>946</v>
      </c>
      <c r="M32" s="14"/>
      <c r="N32" s="25">
        <f>ROUND(+K32,0)</f>
        <v>1893</v>
      </c>
      <c r="O32" s="14">
        <f>ROUND(+L32,0)</f>
        <v>946</v>
      </c>
      <c r="P32" s="14"/>
      <c r="Q32" s="24">
        <v>2216</v>
      </c>
      <c r="R32" s="14">
        <f>ROUND(+O32,0)</f>
        <v>946</v>
      </c>
    </row>
    <row r="33" spans="1:20" ht="13.5" thickBot="1" x14ac:dyDescent="0.25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947</v>
      </c>
      <c r="M33" s="16"/>
      <c r="N33" s="16"/>
      <c r="O33" s="18">
        <f>ROUND(+L33,0)</f>
        <v>947</v>
      </c>
      <c r="P33" s="16"/>
      <c r="Q33" s="19"/>
      <c r="R33" s="23">
        <f>ROUND(+Q32-N32+O33,0)</f>
        <v>1270</v>
      </c>
      <c r="S33" s="10">
        <f>+R33-O33</f>
        <v>323</v>
      </c>
      <c r="T33" t="s">
        <v>47</v>
      </c>
    </row>
    <row r="34" spans="1:20" x14ac:dyDescent="0.2">
      <c r="J34" s="10">
        <f>SUM(J32:J33)</f>
        <v>1426</v>
      </c>
      <c r="K34" s="13"/>
      <c r="L34" s="10">
        <f>SUM(L32:L33)</f>
        <v>1893</v>
      </c>
      <c r="O34" s="10">
        <f>ROUND(+L34,0)</f>
        <v>1893</v>
      </c>
      <c r="Q34" s="13"/>
      <c r="R34" s="10">
        <f>SUM(R32:R33)</f>
        <v>2216</v>
      </c>
      <c r="S34" s="10">
        <f>+R34-Q32</f>
        <v>0</v>
      </c>
      <c r="T34" t="s">
        <v>46</v>
      </c>
    </row>
    <row r="36" spans="1:20" x14ac:dyDescent="0.2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13890</v>
      </c>
      <c r="L36" s="14">
        <v>3418</v>
      </c>
      <c r="M36" s="14"/>
      <c r="N36" s="25">
        <f>ROUND(+K36,0)</f>
        <v>13890</v>
      </c>
      <c r="O36" s="14">
        <f>ROUND(+L36,0)</f>
        <v>3418</v>
      </c>
      <c r="P36" s="14"/>
      <c r="Q36" s="24">
        <v>16569</v>
      </c>
      <c r="R36" s="14">
        <f>ROUND(+O36,0)</f>
        <v>3418</v>
      </c>
    </row>
    <row r="37" spans="1:20" s="60" customFormat="1" x14ac:dyDescent="0.2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3527</v>
      </c>
      <c r="M39" s="24"/>
      <c r="N39" s="24"/>
      <c r="O39" s="66">
        <f>L39</f>
        <v>3527</v>
      </c>
      <c r="P39" s="24"/>
      <c r="Q39" s="24"/>
      <c r="R39" s="66">
        <f>L39</f>
        <v>3527</v>
      </c>
    </row>
    <row r="40" spans="1:20" s="60" customFormat="1" x14ac:dyDescent="0.2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5" thickBot="1" x14ac:dyDescent="0.25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6945</v>
      </c>
      <c r="M42" s="16"/>
      <c r="N42" s="16"/>
      <c r="O42" s="18">
        <f>ROUND(+L42,0)</f>
        <v>6945</v>
      </c>
      <c r="P42" s="16"/>
      <c r="Q42" s="19"/>
      <c r="R42" s="23">
        <f>ROUND(+Q36-N36+O42,0)</f>
        <v>9624</v>
      </c>
      <c r="S42" s="10">
        <f>+R42-O42</f>
        <v>2679</v>
      </c>
      <c r="T42" t="s">
        <v>47</v>
      </c>
    </row>
    <row r="43" spans="1:20" x14ac:dyDescent="0.2">
      <c r="J43" s="10">
        <f>SUM(J36:J42)</f>
        <v>11360</v>
      </c>
      <c r="K43" s="13"/>
      <c r="L43" s="10">
        <f>SUM(L36:L42)</f>
        <v>13890</v>
      </c>
      <c r="O43" s="10">
        <f>ROUND(+L43,0)</f>
        <v>13890</v>
      </c>
      <c r="Q43" s="13"/>
      <c r="R43" s="10">
        <f>SUM(R36:R42)</f>
        <v>16569</v>
      </c>
      <c r="S43" s="10">
        <f>+R43-Q36</f>
        <v>0</v>
      </c>
      <c r="T43" t="s">
        <v>46</v>
      </c>
    </row>
    <row r="45" spans="1:20" ht="12" customHeight="1" x14ac:dyDescent="0.2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2324</v>
      </c>
      <c r="L45" s="14">
        <f>ROUND(+K45*H45,0)</f>
        <v>1162</v>
      </c>
      <c r="M45" s="14"/>
      <c r="N45" s="25">
        <f>ROUND(+K45,0)</f>
        <v>2324</v>
      </c>
      <c r="O45" s="14">
        <f>ROUND(+L45,0)</f>
        <v>1162</v>
      </c>
      <c r="P45" s="14"/>
      <c r="Q45" s="24">
        <v>2550</v>
      </c>
      <c r="R45" s="14">
        <f>ROUND(+O45,0)</f>
        <v>1162</v>
      </c>
    </row>
    <row r="46" spans="1:20" ht="12" customHeight="1" thickBot="1" x14ac:dyDescent="0.25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1162</v>
      </c>
      <c r="M46" s="16"/>
      <c r="N46" s="16"/>
      <c r="O46" s="18">
        <f>ROUND(+L46,0)</f>
        <v>1162</v>
      </c>
      <c r="P46" s="16"/>
      <c r="Q46" s="19"/>
      <c r="R46" s="23">
        <f>ROUND(+Q45-N45+O46,0)</f>
        <v>1388</v>
      </c>
      <c r="S46" s="10">
        <f>+R46-O46</f>
        <v>226</v>
      </c>
      <c r="T46" t="s">
        <v>47</v>
      </c>
    </row>
    <row r="47" spans="1:20" ht="12" customHeight="1" x14ac:dyDescent="0.2">
      <c r="J47" s="10">
        <f>SUM(J45:J46)</f>
        <v>1892</v>
      </c>
      <c r="K47" s="13"/>
      <c r="L47" s="10">
        <f>SUM(L45:L46)</f>
        <v>2324</v>
      </c>
      <c r="O47" s="10">
        <f>ROUND(+L47,0)</f>
        <v>2324</v>
      </c>
      <c r="Q47" s="13"/>
      <c r="R47" s="10">
        <f>SUM(R45:R46)</f>
        <v>2550</v>
      </c>
      <c r="S47" s="10">
        <f>+R47-Q45</f>
        <v>0</v>
      </c>
      <c r="T47" t="s">
        <v>46</v>
      </c>
    </row>
    <row r="48" spans="1:20" ht="12" customHeight="1" x14ac:dyDescent="0.2"/>
    <row r="49" spans="1:20" x14ac:dyDescent="0.2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2451</v>
      </c>
      <c r="L49" s="14">
        <v>1225</v>
      </c>
      <c r="M49" s="14"/>
      <c r="N49" s="25">
        <f>ROUND(+K49,0)</f>
        <v>2451</v>
      </c>
      <c r="O49" s="14">
        <f>ROUND(+L49,0)</f>
        <v>1225</v>
      </c>
      <c r="P49" s="14"/>
      <c r="Q49" s="24">
        <v>3067</v>
      </c>
      <c r="R49" s="14">
        <f>ROUND(+O49,0)</f>
        <v>1225</v>
      </c>
    </row>
    <row r="50" spans="1:20" ht="13.5" thickBot="1" x14ac:dyDescent="0.25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1226</v>
      </c>
      <c r="M50" s="16"/>
      <c r="N50" s="16"/>
      <c r="O50" s="18">
        <f>ROUND(+L50,0)</f>
        <v>1226</v>
      </c>
      <c r="P50" s="16"/>
      <c r="Q50" s="19"/>
      <c r="R50" s="23">
        <f>ROUND(+Q49-N49+O50,0)</f>
        <v>1842</v>
      </c>
      <c r="S50" s="10">
        <f>+R50-O50</f>
        <v>616</v>
      </c>
      <c r="T50" t="s">
        <v>47</v>
      </c>
    </row>
    <row r="51" spans="1:20" x14ac:dyDescent="0.2">
      <c r="J51" s="10">
        <f>SUM(J49:J50)</f>
        <v>2000</v>
      </c>
      <c r="L51" s="10">
        <f>SUM(L49:L50)</f>
        <v>2451</v>
      </c>
      <c r="O51" s="10">
        <f>ROUND(+L51,0)</f>
        <v>2451</v>
      </c>
      <c r="R51" s="10">
        <f>SUM(R49:R50)</f>
        <v>3067</v>
      </c>
      <c r="S51" s="10">
        <f>+R51-Q49</f>
        <v>0</v>
      </c>
      <c r="T51" t="s">
        <v>46</v>
      </c>
    </row>
    <row r="53" spans="1:20" x14ac:dyDescent="0.2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3045</v>
      </c>
      <c r="L53" s="14">
        <v>1522</v>
      </c>
      <c r="M53" s="14"/>
      <c r="N53" s="25">
        <f>ROUND(+K53,0)</f>
        <v>3045</v>
      </c>
      <c r="O53" s="14">
        <f>ROUND(+L53,0)</f>
        <v>1522</v>
      </c>
      <c r="P53" s="14"/>
      <c r="Q53" s="24">
        <v>3653</v>
      </c>
      <c r="R53" s="14">
        <f>ROUND(+O53,0)</f>
        <v>1522</v>
      </c>
    </row>
    <row r="54" spans="1:20" ht="13.5" thickBot="1" x14ac:dyDescent="0.25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1523</v>
      </c>
      <c r="M54" s="16"/>
      <c r="N54" s="16"/>
      <c r="O54" s="18">
        <f>ROUND(+L54,0)</f>
        <v>1523</v>
      </c>
      <c r="P54" s="16"/>
      <c r="Q54" s="19"/>
      <c r="R54" s="23">
        <f>ROUND(+Q53-N53+O54,0)</f>
        <v>2131</v>
      </c>
      <c r="S54" s="10">
        <f>+R54-O54</f>
        <v>608</v>
      </c>
      <c r="T54" t="s">
        <v>47</v>
      </c>
    </row>
    <row r="55" spans="1:20" x14ac:dyDescent="0.2">
      <c r="J55" s="10">
        <f>SUM(J53:J54)</f>
        <v>2593</v>
      </c>
      <c r="K55" s="13"/>
      <c r="L55" s="10">
        <f>SUM(L53:L54)</f>
        <v>3045</v>
      </c>
      <c r="O55" s="10">
        <f>ROUND(+L55,0)</f>
        <v>3045</v>
      </c>
      <c r="Q55" s="13"/>
      <c r="R55" s="10">
        <f>SUM(R53:R54)</f>
        <v>3653</v>
      </c>
      <c r="S55" s="10">
        <f>+R55-Q53</f>
        <v>0</v>
      </c>
      <c r="T55" t="s">
        <v>46</v>
      </c>
    </row>
    <row r="57" spans="1:20" s="32" customFormat="1" x14ac:dyDescent="0.2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1708</v>
      </c>
      <c r="L57" s="14">
        <f>ROUND(+K57*H57,0)</f>
        <v>854</v>
      </c>
      <c r="M57" s="36"/>
      <c r="N57" s="25">
        <f>ROUND(+K57,0)</f>
        <v>1708</v>
      </c>
      <c r="O57" s="36">
        <f>ROUND(+L57,0)</f>
        <v>854</v>
      </c>
      <c r="P57" s="36"/>
      <c r="Q57" s="24">
        <v>1787</v>
      </c>
      <c r="R57" s="36">
        <f>ROUND(+O57,0)</f>
        <v>854</v>
      </c>
    </row>
    <row r="58" spans="1:20" s="32" customFormat="1" ht="13.5" thickBot="1" x14ac:dyDescent="0.25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854</v>
      </c>
      <c r="M58" s="37"/>
      <c r="N58" s="37"/>
      <c r="O58" s="39">
        <f>ROUND(+L58,0)</f>
        <v>854</v>
      </c>
      <c r="P58" s="37"/>
      <c r="Q58" s="38"/>
      <c r="R58" s="23">
        <f>ROUND(+Q57-N57+O58,0)</f>
        <v>933</v>
      </c>
      <c r="S58" s="35">
        <f>+R58-O58</f>
        <v>79</v>
      </c>
      <c r="T58" s="32" t="s">
        <v>47</v>
      </c>
    </row>
    <row r="59" spans="1:20" s="32" customFormat="1" x14ac:dyDescent="0.2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1708</v>
      </c>
      <c r="M59" s="40"/>
      <c r="N59" s="35"/>
      <c r="O59" s="35">
        <f>ROUND(+L59,0)</f>
        <v>1708</v>
      </c>
      <c r="P59" s="40"/>
      <c r="Q59" s="41"/>
      <c r="R59" s="35">
        <f>SUM(R57:R58)</f>
        <v>1787</v>
      </c>
      <c r="S59" s="35">
        <f>+R59-Q57</f>
        <v>0</v>
      </c>
      <c r="T59" s="32" t="s">
        <v>46</v>
      </c>
    </row>
    <row r="61" spans="1:20" s="32" customFormat="1" x14ac:dyDescent="0.2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34</v>
      </c>
      <c r="L61" s="14">
        <f>ROUND(+K61*H61,0)</f>
        <v>17</v>
      </c>
      <c r="M61" s="36"/>
      <c r="N61" s="25">
        <f>ROUND(+K61,0)</f>
        <v>34</v>
      </c>
      <c r="O61" s="36">
        <f>ROUND(+L61,0)</f>
        <v>17</v>
      </c>
      <c r="P61" s="36"/>
      <c r="Q61" s="24">
        <v>40</v>
      </c>
      <c r="R61" s="36">
        <f>ROUND(+O61,0)</f>
        <v>17</v>
      </c>
    </row>
    <row r="62" spans="1:20" s="32" customFormat="1" ht="13.5" thickBot="1" x14ac:dyDescent="0.25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17</v>
      </c>
      <c r="M62" s="37"/>
      <c r="N62" s="37"/>
      <c r="O62" s="39">
        <f>ROUND(+L62,0)</f>
        <v>17</v>
      </c>
      <c r="P62" s="37"/>
      <c r="Q62" s="37"/>
      <c r="R62" s="23">
        <f>ROUND(+Q61-N61+O62,0)</f>
        <v>23</v>
      </c>
      <c r="S62" s="35">
        <f>+R62-O62</f>
        <v>6</v>
      </c>
      <c r="T62" s="32" t="s">
        <v>47</v>
      </c>
    </row>
    <row r="63" spans="1:20" s="32" customFormat="1" x14ac:dyDescent="0.2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34</v>
      </c>
      <c r="M63" s="35"/>
      <c r="N63" s="35"/>
      <c r="O63" s="35">
        <f>ROUND(+L63,0)</f>
        <v>34</v>
      </c>
      <c r="P63" s="35"/>
      <c r="Q63" s="35"/>
      <c r="R63" s="35">
        <f>SUM(R61:R62)</f>
        <v>40</v>
      </c>
      <c r="S63" s="35">
        <f>+R63-Q61</f>
        <v>0</v>
      </c>
      <c r="T63" s="32" t="s">
        <v>46</v>
      </c>
    </row>
    <row r="64" spans="1:20" ht="13.5" thickBot="1" x14ac:dyDescent="0.25"/>
    <row r="65" spans="1:21" ht="13.5" thickBot="1" x14ac:dyDescent="0.25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55263</v>
      </c>
      <c r="L65" s="28">
        <f>SUM(L8+L13+L17+L26+L30+L34+L43+L47+L51+L55+L59+L63)</f>
        <v>55263</v>
      </c>
      <c r="N65" s="10">
        <f>SUM(N6:N63)</f>
        <v>55263</v>
      </c>
      <c r="O65" s="28">
        <f>SUM(O8+O13+O17+O26+O30+O34+O43+O47+O51+O55+O59+O63)</f>
        <v>55263</v>
      </c>
      <c r="Q65" s="10">
        <f>SUM(Q6:Q63)</f>
        <v>61881</v>
      </c>
      <c r="R65" s="28">
        <f>SUM(R8+R13+R17+R26+R30+R34+R43+R47+R51+R55+R59+R63)</f>
        <v>61881</v>
      </c>
      <c r="S65" s="29">
        <f>S8+S13+S17+S26+S30+S34+S43+S47+S51+S55+S59+S63</f>
        <v>0</v>
      </c>
      <c r="T65" s="30" t="s">
        <v>55</v>
      </c>
      <c r="U65" s="31"/>
    </row>
    <row r="68" spans="1:21" x14ac:dyDescent="0.2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427</v>
      </c>
      <c r="O68" s="10">
        <f>SUMIF($I$6:$I$62,"22STOW",$O$6:$O$62)</f>
        <v>427</v>
      </c>
      <c r="R68" s="10">
        <f>SUMIF($I$6:$I$62,"22STOW",$R$6:$R$62)</f>
        <v>662</v>
      </c>
    </row>
    <row r="69" spans="1:21" x14ac:dyDescent="0.2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5449</v>
      </c>
      <c r="O69" s="10">
        <f>SUMIF($I$6:$I$62,"23nSTOW",$O$6:$O$62)</f>
        <v>5449</v>
      </c>
      <c r="R69" s="10">
        <f>SUMIF($I$6:$I$62,"23nSTOW",$R$6:$R$62)</f>
        <v>7085</v>
      </c>
    </row>
    <row r="70" spans="1:21" x14ac:dyDescent="0.2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20886</v>
      </c>
      <c r="O70" s="10">
        <f>SUMIF($I$6:$I$62,"23STOW",$O$6:$O$62)</f>
        <v>20886</v>
      </c>
      <c r="R70" s="10">
        <f>SUMIF($I$6:$I$62,"23STOW",$R$6:$R$62)</f>
        <v>25548</v>
      </c>
    </row>
    <row r="71" spans="1:21" x14ac:dyDescent="0.2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871</v>
      </c>
      <c r="O71" s="10">
        <f>SUMIF($I$6:$I$62,"24STOW",$O$6:$O$62)</f>
        <v>871</v>
      </c>
      <c r="R71" s="10">
        <f>SUMIF($I$6:$I$62,"24STOW",$R$6:$R$62)</f>
        <v>956</v>
      </c>
    </row>
    <row r="73" spans="1:21" x14ac:dyDescent="0.2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28249.979553447287</v>
      </c>
      <c r="L73" s="10">
        <f>SUM(L68:L71)</f>
        <v>27633</v>
      </c>
      <c r="N73" s="10">
        <f>+O73/0.97816</f>
        <v>28249.979553447287</v>
      </c>
      <c r="O73" s="10">
        <f>SUM(O68:O71)</f>
        <v>27633</v>
      </c>
      <c r="Q73" s="10">
        <f>+R73/0.97816</f>
        <v>35015.743845587633</v>
      </c>
      <c r="R73" s="10">
        <f>SUM(R68:R71)</f>
        <v>34251</v>
      </c>
    </row>
    <row r="75" spans="1:21" x14ac:dyDescent="0.2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">
      <c r="D78" t="s">
        <v>85</v>
      </c>
      <c r="F78">
        <v>67693</v>
      </c>
      <c r="G78" s="1" t="s">
        <v>84</v>
      </c>
      <c r="L78" s="10">
        <f>SUMIF($A$6:$A$64,"67693",$L$6:$L$64)</f>
        <v>46736</v>
      </c>
      <c r="O78" s="10">
        <f>SUMIF($A$6:$A$64,"67693",$O$6:$O$64)</f>
        <v>46736</v>
      </c>
      <c r="R78" s="10">
        <f>SUMIF($A$6:$A$64,"67693",$R$6:$R$64)</f>
        <v>53354</v>
      </c>
    </row>
    <row r="79" spans="1:21" x14ac:dyDescent="0.2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2">
    <pageSetUpPr fitToPage="1"/>
  </sheetPr>
  <dimension ref="A1:U80"/>
  <sheetViews>
    <sheetView topLeftCell="E12" workbookViewId="0">
      <selection activeCell="R67" sqref="R67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667</v>
      </c>
      <c r="L6" s="14">
        <v>333</v>
      </c>
      <c r="M6" s="14"/>
      <c r="N6" s="25">
        <f>ROUND(+K6,0)</f>
        <v>667</v>
      </c>
      <c r="O6" s="14">
        <f>ROUND(+L6,0)</f>
        <v>333</v>
      </c>
      <c r="P6" s="14"/>
      <c r="Q6" s="24">
        <v>432</v>
      </c>
      <c r="R6" s="14">
        <f>+O6</f>
        <v>333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334</v>
      </c>
      <c r="M7" s="16"/>
      <c r="N7" s="16"/>
      <c r="O7" s="18">
        <f>ROUND(+L7,0)</f>
        <v>334</v>
      </c>
      <c r="P7" s="14"/>
      <c r="R7" s="23">
        <f>ROUND(+Q6-N6+O7,0)</f>
        <v>99</v>
      </c>
      <c r="S7" s="10">
        <f>+R7-O7</f>
        <v>-235</v>
      </c>
      <c r="T7" t="s">
        <v>47</v>
      </c>
    </row>
    <row r="8" spans="1:20" x14ac:dyDescent="0.2">
      <c r="J8" s="10">
        <f>SUM(J6:J7)</f>
        <v>492</v>
      </c>
      <c r="L8" s="10">
        <f>SUM(L6:L7)</f>
        <v>667</v>
      </c>
      <c r="O8" s="10">
        <f>ROUND(+L8,0)</f>
        <v>667</v>
      </c>
      <c r="R8" s="10">
        <f>SUM(R6:R7)</f>
        <v>432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7429</v>
      </c>
      <c r="L10" s="14">
        <v>3714</v>
      </c>
      <c r="M10" s="14"/>
      <c r="N10" s="25">
        <f>ROUND(+K10,0)</f>
        <v>7429</v>
      </c>
      <c r="O10" s="14">
        <f>ROUND(+L10,0)</f>
        <v>3714</v>
      </c>
      <c r="P10" s="14"/>
      <c r="Q10" s="24">
        <v>6749</v>
      </c>
      <c r="R10" s="14">
        <f>ROUND(+O10,0)</f>
        <v>3714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3715</v>
      </c>
      <c r="M12" s="16"/>
      <c r="N12" s="16"/>
      <c r="O12" s="18">
        <f>ROUND(+L12,0)</f>
        <v>3715</v>
      </c>
      <c r="P12" s="16"/>
      <c r="Q12" s="19"/>
      <c r="R12" s="23">
        <f>ROUND(+Q10-N10+O12,0)</f>
        <v>3035</v>
      </c>
      <c r="S12" s="10">
        <f>+R12-O12</f>
        <v>-680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6749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2991</v>
      </c>
      <c r="L15" s="14">
        <v>1495</v>
      </c>
      <c r="M15" s="14"/>
      <c r="N15" s="25">
        <f>ROUND(+K15,0)</f>
        <v>2991</v>
      </c>
      <c r="O15" s="14">
        <f>ROUND(+L15,0)</f>
        <v>1495</v>
      </c>
      <c r="P15" s="14"/>
      <c r="Q15" s="24">
        <v>2578</v>
      </c>
      <c r="R15" s="14">
        <f>ROUND(+O15,0)</f>
        <v>1495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1496</v>
      </c>
      <c r="M16" s="16"/>
      <c r="N16" s="16"/>
      <c r="O16" s="18">
        <f>ROUND(+L16,0)</f>
        <v>1496</v>
      </c>
      <c r="P16" s="16"/>
      <c r="Q16" s="19"/>
      <c r="R16" s="23">
        <f>ROUND(+Q15-N15+O16,0)</f>
        <v>1083</v>
      </c>
      <c r="S16" s="10">
        <f>+R16-O16</f>
        <v>-413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2578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15186</v>
      </c>
      <c r="L19" s="14">
        <v>2593</v>
      </c>
      <c r="M19" s="14"/>
      <c r="N19" s="25">
        <f>ROUND(+K19,0)</f>
        <v>15186</v>
      </c>
      <c r="O19" s="14">
        <f>ROUND(+L19,0)</f>
        <v>2593</v>
      </c>
      <c r="P19" s="14"/>
      <c r="Q19" s="24">
        <v>11070</v>
      </c>
      <c r="R19" s="14">
        <f>ROUND(+O19,0)</f>
        <v>2593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5" thickBot="1" x14ac:dyDescent="0.25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7593</v>
      </c>
      <c r="M25" s="16"/>
      <c r="N25" s="16"/>
      <c r="O25" s="18">
        <f>ROUND(+L25,0)</f>
        <v>7593</v>
      </c>
      <c r="P25" s="16"/>
      <c r="Q25" s="19"/>
      <c r="R25" s="23">
        <f>ROUND(+Q19-N19+O25,0)</f>
        <v>3477</v>
      </c>
      <c r="S25" s="10">
        <f>+R25-O25</f>
        <v>-4116</v>
      </c>
      <c r="T25" t="s">
        <v>47</v>
      </c>
    </row>
    <row r="26" spans="1:20" x14ac:dyDescent="0.2">
      <c r="J26" s="14">
        <f>SUM(J19:J25)</f>
        <v>11910</v>
      </c>
      <c r="K26" s="13"/>
      <c r="L26" s="10">
        <f>SUM(L19:L25)</f>
        <v>15186</v>
      </c>
      <c r="M26" s="14"/>
      <c r="O26" s="10">
        <f>ROUND(+L26,0)</f>
        <v>15186</v>
      </c>
      <c r="P26" s="14"/>
      <c r="Q26" s="13"/>
      <c r="R26" s="10">
        <f>SUM(R19:R25)</f>
        <v>11070</v>
      </c>
      <c r="S26" s="10">
        <f>+R26-Q19</f>
        <v>0</v>
      </c>
      <c r="T26" t="s">
        <v>46</v>
      </c>
    </row>
    <row r="28" spans="1:20" x14ac:dyDescent="0.2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2190</v>
      </c>
      <c r="L28" s="14">
        <f>ROUND(+K28*H28,0)</f>
        <v>1095</v>
      </c>
      <c r="M28" s="14"/>
      <c r="N28" s="25">
        <f>ROUND(+K28,0)</f>
        <v>2190</v>
      </c>
      <c r="O28" s="14">
        <f>ROUND(+L28,0)</f>
        <v>1095</v>
      </c>
      <c r="P28" s="14"/>
      <c r="Q28" s="24">
        <v>1562</v>
      </c>
      <c r="R28" s="14">
        <f>ROUND(+O28,0)</f>
        <v>1095</v>
      </c>
    </row>
    <row r="29" spans="1:20" ht="13.5" thickBot="1" x14ac:dyDescent="0.25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1095</v>
      </c>
      <c r="M29" s="18"/>
      <c r="N29" s="16"/>
      <c r="O29" s="18">
        <f>ROUND(+L29,0)</f>
        <v>1095</v>
      </c>
      <c r="P29" s="18"/>
      <c r="Q29" s="19"/>
      <c r="R29" s="23">
        <f>ROUND(+Q28-N28+O29,0)</f>
        <v>467</v>
      </c>
      <c r="S29" s="10">
        <f>+R29-O29</f>
        <v>-628</v>
      </c>
      <c r="T29" t="s">
        <v>47</v>
      </c>
    </row>
    <row r="30" spans="1:20" x14ac:dyDescent="0.2">
      <c r="J30" s="10">
        <f>SUM(J28:J29)</f>
        <v>1790</v>
      </c>
      <c r="K30" s="13"/>
      <c r="L30" s="10">
        <f>SUM(L28:L29)</f>
        <v>2190</v>
      </c>
      <c r="O30" s="10">
        <f>ROUND(+L30,0)</f>
        <v>2190</v>
      </c>
      <c r="Q30" s="13"/>
      <c r="R30" s="10">
        <f>SUM(R28:R29)</f>
        <v>1562</v>
      </c>
      <c r="S30" s="10">
        <f>+R30-Q28</f>
        <v>0</v>
      </c>
      <c r="T30" t="s">
        <v>46</v>
      </c>
    </row>
    <row r="32" spans="1:20" x14ac:dyDescent="0.2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1651</v>
      </c>
      <c r="L32" s="14">
        <v>825</v>
      </c>
      <c r="M32" s="14"/>
      <c r="N32" s="25">
        <f>ROUND(+K32,0)</f>
        <v>1651</v>
      </c>
      <c r="O32" s="14">
        <f>ROUND(+L32,0)</f>
        <v>825</v>
      </c>
      <c r="P32" s="14"/>
      <c r="Q32" s="24">
        <v>1651</v>
      </c>
      <c r="R32" s="14">
        <f>ROUND(+O32,0)</f>
        <v>825</v>
      </c>
    </row>
    <row r="33" spans="1:20" ht="13.5" thickBot="1" x14ac:dyDescent="0.25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826</v>
      </c>
      <c r="M33" s="16"/>
      <c r="N33" s="16"/>
      <c r="O33" s="18">
        <f>ROUND(+L33,0)</f>
        <v>826</v>
      </c>
      <c r="P33" s="16"/>
      <c r="Q33" s="19"/>
      <c r="R33" s="23">
        <f>ROUND(+Q32-N32+O33,0)</f>
        <v>826</v>
      </c>
      <c r="S33" s="10">
        <f>+R33-O33</f>
        <v>0</v>
      </c>
      <c r="T33" t="s">
        <v>47</v>
      </c>
    </row>
    <row r="34" spans="1:20" x14ac:dyDescent="0.2">
      <c r="J34" s="10">
        <f>SUM(J32:J33)</f>
        <v>1426</v>
      </c>
      <c r="K34" s="13"/>
      <c r="L34" s="10">
        <f>SUM(L32:L33)</f>
        <v>1651</v>
      </c>
      <c r="O34" s="10">
        <f>ROUND(+L34,0)</f>
        <v>1651</v>
      </c>
      <c r="Q34" s="13"/>
      <c r="R34" s="10">
        <f>SUM(R32:R33)</f>
        <v>1651</v>
      </c>
      <c r="S34" s="10">
        <f>+R34-Q32</f>
        <v>0</v>
      </c>
      <c r="T34" t="s">
        <v>46</v>
      </c>
    </row>
    <row r="36" spans="1:20" x14ac:dyDescent="0.2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12551</v>
      </c>
      <c r="L36" s="14">
        <f>6275-3527</f>
        <v>2748</v>
      </c>
      <c r="M36" s="14"/>
      <c r="N36" s="25">
        <f>ROUND(+K36,0)</f>
        <v>12551</v>
      </c>
      <c r="O36" s="14">
        <f>ROUND(+L36,0)</f>
        <v>2748</v>
      </c>
      <c r="P36" s="14"/>
      <c r="Q36" s="24">
        <v>9202</v>
      </c>
      <c r="R36" s="14">
        <f>ROUND(+O36,0)</f>
        <v>2748</v>
      </c>
    </row>
    <row r="37" spans="1:20" s="60" customFormat="1" x14ac:dyDescent="0.2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3527</v>
      </c>
      <c r="M39" s="24"/>
      <c r="N39" s="24"/>
      <c r="O39" s="66">
        <f>L39</f>
        <v>3527</v>
      </c>
      <c r="P39" s="24"/>
      <c r="Q39" s="24"/>
      <c r="R39" s="66">
        <f>L39</f>
        <v>3527</v>
      </c>
    </row>
    <row r="40" spans="1:20" s="60" customFormat="1" x14ac:dyDescent="0.2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5" thickBot="1" x14ac:dyDescent="0.25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6276</v>
      </c>
      <c r="M42" s="16"/>
      <c r="N42" s="16"/>
      <c r="O42" s="18">
        <f>ROUND(+L42,0)</f>
        <v>6276</v>
      </c>
      <c r="P42" s="16"/>
      <c r="Q42" s="19"/>
      <c r="R42" s="23">
        <f>ROUND(+Q36-N36+O42,0)</f>
        <v>2927</v>
      </c>
      <c r="S42" s="10">
        <f>+R42-O42</f>
        <v>-3349</v>
      </c>
      <c r="T42" t="s">
        <v>47</v>
      </c>
    </row>
    <row r="43" spans="1:20" x14ac:dyDescent="0.2">
      <c r="J43" s="10">
        <f>SUM(J36:J42)</f>
        <v>11360</v>
      </c>
      <c r="K43" s="13"/>
      <c r="L43" s="10">
        <f>SUM(L36:L42)</f>
        <v>12551</v>
      </c>
      <c r="O43" s="10">
        <f>ROUND(+L43,0)</f>
        <v>12551</v>
      </c>
      <c r="Q43" s="13"/>
      <c r="R43" s="10">
        <f>SUM(R36:R42)</f>
        <v>9202</v>
      </c>
      <c r="S43" s="10">
        <f>+R43-Q36</f>
        <v>0</v>
      </c>
      <c r="T43" t="s">
        <v>46</v>
      </c>
    </row>
    <row r="45" spans="1:20" ht="12" customHeight="1" x14ac:dyDescent="0.2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2099</v>
      </c>
      <c r="L45" s="14">
        <v>1049</v>
      </c>
      <c r="M45" s="14"/>
      <c r="N45" s="25">
        <f>ROUND(+K45,0)</f>
        <v>2099</v>
      </c>
      <c r="O45" s="14">
        <f>ROUND(+L45,0)</f>
        <v>1049</v>
      </c>
      <c r="P45" s="14"/>
      <c r="Q45" s="24">
        <v>1423</v>
      </c>
      <c r="R45" s="14">
        <f>ROUND(+O45,0)</f>
        <v>1049</v>
      </c>
    </row>
    <row r="46" spans="1:20" ht="12" customHeight="1" thickBot="1" x14ac:dyDescent="0.25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1050</v>
      </c>
      <c r="M46" s="16"/>
      <c r="N46" s="16"/>
      <c r="O46" s="18">
        <f>ROUND(+L46,0)</f>
        <v>1050</v>
      </c>
      <c r="P46" s="16"/>
      <c r="Q46" s="19"/>
      <c r="R46" s="23">
        <f>ROUND(+Q45-N45+O46,0)</f>
        <v>374</v>
      </c>
      <c r="S46" s="10">
        <f>+R46-O46</f>
        <v>-676</v>
      </c>
      <c r="T46" t="s">
        <v>47</v>
      </c>
    </row>
    <row r="47" spans="1:20" ht="12" customHeight="1" x14ac:dyDescent="0.2">
      <c r="J47" s="10">
        <f>SUM(J45:J46)</f>
        <v>1892</v>
      </c>
      <c r="K47" s="13"/>
      <c r="L47" s="10">
        <f>SUM(L45:L46)</f>
        <v>2099</v>
      </c>
      <c r="O47" s="10">
        <f>ROUND(+L47,0)</f>
        <v>2099</v>
      </c>
      <c r="Q47" s="13"/>
      <c r="R47" s="10">
        <f>SUM(R45:R46)</f>
        <v>1423</v>
      </c>
      <c r="S47" s="10">
        <f>+R47-Q45</f>
        <v>0</v>
      </c>
      <c r="T47" t="s">
        <v>46</v>
      </c>
    </row>
    <row r="48" spans="1:20" ht="12" customHeight="1" x14ac:dyDescent="0.2"/>
    <row r="49" spans="1:20" x14ac:dyDescent="0.2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2203</v>
      </c>
      <c r="L49" s="14">
        <v>1101</v>
      </c>
      <c r="M49" s="14"/>
      <c r="N49" s="25">
        <f>ROUND(+K49,0)</f>
        <v>2203</v>
      </c>
      <c r="O49" s="14">
        <f>ROUND(+L49,0)</f>
        <v>1101</v>
      </c>
      <c r="P49" s="14"/>
      <c r="Q49" s="24">
        <v>1587</v>
      </c>
      <c r="R49" s="14">
        <f>ROUND(+O49,0)</f>
        <v>1101</v>
      </c>
    </row>
    <row r="50" spans="1:20" ht="13.5" thickBot="1" x14ac:dyDescent="0.25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1102</v>
      </c>
      <c r="M50" s="16"/>
      <c r="N50" s="16"/>
      <c r="O50" s="18">
        <f>ROUND(+L50,0)</f>
        <v>1102</v>
      </c>
      <c r="P50" s="16"/>
      <c r="Q50" s="19"/>
      <c r="R50" s="23">
        <f>ROUND(+Q49-N49+O50,0)</f>
        <v>486</v>
      </c>
      <c r="S50" s="10">
        <f>+R50-O50</f>
        <v>-616</v>
      </c>
      <c r="T50" t="s">
        <v>47</v>
      </c>
    </row>
    <row r="51" spans="1:20" x14ac:dyDescent="0.2">
      <c r="J51" s="10">
        <f>SUM(J49:J50)</f>
        <v>2000</v>
      </c>
      <c r="L51" s="10">
        <f>SUM(L49:L50)</f>
        <v>2203</v>
      </c>
      <c r="O51" s="10">
        <f>ROUND(+L51,0)</f>
        <v>2203</v>
      </c>
      <c r="R51" s="10">
        <f>SUM(R49:R50)</f>
        <v>1587</v>
      </c>
      <c r="S51" s="10">
        <f>+R51-Q49</f>
        <v>0</v>
      </c>
      <c r="T51" t="s">
        <v>46</v>
      </c>
    </row>
    <row r="53" spans="1:20" x14ac:dyDescent="0.2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2893</v>
      </c>
      <c r="L53" s="14">
        <v>1446</v>
      </c>
      <c r="M53" s="14"/>
      <c r="N53" s="25">
        <f>ROUND(+K53,0)</f>
        <v>2893</v>
      </c>
      <c r="O53" s="14">
        <f>ROUND(+L53,0)</f>
        <v>1446</v>
      </c>
      <c r="P53" s="14"/>
      <c r="Q53" s="24">
        <v>2133</v>
      </c>
      <c r="R53" s="14">
        <f>ROUND(+O53,0)</f>
        <v>1446</v>
      </c>
    </row>
    <row r="54" spans="1:20" ht="13.5" thickBot="1" x14ac:dyDescent="0.25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1447</v>
      </c>
      <c r="M54" s="16"/>
      <c r="N54" s="16"/>
      <c r="O54" s="18">
        <f>ROUND(+L54,0)</f>
        <v>1447</v>
      </c>
      <c r="P54" s="16"/>
      <c r="Q54" s="19"/>
      <c r="R54" s="23">
        <f>ROUND(+Q53-N53+O54,0)</f>
        <v>687</v>
      </c>
      <c r="S54" s="10">
        <f>+R54-O54</f>
        <v>-760</v>
      </c>
      <c r="T54" t="s">
        <v>47</v>
      </c>
    </row>
    <row r="55" spans="1:20" x14ac:dyDescent="0.2">
      <c r="J55" s="10">
        <f>SUM(J53:J54)</f>
        <v>2593</v>
      </c>
      <c r="K55" s="13"/>
      <c r="L55" s="10">
        <f>SUM(L53:L54)</f>
        <v>2893</v>
      </c>
      <c r="O55" s="10">
        <f>ROUND(+L55,0)</f>
        <v>2893</v>
      </c>
      <c r="Q55" s="13"/>
      <c r="R55" s="10">
        <f>SUM(R53:R54)</f>
        <v>2133</v>
      </c>
      <c r="S55" s="10">
        <f>+R55-Q53</f>
        <v>0</v>
      </c>
      <c r="T55" t="s">
        <v>46</v>
      </c>
    </row>
    <row r="57" spans="1:20" s="32" customFormat="1" x14ac:dyDescent="0.2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1547</v>
      </c>
      <c r="L57" s="14">
        <v>773</v>
      </c>
      <c r="M57" s="36"/>
      <c r="N57" s="25">
        <f>ROUND(+K57,0)</f>
        <v>1547</v>
      </c>
      <c r="O57" s="36">
        <f>ROUND(+L57,0)</f>
        <v>773</v>
      </c>
      <c r="P57" s="36"/>
      <c r="Q57" s="24">
        <v>1387</v>
      </c>
      <c r="R57" s="36">
        <f>ROUND(+O57,0)</f>
        <v>773</v>
      </c>
    </row>
    <row r="58" spans="1:20" s="32" customFormat="1" ht="13.5" thickBot="1" x14ac:dyDescent="0.25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774</v>
      </c>
      <c r="M58" s="37"/>
      <c r="N58" s="37"/>
      <c r="O58" s="39">
        <f>ROUND(+L58,0)</f>
        <v>774</v>
      </c>
      <c r="P58" s="37"/>
      <c r="Q58" s="38"/>
      <c r="R58" s="23">
        <f>ROUND(+Q57-N57+O58,0)</f>
        <v>614</v>
      </c>
      <c r="S58" s="35">
        <f>+R58-O58</f>
        <v>-160</v>
      </c>
      <c r="T58" s="32" t="s">
        <v>47</v>
      </c>
    </row>
    <row r="59" spans="1:20" s="32" customFormat="1" x14ac:dyDescent="0.2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1547</v>
      </c>
      <c r="M59" s="40"/>
      <c r="N59" s="35"/>
      <c r="O59" s="35">
        <f>ROUND(+L59,0)</f>
        <v>1547</v>
      </c>
      <c r="P59" s="40"/>
      <c r="Q59" s="41"/>
      <c r="R59" s="35">
        <f>SUM(R57:R58)</f>
        <v>1387</v>
      </c>
      <c r="S59" s="35">
        <f>+R59-Q57</f>
        <v>0</v>
      </c>
      <c r="T59" s="32" t="s">
        <v>46</v>
      </c>
    </row>
    <row r="61" spans="1:20" s="32" customFormat="1" x14ac:dyDescent="0.2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29</v>
      </c>
      <c r="L61" s="14">
        <v>14</v>
      </c>
      <c r="M61" s="36"/>
      <c r="N61" s="25">
        <f>ROUND(+K61,0)</f>
        <v>29</v>
      </c>
      <c r="O61" s="36">
        <f>ROUND(+L61,0)</f>
        <v>14</v>
      </c>
      <c r="P61" s="36"/>
      <c r="Q61" s="24">
        <v>29</v>
      </c>
      <c r="R61" s="36">
        <f>ROUND(+O61,0)</f>
        <v>14</v>
      </c>
    </row>
    <row r="62" spans="1:20" s="32" customFormat="1" ht="13.5" thickBot="1" x14ac:dyDescent="0.25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15</v>
      </c>
      <c r="M62" s="37"/>
      <c r="N62" s="37"/>
      <c r="O62" s="39">
        <f>ROUND(+L62,0)</f>
        <v>15</v>
      </c>
      <c r="P62" s="37"/>
      <c r="Q62" s="37"/>
      <c r="R62" s="23">
        <f>ROUND(+Q61-N61+O62,0)</f>
        <v>15</v>
      </c>
      <c r="S62" s="35">
        <f>+R62-O62</f>
        <v>0</v>
      </c>
      <c r="T62" s="32" t="s">
        <v>47</v>
      </c>
    </row>
    <row r="63" spans="1:20" s="32" customFormat="1" x14ac:dyDescent="0.2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29</v>
      </c>
      <c r="M63" s="35"/>
      <c r="N63" s="35"/>
      <c r="O63" s="35">
        <f>ROUND(+L63,0)</f>
        <v>29</v>
      </c>
      <c r="P63" s="35"/>
      <c r="Q63" s="35"/>
      <c r="R63" s="35">
        <f>SUM(R61:R62)</f>
        <v>29</v>
      </c>
      <c r="S63" s="35">
        <f>+R63-Q61</f>
        <v>0</v>
      </c>
      <c r="T63" s="32" t="s">
        <v>46</v>
      </c>
    </row>
    <row r="64" spans="1:20" ht="13.5" thickBot="1" x14ac:dyDescent="0.25"/>
    <row r="65" spans="1:21" ht="13.5" thickBot="1" x14ac:dyDescent="0.25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51436</v>
      </c>
      <c r="L65" s="28">
        <f>SUM(L8+L13+L17+L26+L30+L34+L43+L47+L51+L55+L59+L63)</f>
        <v>51436</v>
      </c>
      <c r="N65" s="10">
        <f>SUM(N6:N63)</f>
        <v>51436</v>
      </c>
      <c r="O65" s="28">
        <f>SUM(O8+O13+O17+O26+O30+O34+O43+O47+O51+O55+O59+O63)</f>
        <v>51436</v>
      </c>
      <c r="Q65" s="10">
        <f>SUM(Q6:Q63)</f>
        <v>39803</v>
      </c>
      <c r="R65" s="28">
        <f>SUM(R8+R13+R17+R26+R30+R34+R43+R47+R51+R55+R59+R63)</f>
        <v>39803</v>
      </c>
      <c r="S65" s="29">
        <f>S8+S13+S17+S26+S30+S34+S43+S47+S51+S55+S59+S63</f>
        <v>0</v>
      </c>
      <c r="T65" s="30" t="s">
        <v>55</v>
      </c>
      <c r="U65" s="31"/>
    </row>
    <row r="68" spans="1:21" x14ac:dyDescent="0.2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334</v>
      </c>
      <c r="O68" s="10">
        <f>SUMIF($I$6:$I$62,"22STOW",$O$6:$O$62)</f>
        <v>334</v>
      </c>
      <c r="R68" s="10">
        <f>SUMIF($I$6:$I$62,"22STOW",$R$6:$R$62)</f>
        <v>99</v>
      </c>
    </row>
    <row r="69" spans="1:21" x14ac:dyDescent="0.2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5211</v>
      </c>
      <c r="O69" s="10">
        <f>SUMIF($I$6:$I$62,"23nSTOW",$O$6:$O$62)</f>
        <v>5211</v>
      </c>
      <c r="R69" s="10">
        <f>SUMIF($I$6:$I$62,"23nSTOW",$R$6:$R$62)</f>
        <v>4118</v>
      </c>
    </row>
    <row r="70" spans="1:21" x14ac:dyDescent="0.2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19389</v>
      </c>
      <c r="O70" s="10">
        <f>SUMIF($I$6:$I$62,"23STOW",$O$6:$O$62)</f>
        <v>19389</v>
      </c>
      <c r="R70" s="10">
        <f>SUMIF($I$6:$I$62,"23STOW",$R$6:$R$62)</f>
        <v>9244</v>
      </c>
    </row>
    <row r="71" spans="1:21" x14ac:dyDescent="0.2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789</v>
      </c>
      <c r="O71" s="10">
        <f>SUMIF($I$6:$I$62,"24STOW",$O$6:$O$62)</f>
        <v>789</v>
      </c>
      <c r="R71" s="10">
        <f>SUMIF($I$6:$I$62,"24STOW",$R$6:$R$62)</f>
        <v>629</v>
      </c>
    </row>
    <row r="73" spans="1:21" x14ac:dyDescent="0.2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26297.333769526456</v>
      </c>
      <c r="L73" s="10">
        <f>SUM(L68:L71)</f>
        <v>25723</v>
      </c>
      <c r="N73" s="10">
        <f>+O73/0.97816</f>
        <v>26297.333769526456</v>
      </c>
      <c r="O73" s="10">
        <f>SUM(O68:O71)</f>
        <v>25723</v>
      </c>
      <c r="Q73" s="10">
        <f>+R73/0.97816</f>
        <v>14404.596385049481</v>
      </c>
      <c r="R73" s="10">
        <f>SUM(R68:R71)</f>
        <v>14090</v>
      </c>
    </row>
    <row r="75" spans="1:21" x14ac:dyDescent="0.2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">
      <c r="D78" t="s">
        <v>85</v>
      </c>
      <c r="F78">
        <v>67693</v>
      </c>
      <c r="G78" s="1" t="s">
        <v>84</v>
      </c>
      <c r="L78" s="10">
        <f>SUMIF($A$6:$A$64,"67693",$L$6:$L$64)</f>
        <v>42909</v>
      </c>
      <c r="O78" s="10">
        <f>SUMIF($A$6:$A$64,"67693",$O$6:$O$64)</f>
        <v>42909</v>
      </c>
      <c r="R78" s="10">
        <f>SUMIF($A$6:$A$64,"67693",$R$6:$R$64)</f>
        <v>31276</v>
      </c>
    </row>
    <row r="79" spans="1:21" x14ac:dyDescent="0.2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3">
    <pageSetUpPr fitToPage="1"/>
  </sheetPr>
  <dimension ref="A1:U80"/>
  <sheetViews>
    <sheetView topLeftCell="D10" workbookViewId="0">
      <selection activeCell="Q73" sqref="Q73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667</v>
      </c>
      <c r="L6" s="14">
        <v>333</v>
      </c>
      <c r="M6" s="14"/>
      <c r="N6" s="25">
        <f>ROUND(+K6,0)</f>
        <v>667</v>
      </c>
      <c r="O6" s="14">
        <f>ROUND(+L6,0)</f>
        <v>333</v>
      </c>
      <c r="P6" s="14"/>
      <c r="Q6" s="24">
        <v>761</v>
      </c>
      <c r="R6" s="14">
        <f>+O6</f>
        <v>333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334</v>
      </c>
      <c r="M7" s="16"/>
      <c r="N7" s="16"/>
      <c r="O7" s="18">
        <f>ROUND(+L7,0)</f>
        <v>334</v>
      </c>
      <c r="P7" s="14"/>
      <c r="R7" s="23">
        <f>ROUND(+Q6-N6+O7,0)</f>
        <v>428</v>
      </c>
      <c r="S7" s="10">
        <f>+R7-O7</f>
        <v>94</v>
      </c>
      <c r="T7" t="s">
        <v>47</v>
      </c>
    </row>
    <row r="8" spans="1:20" x14ac:dyDescent="0.2">
      <c r="J8" s="10">
        <f>SUM(J6:J7)</f>
        <v>492</v>
      </c>
      <c r="L8" s="10">
        <f>SUM(L6:L7)</f>
        <v>667</v>
      </c>
      <c r="O8" s="10">
        <f>ROUND(+L8,0)</f>
        <v>667</v>
      </c>
      <c r="R8" s="10">
        <f>SUM(R6:R7)</f>
        <v>761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7429</v>
      </c>
      <c r="L10" s="14">
        <v>3714</v>
      </c>
      <c r="M10" s="14"/>
      <c r="N10" s="25">
        <f>ROUND(+K10,0)</f>
        <v>7429</v>
      </c>
      <c r="O10" s="14">
        <f>ROUND(+L10,0)</f>
        <v>3714</v>
      </c>
      <c r="P10" s="14"/>
      <c r="Q10" s="24">
        <v>6409</v>
      </c>
      <c r="R10" s="14">
        <f>ROUND(+O10,0)</f>
        <v>3714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3715</v>
      </c>
      <c r="M12" s="16"/>
      <c r="N12" s="16"/>
      <c r="O12" s="18">
        <f>ROUND(+L12,0)</f>
        <v>3715</v>
      </c>
      <c r="P12" s="16"/>
      <c r="Q12" s="19"/>
      <c r="R12" s="23">
        <f>ROUND(+Q10-N10+O12,0)</f>
        <v>2695</v>
      </c>
      <c r="S12" s="10">
        <f>+R12-O12</f>
        <v>-1020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7429</v>
      </c>
      <c r="M13" s="14"/>
      <c r="O13" s="10">
        <f>ROUND(+L13,0)</f>
        <v>7429</v>
      </c>
      <c r="P13" s="14"/>
      <c r="Q13" s="13"/>
      <c r="R13" s="10">
        <f>SUM(R10:R12)</f>
        <v>6409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2991</v>
      </c>
      <c r="L15" s="14">
        <v>1495</v>
      </c>
      <c r="M15" s="14"/>
      <c r="N15" s="25">
        <f>ROUND(+K15,0)</f>
        <v>2991</v>
      </c>
      <c r="O15" s="14">
        <f>ROUND(+L15,0)</f>
        <v>1495</v>
      </c>
      <c r="P15" s="14"/>
      <c r="Q15" s="24">
        <v>2441</v>
      </c>
      <c r="R15" s="14">
        <f>ROUND(+O15,0)</f>
        <v>1495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1496</v>
      </c>
      <c r="M16" s="16"/>
      <c r="N16" s="16"/>
      <c r="O16" s="18">
        <f>ROUND(+L16,0)</f>
        <v>1496</v>
      </c>
      <c r="P16" s="16"/>
      <c r="Q16" s="19"/>
      <c r="R16" s="23">
        <f>ROUND(+Q15-N15+O16,0)</f>
        <v>946</v>
      </c>
      <c r="S16" s="10">
        <f>+R16-O16</f>
        <v>-550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2441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15872</v>
      </c>
      <c r="L19" s="14">
        <v>2936</v>
      </c>
      <c r="M19" s="14"/>
      <c r="N19" s="25">
        <f>ROUND(+K19,0)</f>
        <v>15872</v>
      </c>
      <c r="O19" s="14">
        <f>ROUND(+L19,0)</f>
        <v>2936</v>
      </c>
      <c r="P19" s="14"/>
      <c r="Q19" s="24">
        <v>11757</v>
      </c>
      <c r="R19" s="14">
        <f>ROUND(+O19,0)</f>
        <v>2936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5000</v>
      </c>
      <c r="M22" s="24"/>
      <c r="N22" s="24"/>
      <c r="O22" s="66">
        <f>L22</f>
        <v>5000</v>
      </c>
      <c r="P22" s="24"/>
      <c r="Q22" s="24"/>
      <c r="R22" s="66">
        <f>L22</f>
        <v>5000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5" thickBot="1" x14ac:dyDescent="0.25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7936</v>
      </c>
      <c r="M25" s="16"/>
      <c r="N25" s="16"/>
      <c r="O25" s="18">
        <f>ROUND(+L25,0)</f>
        <v>7936</v>
      </c>
      <c r="P25" s="16"/>
      <c r="Q25" s="19"/>
      <c r="R25" s="23">
        <f>ROUND(+Q19-N19+O25,0)</f>
        <v>3821</v>
      </c>
      <c r="S25" s="10">
        <f>+R25-O25</f>
        <v>-4115</v>
      </c>
      <c r="T25" t="s">
        <v>47</v>
      </c>
    </row>
    <row r="26" spans="1:20" x14ac:dyDescent="0.2">
      <c r="J26" s="14">
        <f>SUM(J19:J25)</f>
        <v>11910</v>
      </c>
      <c r="K26" s="13"/>
      <c r="L26" s="10">
        <f>SUM(L19:L25)</f>
        <v>15872</v>
      </c>
      <c r="M26" s="14"/>
      <c r="O26" s="10">
        <f>ROUND(+L26,0)</f>
        <v>15872</v>
      </c>
      <c r="P26" s="14"/>
      <c r="Q26" s="13"/>
      <c r="R26" s="10">
        <f>SUM(R19:R25)</f>
        <v>11757</v>
      </c>
      <c r="S26" s="10">
        <f>+R26-Q19</f>
        <v>0</v>
      </c>
      <c r="T26" t="s">
        <v>46</v>
      </c>
    </row>
    <row r="28" spans="1:20" x14ac:dyDescent="0.2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2400</v>
      </c>
      <c r="L28" s="14">
        <f>ROUND(+K28*H28,0)</f>
        <v>1200</v>
      </c>
      <c r="M28" s="14"/>
      <c r="N28" s="25">
        <f>ROUND(+K28,0)</f>
        <v>2400</v>
      </c>
      <c r="O28" s="14">
        <f>ROUND(+L28,0)</f>
        <v>1200</v>
      </c>
      <c r="P28" s="14"/>
      <c r="Q28" s="24">
        <v>1667</v>
      </c>
      <c r="R28" s="14">
        <f>ROUND(+O28,0)</f>
        <v>1200</v>
      </c>
    </row>
    <row r="29" spans="1:20" ht="13.5" thickBot="1" x14ac:dyDescent="0.25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1200</v>
      </c>
      <c r="M29" s="18"/>
      <c r="N29" s="16"/>
      <c r="O29" s="18">
        <f>ROUND(+L29,0)</f>
        <v>1200</v>
      </c>
      <c r="P29" s="18"/>
      <c r="Q29" s="19"/>
      <c r="R29" s="23">
        <f>ROUND(+Q28-N28+O29,0)</f>
        <v>467</v>
      </c>
      <c r="S29" s="10">
        <f>+R29-O29</f>
        <v>-733</v>
      </c>
      <c r="T29" t="s">
        <v>47</v>
      </c>
    </row>
    <row r="30" spans="1:20" x14ac:dyDescent="0.2">
      <c r="J30" s="10">
        <f>SUM(J28:J29)</f>
        <v>1790</v>
      </c>
      <c r="K30" s="13"/>
      <c r="L30" s="10">
        <f>SUM(L28:L29)</f>
        <v>2400</v>
      </c>
      <c r="O30" s="10">
        <f>ROUND(+L30,0)</f>
        <v>2400</v>
      </c>
      <c r="Q30" s="13"/>
      <c r="R30" s="10">
        <f>SUM(R28:R29)</f>
        <v>1667</v>
      </c>
      <c r="S30" s="10">
        <f>+R30-Q28</f>
        <v>0</v>
      </c>
      <c r="T30" t="s">
        <v>46</v>
      </c>
    </row>
    <row r="32" spans="1:20" x14ac:dyDescent="0.2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1490</v>
      </c>
      <c r="L32" s="14">
        <f>ROUND(+K32*H32,0)</f>
        <v>745</v>
      </c>
      <c r="M32" s="14"/>
      <c r="N32" s="25">
        <f>ROUND(+K32,0)</f>
        <v>1490</v>
      </c>
      <c r="O32" s="14">
        <f>ROUND(+L32,0)</f>
        <v>745</v>
      </c>
      <c r="P32" s="14"/>
      <c r="Q32" s="24">
        <v>1248</v>
      </c>
      <c r="R32" s="14">
        <f>ROUND(+O32,0)</f>
        <v>745</v>
      </c>
    </row>
    <row r="33" spans="1:20" ht="13.5" thickBot="1" x14ac:dyDescent="0.25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745</v>
      </c>
      <c r="M33" s="16"/>
      <c r="N33" s="16"/>
      <c r="O33" s="18">
        <f>ROUND(+L33,0)</f>
        <v>745</v>
      </c>
      <c r="P33" s="16"/>
      <c r="Q33" s="19"/>
      <c r="R33" s="23">
        <f>ROUND(+Q32-N32+O33,0)</f>
        <v>503</v>
      </c>
      <c r="S33" s="10">
        <f>+R33-O33</f>
        <v>-242</v>
      </c>
      <c r="T33" t="s">
        <v>47</v>
      </c>
    </row>
    <row r="34" spans="1:20" x14ac:dyDescent="0.2">
      <c r="J34" s="10">
        <f>SUM(J32:J33)</f>
        <v>1426</v>
      </c>
      <c r="K34" s="13"/>
      <c r="L34" s="10">
        <f>SUM(L32:L33)</f>
        <v>1490</v>
      </c>
      <c r="O34" s="10">
        <f>ROUND(+L34,0)</f>
        <v>1490</v>
      </c>
      <c r="Q34" s="13"/>
      <c r="R34" s="10">
        <f>SUM(R32:R33)</f>
        <v>1248</v>
      </c>
      <c r="S34" s="10">
        <f>+R34-Q32</f>
        <v>0</v>
      </c>
      <c r="T34" t="s">
        <v>46</v>
      </c>
    </row>
    <row r="36" spans="1:20" x14ac:dyDescent="0.2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13320</v>
      </c>
      <c r="L36" s="14">
        <v>3133</v>
      </c>
      <c r="M36" s="14"/>
      <c r="N36" s="25">
        <f>ROUND(+K36,0)</f>
        <v>13320</v>
      </c>
      <c r="O36" s="14">
        <f>ROUND(+L36,0)</f>
        <v>3133</v>
      </c>
      <c r="P36" s="14"/>
      <c r="Q36" s="24">
        <v>8532</v>
      </c>
      <c r="R36" s="14">
        <f>ROUND(+O36,0)</f>
        <v>3133</v>
      </c>
    </row>
    <row r="37" spans="1:20" s="60" customFormat="1" x14ac:dyDescent="0.2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3527</v>
      </c>
      <c r="M39" s="24"/>
      <c r="N39" s="24"/>
      <c r="O39" s="66">
        <f>L39</f>
        <v>3527</v>
      </c>
      <c r="P39" s="24"/>
      <c r="Q39" s="24"/>
      <c r="R39" s="66">
        <f>L39</f>
        <v>3527</v>
      </c>
    </row>
    <row r="40" spans="1:20" s="60" customFormat="1" x14ac:dyDescent="0.2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5" thickBot="1" x14ac:dyDescent="0.25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6660</v>
      </c>
      <c r="M42" s="16"/>
      <c r="N42" s="16"/>
      <c r="O42" s="18">
        <f>ROUND(+L42,0)</f>
        <v>6660</v>
      </c>
      <c r="P42" s="16"/>
      <c r="Q42" s="19"/>
      <c r="R42" s="23">
        <f>ROUND(+Q36-N36+O42,0)</f>
        <v>1872</v>
      </c>
      <c r="S42" s="10">
        <f>+R42-O42</f>
        <v>-4788</v>
      </c>
      <c r="T42" t="s">
        <v>47</v>
      </c>
    </row>
    <row r="43" spans="1:20" x14ac:dyDescent="0.2">
      <c r="J43" s="10">
        <f>SUM(J36:J42)</f>
        <v>11360</v>
      </c>
      <c r="K43" s="13"/>
      <c r="L43" s="10">
        <f>SUM(L36:L42)</f>
        <v>13320</v>
      </c>
      <c r="O43" s="10">
        <f>ROUND(+L43,0)</f>
        <v>13320</v>
      </c>
      <c r="Q43" s="13"/>
      <c r="R43" s="10">
        <f>SUM(R36:R42)</f>
        <v>8532</v>
      </c>
      <c r="S43" s="10">
        <f>+R43-Q36</f>
        <v>0</v>
      </c>
      <c r="T43" t="s">
        <v>46</v>
      </c>
    </row>
    <row r="45" spans="1:20" ht="12" customHeight="1" x14ac:dyDescent="0.2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2099</v>
      </c>
      <c r="L45" s="14">
        <v>1049</v>
      </c>
      <c r="M45" s="14"/>
      <c r="N45" s="25">
        <f>ROUND(+K45,0)</f>
        <v>2099</v>
      </c>
      <c r="O45" s="14">
        <f>ROUND(+L45,0)</f>
        <v>1049</v>
      </c>
      <c r="P45" s="14"/>
      <c r="Q45" s="24">
        <v>1648</v>
      </c>
      <c r="R45" s="14">
        <f>ROUND(+O45,0)</f>
        <v>1049</v>
      </c>
    </row>
    <row r="46" spans="1:20" ht="12" customHeight="1" thickBot="1" x14ac:dyDescent="0.25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1050</v>
      </c>
      <c r="M46" s="16"/>
      <c r="N46" s="16"/>
      <c r="O46" s="18">
        <f>ROUND(+L46,0)</f>
        <v>1050</v>
      </c>
      <c r="P46" s="16"/>
      <c r="Q46" s="19"/>
      <c r="R46" s="23">
        <f>ROUND(+Q45-N45+O46,0)</f>
        <v>599</v>
      </c>
      <c r="S46" s="10">
        <f>+R46-O46</f>
        <v>-451</v>
      </c>
      <c r="T46" t="s">
        <v>47</v>
      </c>
    </row>
    <row r="47" spans="1:20" ht="12" customHeight="1" x14ac:dyDescent="0.2">
      <c r="J47" s="10">
        <f>SUM(J45:J46)</f>
        <v>1892</v>
      </c>
      <c r="K47" s="13"/>
      <c r="L47" s="10">
        <f>SUM(L45:L46)</f>
        <v>2099</v>
      </c>
      <c r="O47" s="10">
        <f>ROUND(+L47,0)</f>
        <v>2099</v>
      </c>
      <c r="Q47" s="13"/>
      <c r="R47" s="10">
        <f>SUM(R45:R46)</f>
        <v>1648</v>
      </c>
      <c r="S47" s="10">
        <f>+R47-Q45</f>
        <v>0</v>
      </c>
      <c r="T47" t="s">
        <v>46</v>
      </c>
    </row>
    <row r="48" spans="1:20" ht="12" customHeight="1" x14ac:dyDescent="0.2"/>
    <row r="49" spans="1:20" x14ac:dyDescent="0.2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2203</v>
      </c>
      <c r="L49" s="14">
        <v>1101</v>
      </c>
      <c r="M49" s="14"/>
      <c r="N49" s="25">
        <f>ROUND(+K49,0)</f>
        <v>2203</v>
      </c>
      <c r="O49" s="14">
        <f>ROUND(+L49,0)</f>
        <v>1101</v>
      </c>
      <c r="P49" s="14"/>
      <c r="Q49" s="24">
        <v>1710</v>
      </c>
      <c r="R49" s="14">
        <f>ROUND(+O49,0)</f>
        <v>1101</v>
      </c>
    </row>
    <row r="50" spans="1:20" ht="13.5" thickBot="1" x14ac:dyDescent="0.25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1102</v>
      </c>
      <c r="M50" s="16"/>
      <c r="N50" s="16"/>
      <c r="O50" s="18">
        <f>ROUND(+L50,0)</f>
        <v>1102</v>
      </c>
      <c r="P50" s="16"/>
      <c r="Q50" s="19"/>
      <c r="R50" s="23">
        <f>ROUND(+Q49-N49+O50,0)</f>
        <v>609</v>
      </c>
      <c r="S50" s="10">
        <f>+R50-O50</f>
        <v>-493</v>
      </c>
      <c r="T50" t="s">
        <v>47</v>
      </c>
    </row>
    <row r="51" spans="1:20" x14ac:dyDescent="0.2">
      <c r="J51" s="10">
        <f>SUM(J49:J50)</f>
        <v>2000</v>
      </c>
      <c r="L51" s="10">
        <f>SUM(L49:L50)</f>
        <v>2203</v>
      </c>
      <c r="O51" s="10">
        <f>ROUND(+L51,0)</f>
        <v>2203</v>
      </c>
      <c r="R51" s="10">
        <f>SUM(R49:R50)</f>
        <v>1710</v>
      </c>
      <c r="S51" s="10">
        <f>+R51-Q49</f>
        <v>0</v>
      </c>
      <c r="T51" t="s">
        <v>46</v>
      </c>
    </row>
    <row r="53" spans="1:20" x14ac:dyDescent="0.2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2741</v>
      </c>
      <c r="L53" s="14">
        <v>1370</v>
      </c>
      <c r="M53" s="14"/>
      <c r="N53" s="25">
        <f>ROUND(+K53,0)</f>
        <v>2741</v>
      </c>
      <c r="O53" s="14">
        <f>ROUND(+L53,0)</f>
        <v>1370</v>
      </c>
      <c r="P53" s="14"/>
      <c r="Q53" s="24">
        <v>1678</v>
      </c>
      <c r="R53" s="14">
        <f>ROUND(+O53,0)</f>
        <v>1370</v>
      </c>
    </row>
    <row r="54" spans="1:20" ht="13.5" thickBot="1" x14ac:dyDescent="0.25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1371</v>
      </c>
      <c r="M54" s="16"/>
      <c r="N54" s="16"/>
      <c r="O54" s="18">
        <f>ROUND(+L54,0)</f>
        <v>1371</v>
      </c>
      <c r="P54" s="16"/>
      <c r="Q54" s="19"/>
      <c r="R54" s="23">
        <f>ROUND(+Q53-N53+O54,0)</f>
        <v>308</v>
      </c>
      <c r="S54" s="10">
        <f>+R54-O54</f>
        <v>-1063</v>
      </c>
      <c r="T54" t="s">
        <v>47</v>
      </c>
    </row>
    <row r="55" spans="1:20" x14ac:dyDescent="0.2">
      <c r="J55" s="10">
        <f>SUM(J53:J54)</f>
        <v>2593</v>
      </c>
      <c r="K55" s="13"/>
      <c r="L55" s="10">
        <f>SUM(L53:L54)</f>
        <v>2741</v>
      </c>
      <c r="O55" s="10">
        <f>ROUND(+L55,0)</f>
        <v>2741</v>
      </c>
      <c r="Q55" s="13"/>
      <c r="R55" s="10">
        <f>SUM(R53:R54)</f>
        <v>1678</v>
      </c>
      <c r="S55" s="10">
        <f>+R55-Q53</f>
        <v>0</v>
      </c>
      <c r="T55" t="s">
        <v>46</v>
      </c>
    </row>
    <row r="57" spans="1:20" s="32" customFormat="1" x14ac:dyDescent="0.2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1387</v>
      </c>
      <c r="L57" s="14">
        <v>693</v>
      </c>
      <c r="M57" s="36"/>
      <c r="N57" s="25">
        <f>ROUND(+K57,0)</f>
        <v>1387</v>
      </c>
      <c r="O57" s="36">
        <f>ROUND(+L57,0)</f>
        <v>693</v>
      </c>
      <c r="P57" s="36"/>
      <c r="Q57" s="24">
        <v>747</v>
      </c>
      <c r="R57" s="36">
        <f>ROUND(+O57,0)</f>
        <v>693</v>
      </c>
    </row>
    <row r="58" spans="1:20" s="32" customFormat="1" ht="13.5" thickBot="1" x14ac:dyDescent="0.25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694</v>
      </c>
      <c r="M58" s="37"/>
      <c r="N58" s="37"/>
      <c r="O58" s="39">
        <f>ROUND(+L58,0)</f>
        <v>694</v>
      </c>
      <c r="P58" s="37"/>
      <c r="Q58" s="38"/>
      <c r="R58" s="23">
        <f>ROUND(+Q57-N57+O58,0)</f>
        <v>54</v>
      </c>
      <c r="S58" s="35">
        <f>+R58-O58</f>
        <v>-640</v>
      </c>
      <c r="T58" s="32" t="s">
        <v>47</v>
      </c>
    </row>
    <row r="59" spans="1:20" s="32" customFormat="1" x14ac:dyDescent="0.2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1387</v>
      </c>
      <c r="M59" s="40"/>
      <c r="N59" s="35"/>
      <c r="O59" s="35">
        <f>ROUND(+L59,0)</f>
        <v>1387</v>
      </c>
      <c r="P59" s="40"/>
      <c r="Q59" s="41"/>
      <c r="R59" s="35">
        <f>SUM(R57:R58)</f>
        <v>747</v>
      </c>
      <c r="S59" s="35">
        <f>+R59-Q57</f>
        <v>0</v>
      </c>
      <c r="T59" s="32" t="s">
        <v>46</v>
      </c>
    </row>
    <row r="61" spans="1:20" s="32" customFormat="1" x14ac:dyDescent="0.2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26</v>
      </c>
      <c r="L61" s="14">
        <f>ROUND(+K61*H61,0)</f>
        <v>13</v>
      </c>
      <c r="M61" s="36"/>
      <c r="N61" s="25">
        <f>ROUND(+K61,0)</f>
        <v>26</v>
      </c>
      <c r="O61" s="36">
        <f>ROUND(+L61,0)</f>
        <v>13</v>
      </c>
      <c r="P61" s="36"/>
      <c r="Q61" s="24">
        <v>21</v>
      </c>
      <c r="R61" s="36">
        <f>ROUND(+O61,0)</f>
        <v>13</v>
      </c>
    </row>
    <row r="62" spans="1:20" s="32" customFormat="1" ht="13.5" thickBot="1" x14ac:dyDescent="0.25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13</v>
      </c>
      <c r="M62" s="37"/>
      <c r="N62" s="37"/>
      <c r="O62" s="39">
        <f>ROUND(+L62,0)</f>
        <v>13</v>
      </c>
      <c r="P62" s="37"/>
      <c r="Q62" s="37"/>
      <c r="R62" s="23">
        <f>ROUND(+Q61-N61+O62,0)</f>
        <v>8</v>
      </c>
      <c r="S62" s="35">
        <f>+R62-O62</f>
        <v>-5</v>
      </c>
      <c r="T62" s="32" t="s">
        <v>47</v>
      </c>
    </row>
    <row r="63" spans="1:20" s="32" customFormat="1" x14ac:dyDescent="0.2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26</v>
      </c>
      <c r="M63" s="35"/>
      <c r="N63" s="35"/>
      <c r="O63" s="35">
        <f>ROUND(+L63,0)</f>
        <v>26</v>
      </c>
      <c r="P63" s="35"/>
      <c r="Q63" s="35"/>
      <c r="R63" s="35">
        <f>SUM(R61:R62)</f>
        <v>21</v>
      </c>
      <c r="S63" s="35">
        <f>+R63-Q61</f>
        <v>0</v>
      </c>
      <c r="T63" s="32" t="s">
        <v>46</v>
      </c>
    </row>
    <row r="64" spans="1:20" ht="13.5" thickBot="1" x14ac:dyDescent="0.25"/>
    <row r="65" spans="1:21" ht="13.5" thickBot="1" x14ac:dyDescent="0.25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52625</v>
      </c>
      <c r="L65" s="28">
        <f>SUM(L8+L13+L17+L26+L30+L34+L43+L47+L51+L55+L59+L63)</f>
        <v>52625</v>
      </c>
      <c r="N65" s="10">
        <f>SUM(N6:N63)</f>
        <v>52625</v>
      </c>
      <c r="O65" s="28">
        <f>SUM(O8+O13+O17+O26+O30+O34+O43+O47+O51+O55+O59+O63)</f>
        <v>52625</v>
      </c>
      <c r="Q65" s="10">
        <f>SUM(Q6:Q63)</f>
        <v>38619</v>
      </c>
      <c r="R65" s="28">
        <f>SUM(R8+R13+R17+R26+R30+R34+R43+R47+R51+R55+R59+R63)</f>
        <v>38619</v>
      </c>
      <c r="S65" s="29">
        <f>S8+S13+S17+S26+S30+S34+S43+S47+S51+S55+S59+S63</f>
        <v>0</v>
      </c>
      <c r="T65" s="30" t="s">
        <v>55</v>
      </c>
      <c r="U65" s="31"/>
    </row>
    <row r="68" spans="1:21" x14ac:dyDescent="0.2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334</v>
      </c>
      <c r="O68" s="10">
        <f>SUMIF($I$6:$I$62,"22STOW",$O$6:$O$62)</f>
        <v>334</v>
      </c>
      <c r="R68" s="10">
        <f>SUMIF($I$6:$I$62,"22STOW",$R$6:$R$62)</f>
        <v>428</v>
      </c>
    </row>
    <row r="69" spans="1:21" x14ac:dyDescent="0.2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5211</v>
      </c>
      <c r="O69" s="10">
        <f>SUMIF($I$6:$I$62,"23nSTOW",$O$6:$O$62)</f>
        <v>5211</v>
      </c>
      <c r="R69" s="10">
        <f>SUMIF($I$6:$I$62,"23nSTOW",$R$6:$R$62)</f>
        <v>3641</v>
      </c>
    </row>
    <row r="70" spans="1:21" x14ac:dyDescent="0.2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20064</v>
      </c>
      <c r="O70" s="10">
        <f>SUMIF($I$6:$I$62,"23STOW",$O$6:$O$62)</f>
        <v>20064</v>
      </c>
      <c r="R70" s="10">
        <f>SUMIF($I$6:$I$62,"23STOW",$R$6:$R$62)</f>
        <v>8179</v>
      </c>
    </row>
    <row r="71" spans="1:21" x14ac:dyDescent="0.2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707</v>
      </c>
      <c r="O71" s="10">
        <f>SUMIF($I$6:$I$62,"24STOW",$O$6:$O$62)</f>
        <v>707</v>
      </c>
      <c r="R71" s="10">
        <f>SUMIF($I$6:$I$62,"24STOW",$R$6:$R$62)</f>
        <v>62</v>
      </c>
    </row>
    <row r="73" spans="1:21" x14ac:dyDescent="0.2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26903.57405741392</v>
      </c>
      <c r="L73" s="10">
        <f>SUM(L68:L71)</f>
        <v>26316</v>
      </c>
      <c r="N73" s="10">
        <f>+O73/0.97816</f>
        <v>26903.57405741392</v>
      </c>
      <c r="O73" s="10">
        <f>SUM(O68:O71)</f>
        <v>26316</v>
      </c>
      <c r="Q73" s="10">
        <f>+R73/0.97816</f>
        <v>12584.853193751533</v>
      </c>
      <c r="R73" s="10">
        <f>SUM(R68:R71)</f>
        <v>12310</v>
      </c>
    </row>
    <row r="75" spans="1:21" x14ac:dyDescent="0.2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">
      <c r="D78" t="s">
        <v>85</v>
      </c>
      <c r="F78">
        <v>67693</v>
      </c>
      <c r="G78" s="1" t="s">
        <v>84</v>
      </c>
      <c r="L78" s="10">
        <f>SUMIF($A$6:$A$64,"67693",$L$6:$L$64)</f>
        <v>44098</v>
      </c>
      <c r="O78" s="10">
        <f>SUMIF($A$6:$A$64,"67693",$O$6:$O$64)</f>
        <v>44098</v>
      </c>
      <c r="R78" s="10">
        <f>SUMIF($A$6:$A$64,"67693",$R$6:$R$64)</f>
        <v>30092</v>
      </c>
    </row>
    <row r="79" spans="1:21" x14ac:dyDescent="0.2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2">
    <pageSetUpPr fitToPage="1"/>
  </sheetPr>
  <dimension ref="A1:U80"/>
  <sheetViews>
    <sheetView topLeftCell="C13" workbookViewId="0">
      <selection activeCell="Q1" sqref="Q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901</v>
      </c>
      <c r="L6" s="14">
        <f>ROUND(+K6*H6,0)</f>
        <v>451</v>
      </c>
      <c r="M6" s="14"/>
      <c r="N6" s="25">
        <f>ROUND(+K6,0)</f>
        <v>901</v>
      </c>
      <c r="O6" s="14">
        <f>ROUND(+L6,0)</f>
        <v>451</v>
      </c>
      <c r="P6" s="14"/>
      <c r="Q6" s="24">
        <v>761</v>
      </c>
      <c r="R6" s="14">
        <f>+O6</f>
        <v>451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450</v>
      </c>
      <c r="M7" s="16"/>
      <c r="N7" s="16"/>
      <c r="O7" s="18">
        <f>ROUND(+L7,0)</f>
        <v>450</v>
      </c>
      <c r="P7" s="14"/>
      <c r="R7" s="23">
        <f>ROUND(+Q6-N6+O7,0)</f>
        <v>310</v>
      </c>
      <c r="S7" s="10">
        <f>+R7-O7</f>
        <v>-140</v>
      </c>
      <c r="T7" t="s">
        <v>47</v>
      </c>
    </row>
    <row r="8" spans="1:20" x14ac:dyDescent="0.2">
      <c r="J8" s="10">
        <f>SUM(J6:J7)</f>
        <v>492</v>
      </c>
      <c r="L8" s="10">
        <f>SUM(L6:L7)</f>
        <v>901</v>
      </c>
      <c r="O8" s="10">
        <f>ROUND(+L8,0)</f>
        <v>901</v>
      </c>
      <c r="R8" s="10">
        <f>SUM(R6:R7)</f>
        <v>761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8110</v>
      </c>
      <c r="L10" s="14">
        <f>ROUND(+K10*H10,0)</f>
        <v>4055</v>
      </c>
      <c r="M10" s="14"/>
      <c r="N10" s="25">
        <f>ROUND(+K10,0)</f>
        <v>8110</v>
      </c>
      <c r="O10" s="14">
        <f>ROUND(+L10,0)</f>
        <v>4055</v>
      </c>
      <c r="P10" s="14"/>
      <c r="Q10" s="24">
        <v>7770</v>
      </c>
      <c r="R10" s="14">
        <f>ROUND(+O10,0)</f>
        <v>4055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4055</v>
      </c>
      <c r="M12" s="16"/>
      <c r="N12" s="16"/>
      <c r="O12" s="18">
        <f>ROUND(+L12,0)</f>
        <v>4055</v>
      </c>
      <c r="P12" s="16"/>
      <c r="Q12" s="19"/>
      <c r="R12" s="23">
        <f>ROUND(+Q10-N10+O12,0)</f>
        <v>3715</v>
      </c>
      <c r="S12" s="10">
        <f>+R12-O12</f>
        <v>-340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8110</v>
      </c>
      <c r="M13" s="14"/>
      <c r="O13" s="10">
        <f>ROUND(+L13,0)</f>
        <v>8110</v>
      </c>
      <c r="P13" s="14"/>
      <c r="Q13" s="13"/>
      <c r="R13" s="10">
        <f>SUM(R10:R12)</f>
        <v>7770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2991</v>
      </c>
      <c r="L15" s="14">
        <f>ROUND(+K15*H15,0)</f>
        <v>1496</v>
      </c>
      <c r="M15" s="14"/>
      <c r="N15" s="25">
        <f>ROUND(+K15,0)</f>
        <v>2991</v>
      </c>
      <c r="O15" s="14">
        <f>ROUND(+L15,0)</f>
        <v>1496</v>
      </c>
      <c r="P15" s="14"/>
      <c r="Q15" s="24">
        <v>2991</v>
      </c>
      <c r="R15" s="14">
        <f>ROUND(+O15,0)</f>
        <v>1496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v>1495</v>
      </c>
      <c r="M16" s="16"/>
      <c r="N16" s="16"/>
      <c r="O16" s="18">
        <f>ROUND(+L16,0)</f>
        <v>1495</v>
      </c>
      <c r="P16" s="16"/>
      <c r="Q16" s="19"/>
      <c r="R16" s="23">
        <f>ROUND(+Q15-N15+O16,0)</f>
        <v>1495</v>
      </c>
      <c r="S16" s="10">
        <f>+R16-O16</f>
        <v>0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2991</v>
      </c>
      <c r="O17" s="10">
        <f>ROUND(+L17,0)</f>
        <v>2991</v>
      </c>
      <c r="Q17" s="13"/>
      <c r="R17" s="10">
        <f>SUM(R15:R16)</f>
        <v>2991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15186</v>
      </c>
      <c r="L19" s="14">
        <v>3593</v>
      </c>
      <c r="M19" s="14"/>
      <c r="N19" s="25">
        <f>ROUND(+K19,0)</f>
        <v>15186</v>
      </c>
      <c r="O19" s="14">
        <f>ROUND(+L19,0)</f>
        <v>3593</v>
      </c>
      <c r="P19" s="14"/>
      <c r="Q19" s="24">
        <v>14500</v>
      </c>
      <c r="R19" s="14">
        <f>ROUND(+O19,0)</f>
        <v>3593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4000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>L22</f>
        <v>0</v>
      </c>
      <c r="P22" s="24"/>
      <c r="Q22" s="24"/>
      <c r="R22" s="66">
        <f>L22</f>
        <v>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5" thickBot="1" x14ac:dyDescent="0.25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v>7593</v>
      </c>
      <c r="M25" s="16"/>
      <c r="N25" s="16"/>
      <c r="O25" s="18">
        <f>ROUND(+L25,0)</f>
        <v>7593</v>
      </c>
      <c r="P25" s="16"/>
      <c r="Q25" s="19"/>
      <c r="R25" s="23">
        <f>ROUND(+Q19-N19+O25,0)</f>
        <v>6907</v>
      </c>
      <c r="S25" s="10">
        <f>+R25-O25</f>
        <v>-686</v>
      </c>
      <c r="T25" t="s">
        <v>47</v>
      </c>
    </row>
    <row r="26" spans="1:20" x14ac:dyDescent="0.2">
      <c r="J26" s="14">
        <f>SUM(J19:J25)</f>
        <v>15910</v>
      </c>
      <c r="K26" s="13"/>
      <c r="L26" s="10">
        <f>SUM(L19:L25)</f>
        <v>15186</v>
      </c>
      <c r="M26" s="14"/>
      <c r="O26" s="10">
        <f>ROUND(+L26,0)</f>
        <v>15186</v>
      </c>
      <c r="P26" s="14"/>
      <c r="Q26" s="13"/>
      <c r="R26" s="10">
        <f>SUM(R19:R25)</f>
        <v>14500</v>
      </c>
      <c r="S26" s="10">
        <f>+R26-Q19</f>
        <v>0</v>
      </c>
      <c r="T26" t="s">
        <v>46</v>
      </c>
    </row>
    <row r="28" spans="1:20" x14ac:dyDescent="0.2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>
        <v>2504</v>
      </c>
      <c r="L28" s="14">
        <f>ROUND(+K28*H28,0)</f>
        <v>1252</v>
      </c>
      <c r="M28" s="14"/>
      <c r="N28" s="25">
        <f>ROUND(+K28,0)</f>
        <v>2504</v>
      </c>
      <c r="O28" s="14">
        <f>ROUND(+L28,0)</f>
        <v>1252</v>
      </c>
      <c r="P28" s="14"/>
      <c r="Q28" s="24">
        <v>2086</v>
      </c>
      <c r="R28" s="14">
        <f>ROUND(+O28,0)</f>
        <v>1252</v>
      </c>
    </row>
    <row r="29" spans="1:20" ht="13.5" thickBot="1" x14ac:dyDescent="0.25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1252</v>
      </c>
      <c r="M29" s="18"/>
      <c r="N29" s="16"/>
      <c r="O29" s="18">
        <f>ROUND(+L29,0)</f>
        <v>1252</v>
      </c>
      <c r="P29" s="18"/>
      <c r="Q29" s="19"/>
      <c r="R29" s="23">
        <f>ROUND(+Q28-N28+O29,0)</f>
        <v>834</v>
      </c>
      <c r="S29" s="10">
        <f>+R29-O29</f>
        <v>-418</v>
      </c>
      <c r="T29" t="s">
        <v>47</v>
      </c>
    </row>
    <row r="30" spans="1:20" x14ac:dyDescent="0.2">
      <c r="J30" s="10">
        <f>SUM(J28:J29)</f>
        <v>1790</v>
      </c>
      <c r="K30" s="13"/>
      <c r="L30" s="10">
        <f>SUM(L28:L29)</f>
        <v>2504</v>
      </c>
      <c r="O30" s="10">
        <f>ROUND(+L30,0)</f>
        <v>2504</v>
      </c>
      <c r="Q30" s="13"/>
      <c r="R30" s="10">
        <f>SUM(R28:R29)</f>
        <v>2086</v>
      </c>
      <c r="S30" s="10">
        <f>+R30-Q28</f>
        <v>0</v>
      </c>
      <c r="T30" t="s">
        <v>46</v>
      </c>
    </row>
    <row r="32" spans="1:20" x14ac:dyDescent="0.2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>
        <v>1974</v>
      </c>
      <c r="L32" s="14">
        <f>ROUND(+K32*H32,0)</f>
        <v>987</v>
      </c>
      <c r="M32" s="14"/>
      <c r="N32" s="25">
        <f>ROUND(+K32,0)</f>
        <v>1974</v>
      </c>
      <c r="O32" s="14">
        <f>ROUND(+L32,0)</f>
        <v>987</v>
      </c>
      <c r="P32" s="14"/>
      <c r="Q32" s="24">
        <v>1813</v>
      </c>
      <c r="R32" s="14">
        <f>ROUND(+O32,0)</f>
        <v>987</v>
      </c>
    </row>
    <row r="33" spans="1:20" ht="13.5" thickBot="1" x14ac:dyDescent="0.25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987</v>
      </c>
      <c r="M33" s="16"/>
      <c r="N33" s="16"/>
      <c r="O33" s="18">
        <f>ROUND(+L33,0)</f>
        <v>987</v>
      </c>
      <c r="P33" s="16"/>
      <c r="Q33" s="19"/>
      <c r="R33" s="23">
        <f>ROUND(+Q32-N32+O33,0)</f>
        <v>826</v>
      </c>
      <c r="S33" s="10">
        <f>+R33-O33</f>
        <v>-161</v>
      </c>
      <c r="T33" t="s">
        <v>47</v>
      </c>
    </row>
    <row r="34" spans="1:20" x14ac:dyDescent="0.2">
      <c r="J34" s="10">
        <f>SUM(J32:J33)</f>
        <v>1426</v>
      </c>
      <c r="K34" s="13"/>
      <c r="L34" s="10">
        <f>SUM(L32:L33)</f>
        <v>1974</v>
      </c>
      <c r="O34" s="10">
        <f>ROUND(+L34,0)</f>
        <v>1974</v>
      </c>
      <c r="Q34" s="13"/>
      <c r="R34" s="10">
        <f>SUM(R32:R33)</f>
        <v>1813</v>
      </c>
      <c r="S34" s="10">
        <f>+R34-Q32</f>
        <v>0</v>
      </c>
      <c r="T34" t="s">
        <v>46</v>
      </c>
    </row>
    <row r="36" spans="1:20" x14ac:dyDescent="0.2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>
        <v>13890</v>
      </c>
      <c r="L36" s="14">
        <v>2945</v>
      </c>
      <c r="M36" s="14"/>
      <c r="N36" s="25">
        <f>ROUND(+K36,0)</f>
        <v>13890</v>
      </c>
      <c r="O36" s="14">
        <f>ROUND(+L36,0)</f>
        <v>2945</v>
      </c>
      <c r="P36" s="14"/>
      <c r="Q36" s="24">
        <v>11881</v>
      </c>
      <c r="R36" s="14">
        <f>ROUND(+O36,0)</f>
        <v>2945</v>
      </c>
    </row>
    <row r="37" spans="1:20" s="60" customFormat="1" x14ac:dyDescent="0.2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4000</v>
      </c>
      <c r="K38" s="24"/>
      <c r="L38" s="66">
        <v>4000</v>
      </c>
      <c r="M38" s="24"/>
      <c r="N38" s="24"/>
      <c r="O38" s="66">
        <f>L38</f>
        <v>4000</v>
      </c>
      <c r="P38" s="24"/>
      <c r="Q38" s="24"/>
      <c r="R38" s="66">
        <f>L38</f>
        <v>4000</v>
      </c>
    </row>
    <row r="39" spans="1:20" s="60" customFormat="1" x14ac:dyDescent="0.2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>L39</f>
        <v>0</v>
      </c>
      <c r="P39" s="24"/>
      <c r="Q39" s="24"/>
      <c r="R39" s="66">
        <f>L39</f>
        <v>0</v>
      </c>
    </row>
    <row r="40" spans="1:20" s="60" customFormat="1" x14ac:dyDescent="0.2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5" thickBot="1" x14ac:dyDescent="0.25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v>6945</v>
      </c>
      <c r="M42" s="16"/>
      <c r="N42" s="16"/>
      <c r="O42" s="18">
        <f>ROUND(+L42,0)</f>
        <v>6945</v>
      </c>
      <c r="P42" s="16"/>
      <c r="Q42" s="19"/>
      <c r="R42" s="23">
        <f>ROUND(+Q36-N36+O42,0)</f>
        <v>4936</v>
      </c>
      <c r="S42" s="10">
        <f>+R42-O42</f>
        <v>-2009</v>
      </c>
      <c r="T42" t="s">
        <v>47</v>
      </c>
    </row>
    <row r="43" spans="1:20" x14ac:dyDescent="0.2">
      <c r="J43" s="10">
        <f>SUM(J36:J42)</f>
        <v>15360</v>
      </c>
      <c r="K43" s="13"/>
      <c r="L43" s="10">
        <f>SUM(L36:L42)</f>
        <v>13890</v>
      </c>
      <c r="O43" s="10">
        <f>ROUND(+L43,0)</f>
        <v>13890</v>
      </c>
      <c r="Q43" s="13"/>
      <c r="R43" s="10">
        <f>SUM(R36:R42)</f>
        <v>11881</v>
      </c>
      <c r="S43" s="10">
        <f>+R43-Q36</f>
        <v>0</v>
      </c>
      <c r="T43" t="s">
        <v>46</v>
      </c>
    </row>
    <row r="45" spans="1:20" ht="12" customHeight="1" x14ac:dyDescent="0.2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>
        <v>2437</v>
      </c>
      <c r="L45" s="14">
        <f>ROUND(+K45*H45,0)</f>
        <v>1219</v>
      </c>
      <c r="M45" s="14"/>
      <c r="N45" s="25">
        <f>ROUND(+K45,0)</f>
        <v>2437</v>
      </c>
      <c r="O45" s="14">
        <f>ROUND(+L45,0)</f>
        <v>1219</v>
      </c>
      <c r="P45" s="14"/>
      <c r="Q45" s="24">
        <v>2099</v>
      </c>
      <c r="R45" s="14">
        <f>ROUND(+O45,0)</f>
        <v>1219</v>
      </c>
    </row>
    <row r="46" spans="1:20" ht="12" customHeight="1" thickBot="1" x14ac:dyDescent="0.25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v>1218</v>
      </c>
      <c r="M46" s="16"/>
      <c r="N46" s="16"/>
      <c r="O46" s="18">
        <f>ROUND(+L46,0)</f>
        <v>1218</v>
      </c>
      <c r="P46" s="16"/>
      <c r="Q46" s="19"/>
      <c r="R46" s="23">
        <f>ROUND(+Q45-N45+O46,0)</f>
        <v>880</v>
      </c>
      <c r="S46" s="10">
        <f>+R46-O46</f>
        <v>-338</v>
      </c>
      <c r="T46" t="s">
        <v>47</v>
      </c>
    </row>
    <row r="47" spans="1:20" ht="12" customHeight="1" x14ac:dyDescent="0.2">
      <c r="J47" s="10">
        <f>SUM(J45:J46)</f>
        <v>1892</v>
      </c>
      <c r="K47" s="13"/>
      <c r="L47" s="10">
        <f>SUM(L45:L46)</f>
        <v>2437</v>
      </c>
      <c r="O47" s="10">
        <f>ROUND(+L47,0)</f>
        <v>2437</v>
      </c>
      <c r="Q47" s="13"/>
      <c r="R47" s="10">
        <f>SUM(R45:R46)</f>
        <v>2099</v>
      </c>
      <c r="S47" s="10">
        <f>+R47-Q45</f>
        <v>0</v>
      </c>
      <c r="T47" t="s">
        <v>46</v>
      </c>
    </row>
    <row r="48" spans="1:20" ht="12" customHeight="1" x14ac:dyDescent="0.2"/>
    <row r="49" spans="1:20" x14ac:dyDescent="0.2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>
        <v>2574</v>
      </c>
      <c r="L49" s="14">
        <f>ROUND(+K49*H49,0)</f>
        <v>1287</v>
      </c>
      <c r="M49" s="14"/>
      <c r="N49" s="25">
        <f>ROUND(+K49,0)</f>
        <v>2574</v>
      </c>
      <c r="O49" s="14">
        <f>ROUND(+L49,0)</f>
        <v>1287</v>
      </c>
      <c r="P49" s="14"/>
      <c r="Q49" s="24">
        <v>2203</v>
      </c>
      <c r="R49" s="14">
        <f>ROUND(+O49,0)</f>
        <v>1287</v>
      </c>
    </row>
    <row r="50" spans="1:20" ht="13.5" thickBot="1" x14ac:dyDescent="0.25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1287</v>
      </c>
      <c r="M50" s="16"/>
      <c r="N50" s="16"/>
      <c r="O50" s="18">
        <f>ROUND(+L50,0)</f>
        <v>1287</v>
      </c>
      <c r="P50" s="16"/>
      <c r="Q50" s="19"/>
      <c r="R50" s="23">
        <f>ROUND(+Q49-N49+O50,0)</f>
        <v>916</v>
      </c>
      <c r="S50" s="10">
        <f>+R50-O50</f>
        <v>-371</v>
      </c>
      <c r="T50" t="s">
        <v>47</v>
      </c>
    </row>
    <row r="51" spans="1:20" x14ac:dyDescent="0.2">
      <c r="J51" s="10">
        <f>SUM(J49:J50)</f>
        <v>2000</v>
      </c>
      <c r="L51" s="10">
        <f>SUM(L49:L50)</f>
        <v>2574</v>
      </c>
      <c r="O51" s="10">
        <f>ROUND(+L51,0)</f>
        <v>2574</v>
      </c>
      <c r="R51" s="10">
        <f>SUM(R49:R50)</f>
        <v>2203</v>
      </c>
      <c r="S51" s="10">
        <f>+R51-Q49</f>
        <v>0</v>
      </c>
      <c r="T51" t="s">
        <v>46</v>
      </c>
    </row>
    <row r="53" spans="1:20" x14ac:dyDescent="0.2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>
        <v>3197</v>
      </c>
      <c r="L53" s="14">
        <f>ROUND(+K53*H53,0)</f>
        <v>1599</v>
      </c>
      <c r="M53" s="14"/>
      <c r="N53" s="25">
        <f>ROUND(+K53,0)</f>
        <v>3197</v>
      </c>
      <c r="O53" s="14">
        <f>ROUND(+L53,0)</f>
        <v>1599</v>
      </c>
      <c r="P53" s="14"/>
      <c r="Q53" s="24">
        <v>2437</v>
      </c>
      <c r="R53" s="14">
        <f>ROUND(+O53,0)</f>
        <v>1599</v>
      </c>
    </row>
    <row r="54" spans="1:20" ht="13.5" thickBot="1" x14ac:dyDescent="0.25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v>1598</v>
      </c>
      <c r="M54" s="16"/>
      <c r="N54" s="16"/>
      <c r="O54" s="18">
        <f>ROUND(+L54,0)</f>
        <v>1598</v>
      </c>
      <c r="P54" s="16"/>
      <c r="Q54" s="19"/>
      <c r="R54" s="23">
        <f>ROUND(+Q53-N53+O54,0)</f>
        <v>838</v>
      </c>
      <c r="S54" s="10">
        <f>+R54-O54</f>
        <v>-760</v>
      </c>
      <c r="T54" t="s">
        <v>47</v>
      </c>
    </row>
    <row r="55" spans="1:20" x14ac:dyDescent="0.2">
      <c r="J55" s="10">
        <f>SUM(J53:J54)</f>
        <v>2593</v>
      </c>
      <c r="K55" s="13"/>
      <c r="L55" s="10">
        <f>SUM(L53:L54)</f>
        <v>3197</v>
      </c>
      <c r="O55" s="10">
        <f>ROUND(+L55,0)</f>
        <v>3197</v>
      </c>
      <c r="Q55" s="13"/>
      <c r="R55" s="10">
        <f>SUM(R53:R54)</f>
        <v>2437</v>
      </c>
      <c r="S55" s="10">
        <f>+R55-Q53</f>
        <v>0</v>
      </c>
      <c r="T55" t="s">
        <v>46</v>
      </c>
    </row>
    <row r="57" spans="1:20" s="32" customFormat="1" x14ac:dyDescent="0.2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>
        <v>1627</v>
      </c>
      <c r="L57" s="14">
        <f>ROUND(+K57*H57,0)</f>
        <v>814</v>
      </c>
      <c r="M57" s="36"/>
      <c r="N57" s="25">
        <f>ROUND(+K57,0)</f>
        <v>1627</v>
      </c>
      <c r="O57" s="36">
        <f>ROUND(+L57,0)</f>
        <v>814</v>
      </c>
      <c r="P57" s="36"/>
      <c r="Q57" s="24">
        <v>1227</v>
      </c>
      <c r="R57" s="36">
        <f>ROUND(+O57,0)</f>
        <v>814</v>
      </c>
    </row>
    <row r="58" spans="1:20" s="32" customFormat="1" ht="13.5" thickBot="1" x14ac:dyDescent="0.25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v>813</v>
      </c>
      <c r="M58" s="37"/>
      <c r="N58" s="37"/>
      <c r="O58" s="39">
        <f>ROUND(+L58,0)</f>
        <v>813</v>
      </c>
      <c r="P58" s="37"/>
      <c r="Q58" s="38"/>
      <c r="R58" s="23">
        <f>ROUND(+Q57-N57+O58,0)</f>
        <v>413</v>
      </c>
      <c r="S58" s="35">
        <f>+R58-O58</f>
        <v>-400</v>
      </c>
      <c r="T58" s="32" t="s">
        <v>47</v>
      </c>
    </row>
    <row r="59" spans="1:20" s="32" customFormat="1" x14ac:dyDescent="0.2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1627</v>
      </c>
      <c r="M59" s="40"/>
      <c r="N59" s="35"/>
      <c r="O59" s="35">
        <f>ROUND(+L59,0)</f>
        <v>1627</v>
      </c>
      <c r="P59" s="40"/>
      <c r="Q59" s="41"/>
      <c r="R59" s="35">
        <f>SUM(R57:R58)</f>
        <v>1227</v>
      </c>
      <c r="S59" s="35">
        <f>+R59-Q57</f>
        <v>0</v>
      </c>
      <c r="T59" s="32" t="s">
        <v>46</v>
      </c>
    </row>
    <row r="61" spans="1:20" s="32" customFormat="1" x14ac:dyDescent="0.2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>
        <v>36</v>
      </c>
      <c r="L61" s="14">
        <f>ROUND(+K61*H61,0)</f>
        <v>18</v>
      </c>
      <c r="M61" s="36"/>
      <c r="N61" s="25">
        <f>ROUND(+K61,0)</f>
        <v>36</v>
      </c>
      <c r="O61" s="36">
        <f>ROUND(+L61,0)</f>
        <v>18</v>
      </c>
      <c r="P61" s="36"/>
      <c r="Q61" s="24">
        <v>32</v>
      </c>
      <c r="R61" s="36">
        <f>ROUND(+O61,0)</f>
        <v>18</v>
      </c>
    </row>
    <row r="62" spans="1:20" s="32" customFormat="1" ht="13.5" thickBot="1" x14ac:dyDescent="0.25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18</v>
      </c>
      <c r="M62" s="37"/>
      <c r="N62" s="37"/>
      <c r="O62" s="39">
        <f>ROUND(+L62,0)</f>
        <v>18</v>
      </c>
      <c r="P62" s="37"/>
      <c r="Q62" s="37"/>
      <c r="R62" s="23">
        <f>ROUND(+Q61-N61+O62,0)</f>
        <v>14</v>
      </c>
      <c r="S62" s="35">
        <f>+R62-O62</f>
        <v>-4</v>
      </c>
      <c r="T62" s="32" t="s">
        <v>47</v>
      </c>
    </row>
    <row r="63" spans="1:20" s="32" customFormat="1" x14ac:dyDescent="0.2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36</v>
      </c>
      <c r="M63" s="35"/>
      <c r="N63" s="35"/>
      <c r="O63" s="35">
        <f>ROUND(+L63,0)</f>
        <v>36</v>
      </c>
      <c r="P63" s="35"/>
      <c r="Q63" s="35"/>
      <c r="R63" s="35">
        <f>SUM(R61:R62)</f>
        <v>32</v>
      </c>
      <c r="S63" s="35">
        <f>+R63-Q61</f>
        <v>0</v>
      </c>
      <c r="T63" s="32" t="s">
        <v>46</v>
      </c>
    </row>
    <row r="64" spans="1:20" ht="13.5" thickBot="1" x14ac:dyDescent="0.25"/>
    <row r="65" spans="1:21" ht="13.5" thickBot="1" x14ac:dyDescent="0.25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51755</v>
      </c>
      <c r="K65" s="10">
        <f>SUM(K6:K63)</f>
        <v>55427</v>
      </c>
      <c r="L65" s="28">
        <f>SUM(L8+L13+L17+L26+L30+L34+L43+L47+L51+L55+L59+L63)</f>
        <v>55427</v>
      </c>
      <c r="N65" s="10">
        <f>SUM(N6:N63)</f>
        <v>55427</v>
      </c>
      <c r="O65" s="28">
        <f>SUM(O8+O13+O17+O26+O30+O34+O43+O47+O51+O55+O59+O63)</f>
        <v>55427</v>
      </c>
      <c r="Q65" s="10">
        <f>SUM(Q6:Q63)</f>
        <v>49800</v>
      </c>
      <c r="R65" s="28">
        <f>SUM(R8+R13+R17+R26+R30+R34+R43+R47+R51+R55+R59+R63)</f>
        <v>49800</v>
      </c>
      <c r="S65" s="29">
        <f>S8+S13+S17+S26+S30+S34+S43+S47+S51+S55+S59+S63</f>
        <v>0</v>
      </c>
      <c r="T65" s="30" t="s">
        <v>55</v>
      </c>
      <c r="U65" s="31"/>
    </row>
    <row r="68" spans="1:21" x14ac:dyDescent="0.2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450</v>
      </c>
      <c r="O68" s="10">
        <f>SUMIF($I$6:$I$62,"22STOW",$O$6:$O$62)</f>
        <v>450</v>
      </c>
      <c r="R68" s="10">
        <f>SUMIF($I$6:$I$62,"22STOW",$R$6:$R$62)</f>
        <v>310</v>
      </c>
    </row>
    <row r="69" spans="1:21" x14ac:dyDescent="0.2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5550</v>
      </c>
      <c r="O69" s="10">
        <f>SUMIF($I$6:$I$62,"23nSTOW",$O$6:$O$62)</f>
        <v>5550</v>
      </c>
      <c r="R69" s="10">
        <f>SUMIF($I$6:$I$62,"23nSTOW",$R$6:$R$62)</f>
        <v>5210</v>
      </c>
    </row>
    <row r="70" spans="1:21" x14ac:dyDescent="0.2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20880</v>
      </c>
      <c r="O70" s="10">
        <f>SUMIF($I$6:$I$62,"23STOW",$O$6:$O$62)</f>
        <v>20880</v>
      </c>
      <c r="R70" s="10">
        <f>SUMIF($I$6:$I$62,"23STOW",$R$6:$R$62)</f>
        <v>16137</v>
      </c>
    </row>
    <row r="71" spans="1:21" x14ac:dyDescent="0.2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831</v>
      </c>
      <c r="O71" s="10">
        <f>SUMIF($I$6:$I$62,"24STOW",$O$6:$O$62)</f>
        <v>831</v>
      </c>
      <c r="R71" s="10">
        <f>SUMIF($I$6:$I$62,"24STOW",$R$6:$R$62)</f>
        <v>427</v>
      </c>
    </row>
    <row r="73" spans="1:21" x14ac:dyDescent="0.2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28329.721109021018</v>
      </c>
      <c r="L73" s="10">
        <f>SUM(L68:L71)</f>
        <v>27711</v>
      </c>
      <c r="N73" s="10">
        <f>+O73/0.97816</f>
        <v>28329.721109021018</v>
      </c>
      <c r="O73" s="10">
        <f>SUM(O68:O71)</f>
        <v>27711</v>
      </c>
      <c r="Q73" s="10">
        <f>+R73/0.97816</f>
        <v>22577.083503721271</v>
      </c>
      <c r="R73" s="10">
        <f>SUM(R68:R71)</f>
        <v>22084</v>
      </c>
    </row>
    <row r="75" spans="1:21" x14ac:dyDescent="0.2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">
      <c r="D78" t="s">
        <v>85</v>
      </c>
      <c r="F78">
        <v>67693</v>
      </c>
      <c r="G78" s="1" t="s">
        <v>84</v>
      </c>
      <c r="L78" s="10">
        <f>SUMIF($A$6:$A$64,"67693",$L$6:$L$64)</f>
        <v>47427</v>
      </c>
      <c r="O78" s="10">
        <f>SUMIF($A$6:$A$64,"67693",$O$6:$O$64)</f>
        <v>47427</v>
      </c>
      <c r="R78" s="10">
        <f>SUMIF($A$6:$A$64,"67693",$R$6:$R$64)</f>
        <v>41800</v>
      </c>
    </row>
    <row r="79" spans="1:21" x14ac:dyDescent="0.2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3">
    <pageSetUpPr fitToPage="1"/>
  </sheetPr>
  <dimension ref="A1:U82"/>
  <sheetViews>
    <sheetView topLeftCell="B61" workbookViewId="0">
      <selection activeCell="L67" sqref="L67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761</v>
      </c>
      <c r="L6" s="14">
        <f>ROUND(+K6*H6,0)</f>
        <v>381</v>
      </c>
      <c r="M6" s="14"/>
      <c r="N6" s="25">
        <f>ROUND(+K6,0)</f>
        <v>761</v>
      </c>
      <c r="O6" s="14">
        <f>ROUND(+L6,0)</f>
        <v>381</v>
      </c>
      <c r="P6" s="14"/>
      <c r="Q6" s="24">
        <v>0</v>
      </c>
      <c r="R6" s="14">
        <f>+O6</f>
        <v>381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380</v>
      </c>
      <c r="M7" s="16"/>
      <c r="N7" s="16"/>
      <c r="O7" s="18">
        <f>ROUND(+L7,0)</f>
        <v>380</v>
      </c>
      <c r="P7" s="14"/>
      <c r="R7" s="23">
        <f>ROUND(+Q6-N6+O7,0)</f>
        <v>-381</v>
      </c>
      <c r="S7" s="10">
        <f>+R7-O7</f>
        <v>-761</v>
      </c>
      <c r="T7" t="s">
        <v>47</v>
      </c>
    </row>
    <row r="8" spans="1:20" x14ac:dyDescent="0.2">
      <c r="J8" s="10">
        <f>SUM(J6:J7)</f>
        <v>492</v>
      </c>
      <c r="L8" s="10">
        <f>SUM(L6:L7)</f>
        <v>761</v>
      </c>
      <c r="O8" s="10">
        <f>ROUND(+L8,0)</f>
        <v>761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8110</v>
      </c>
      <c r="L10" s="14">
        <f>ROUND(+K10*H10,0)</f>
        <v>4055</v>
      </c>
      <c r="M10" s="14"/>
      <c r="N10" s="25">
        <f>ROUND(+K10,0)</f>
        <v>8110</v>
      </c>
      <c r="O10" s="14">
        <f>ROUND(+L10,0)</f>
        <v>4055</v>
      </c>
      <c r="P10" s="14"/>
      <c r="Q10" s="24">
        <v>0</v>
      </c>
      <c r="R10" s="14">
        <f>ROUND(+O10,0)</f>
        <v>4055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4055</v>
      </c>
      <c r="M12" s="16"/>
      <c r="N12" s="16"/>
      <c r="O12" s="18">
        <f>ROUND(+L12,0)</f>
        <v>4055</v>
      </c>
      <c r="P12" s="16"/>
      <c r="Q12" s="19"/>
      <c r="R12" s="23">
        <f>ROUND(+Q10-N10+O12,0)</f>
        <v>-4055</v>
      </c>
      <c r="S12" s="10">
        <f>+R12-O12</f>
        <v>-8110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8110</v>
      </c>
      <c r="M13" s="14"/>
      <c r="O13" s="10">
        <f>ROUND(+L13,0)</f>
        <v>8110</v>
      </c>
      <c r="P13" s="14"/>
      <c r="Q13" s="13"/>
      <c r="R13" s="10">
        <f>SUM(R10:R12)</f>
        <v>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>
        <v>3128</v>
      </c>
      <c r="L15" s="14">
        <f>ROUND(+K15*H15,0)</f>
        <v>1564</v>
      </c>
      <c r="M15" s="14"/>
      <c r="N15" s="25">
        <f>ROUND(+K15,0)</f>
        <v>3128</v>
      </c>
      <c r="O15" s="14">
        <f>ROUND(+L15,0)</f>
        <v>1564</v>
      </c>
      <c r="P15" s="14"/>
      <c r="Q15" s="24">
        <v>0</v>
      </c>
      <c r="R15" s="14">
        <f>ROUND(+O15,0)</f>
        <v>1564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1564</v>
      </c>
      <c r="M16" s="16"/>
      <c r="N16" s="16"/>
      <c r="O16" s="18">
        <f>ROUND(+L16,0)</f>
        <v>1564</v>
      </c>
      <c r="P16" s="16"/>
      <c r="Q16" s="19"/>
      <c r="R16" s="23">
        <f>ROUND(+Q15-N15+O16,0)</f>
        <v>-1564</v>
      </c>
      <c r="S16" s="10">
        <f>+R16-O16</f>
        <v>-3128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3128</v>
      </c>
      <c r="O17" s="10">
        <f>ROUND(+L17,0)</f>
        <v>3128</v>
      </c>
      <c r="Q17" s="13"/>
      <c r="R17" s="10">
        <f>SUM(R15:R16)</f>
        <v>0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>
        <v>15186</v>
      </c>
      <c r="L19" s="14">
        <v>3593</v>
      </c>
      <c r="M19" s="14"/>
      <c r="N19" s="25">
        <f>ROUND(+K19,0)</f>
        <v>15186</v>
      </c>
      <c r="O19" s="14">
        <f>ROUND(+L19,0)</f>
        <v>3593</v>
      </c>
      <c r="P19" s="14"/>
      <c r="Q19" s="24">
        <v>0</v>
      </c>
      <c r="R19" s="14">
        <f>ROUND(+O19,0)</f>
        <v>3593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>L22</f>
        <v>0</v>
      </c>
      <c r="P22" s="24"/>
      <c r="Q22" s="24"/>
      <c r="R22" s="66">
        <f>L22</f>
        <v>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s="60" customFormat="1" x14ac:dyDescent="0.2">
      <c r="A25" s="60">
        <v>38021</v>
      </c>
      <c r="B25" s="87"/>
      <c r="E25" s="61" t="s">
        <v>41</v>
      </c>
      <c r="F25" s="62"/>
      <c r="G25" s="63"/>
      <c r="H25" s="64"/>
      <c r="I25" s="61"/>
      <c r="J25" s="65">
        <v>4000</v>
      </c>
      <c r="K25" s="24"/>
      <c r="L25" s="66">
        <v>4000</v>
      </c>
      <c r="M25" s="24"/>
      <c r="N25" s="24"/>
      <c r="O25" s="66">
        <v>4000</v>
      </c>
      <c r="P25" s="24"/>
      <c r="Q25" s="24"/>
      <c r="R25" s="66">
        <v>4000</v>
      </c>
    </row>
    <row r="26" spans="1:20" ht="13.5" thickBot="1" x14ac:dyDescent="0.25">
      <c r="A26">
        <v>67693</v>
      </c>
      <c r="B26" s="1">
        <v>16</v>
      </c>
      <c r="H26" s="8">
        <f>+$B$2</f>
        <v>0.5</v>
      </c>
      <c r="I26" s="1" t="s">
        <v>51</v>
      </c>
      <c r="J26" s="16">
        <f>ROUND(+G19*H26,0)</f>
        <v>5955</v>
      </c>
      <c r="K26" s="19"/>
      <c r="L26" s="16">
        <f>ROUND(+K19*H26,0)</f>
        <v>7593</v>
      </c>
      <c r="M26" s="16"/>
      <c r="N26" s="16"/>
      <c r="O26" s="18">
        <f>ROUND(+L26,0)</f>
        <v>7593</v>
      </c>
      <c r="P26" s="16"/>
      <c r="Q26" s="19"/>
      <c r="R26" s="23">
        <f>ROUND(+Q19-N19+O26,0)</f>
        <v>-7593</v>
      </c>
      <c r="S26" s="10">
        <f>+R26-O26</f>
        <v>-15186</v>
      </c>
      <c r="T26" t="s">
        <v>47</v>
      </c>
    </row>
    <row r="27" spans="1:20" x14ac:dyDescent="0.2">
      <c r="J27" s="14">
        <f>SUM(J19:J26)</f>
        <v>15910</v>
      </c>
      <c r="K27" s="13"/>
      <c r="L27" s="10">
        <f>SUM(L19:L26)</f>
        <v>15186</v>
      </c>
      <c r="M27" s="14"/>
      <c r="O27" s="10">
        <f>ROUND(+L27,0)</f>
        <v>15186</v>
      </c>
      <c r="P27" s="14"/>
      <c r="Q27" s="13"/>
      <c r="R27" s="10">
        <f>SUM(R19:R26)</f>
        <v>0</v>
      </c>
      <c r="S27" s="10">
        <f>+R27-Q19</f>
        <v>0</v>
      </c>
      <c r="T27" t="s">
        <v>46</v>
      </c>
    </row>
    <row r="29" spans="1:20" x14ac:dyDescent="0.2">
      <c r="A29">
        <v>67693</v>
      </c>
      <c r="B29" s="1">
        <v>4</v>
      </c>
      <c r="C29" t="s">
        <v>12</v>
      </c>
      <c r="D29" t="s">
        <v>38</v>
      </c>
      <c r="E29" s="1" t="s">
        <v>23</v>
      </c>
      <c r="F29" s="48">
        <v>2273</v>
      </c>
      <c r="G29">
        <v>1789</v>
      </c>
      <c r="H29" s="8">
        <f>+$B$1</f>
        <v>0.5</v>
      </c>
      <c r="I29" s="1">
        <v>36907</v>
      </c>
      <c r="J29" s="10">
        <f>ROUND(+G29*H29,0)</f>
        <v>895</v>
      </c>
      <c r="K29" s="22">
        <v>2294</v>
      </c>
      <c r="L29" s="14">
        <f>ROUND(+K29*H29,0)</f>
        <v>1147</v>
      </c>
      <c r="M29" s="14"/>
      <c r="N29" s="25">
        <f>ROUND(+K29,0)</f>
        <v>2294</v>
      </c>
      <c r="O29" s="14">
        <f>ROUND(+L29,0)</f>
        <v>1147</v>
      </c>
      <c r="P29" s="14"/>
      <c r="Q29" s="24">
        <v>0</v>
      </c>
      <c r="R29" s="14">
        <f>ROUND(+O29,0)</f>
        <v>1147</v>
      </c>
    </row>
    <row r="30" spans="1:20" ht="13.5" thickBot="1" x14ac:dyDescent="0.25">
      <c r="A30">
        <v>67693</v>
      </c>
      <c r="B30" s="1">
        <v>17</v>
      </c>
      <c r="H30" s="8">
        <f>+$B$2</f>
        <v>0.5</v>
      </c>
      <c r="I30" s="1" t="s">
        <v>51</v>
      </c>
      <c r="J30" s="16">
        <f>ROUND(+G29*H30,0)</f>
        <v>895</v>
      </c>
      <c r="K30" s="19"/>
      <c r="L30" s="18">
        <f>ROUND(+K29*H30,0)</f>
        <v>1147</v>
      </c>
      <c r="M30" s="18"/>
      <c r="N30" s="16"/>
      <c r="O30" s="18">
        <f>ROUND(+L30,0)</f>
        <v>1147</v>
      </c>
      <c r="P30" s="18"/>
      <c r="Q30" s="19"/>
      <c r="R30" s="23">
        <f>ROUND(+Q29-N29+O30,0)</f>
        <v>-1147</v>
      </c>
      <c r="S30" s="10">
        <f>+R30-O30</f>
        <v>-2294</v>
      </c>
      <c r="T30" t="s">
        <v>47</v>
      </c>
    </row>
    <row r="31" spans="1:20" x14ac:dyDescent="0.2">
      <c r="J31" s="10">
        <f>SUM(J29:J30)</f>
        <v>1790</v>
      </c>
      <c r="K31" s="13"/>
      <c r="L31" s="10">
        <f>SUM(L29:L30)</f>
        <v>2294</v>
      </c>
      <c r="O31" s="10">
        <f>ROUND(+L31,0)</f>
        <v>2294</v>
      </c>
      <c r="Q31" s="13"/>
      <c r="R31" s="10">
        <f>SUM(R29:R30)</f>
        <v>0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5</v>
      </c>
      <c r="C33" t="s">
        <v>13</v>
      </c>
      <c r="D33" t="s">
        <v>39</v>
      </c>
      <c r="E33" s="1" t="s">
        <v>24</v>
      </c>
      <c r="F33" s="48">
        <v>1763</v>
      </c>
      <c r="G33">
        <v>1425</v>
      </c>
      <c r="H33" s="8">
        <f>+$B$1</f>
        <v>0.5</v>
      </c>
      <c r="I33" s="1">
        <v>36907</v>
      </c>
      <c r="J33" s="10">
        <f>ROUND(+G33*H33,0)</f>
        <v>713</v>
      </c>
      <c r="K33" s="22">
        <v>2400</v>
      </c>
      <c r="L33" s="14">
        <f>ROUND(+K33*H33,0)</f>
        <v>1200</v>
      </c>
      <c r="M33" s="14"/>
      <c r="N33" s="25">
        <f>ROUND(+K33,0)</f>
        <v>2400</v>
      </c>
      <c r="O33" s="14">
        <f>ROUND(+L33,0)</f>
        <v>1200</v>
      </c>
      <c r="P33" s="14"/>
      <c r="Q33" s="24">
        <v>0</v>
      </c>
      <c r="R33" s="14">
        <f>ROUND(+O33,0)</f>
        <v>1200</v>
      </c>
    </row>
    <row r="34" spans="1:20" ht="13.5" thickBot="1" x14ac:dyDescent="0.25">
      <c r="A34">
        <v>67693</v>
      </c>
      <c r="B34" s="1">
        <v>18</v>
      </c>
      <c r="H34" s="8">
        <f>+$B$2</f>
        <v>0.5</v>
      </c>
      <c r="I34" s="1" t="s">
        <v>51</v>
      </c>
      <c r="J34" s="16">
        <f>ROUND(+G33*H34,0)</f>
        <v>713</v>
      </c>
      <c r="K34" s="19"/>
      <c r="L34" s="16">
        <f>ROUND(+K33*H34,0)</f>
        <v>1200</v>
      </c>
      <c r="M34" s="16"/>
      <c r="N34" s="16"/>
      <c r="O34" s="18">
        <f>ROUND(+L34,0)</f>
        <v>1200</v>
      </c>
      <c r="P34" s="16"/>
      <c r="Q34" s="19"/>
      <c r="R34" s="23">
        <f>ROUND(+Q33-N33+O34,0)</f>
        <v>-1200</v>
      </c>
      <c r="S34" s="10">
        <f>+R34-O34</f>
        <v>-2400</v>
      </c>
      <c r="T34" t="s">
        <v>47</v>
      </c>
    </row>
    <row r="35" spans="1:20" x14ac:dyDescent="0.2">
      <c r="J35" s="10">
        <f>SUM(J33:J34)</f>
        <v>1426</v>
      </c>
      <c r="K35" s="13"/>
      <c r="L35" s="10">
        <f>SUM(L33:L34)</f>
        <v>2400</v>
      </c>
      <c r="O35" s="10">
        <f>ROUND(+L35,0)</f>
        <v>2400</v>
      </c>
      <c r="Q35" s="13"/>
      <c r="R35" s="10">
        <f>SUM(R33:R34)</f>
        <v>0</v>
      </c>
      <c r="S35" s="10">
        <f>+R35-Q33</f>
        <v>0</v>
      </c>
      <c r="T35" t="s">
        <v>46</v>
      </c>
    </row>
    <row r="37" spans="1:20" x14ac:dyDescent="0.2">
      <c r="A37">
        <v>67693</v>
      </c>
      <c r="B37" s="1">
        <v>6</v>
      </c>
      <c r="C37" t="s">
        <v>14</v>
      </c>
      <c r="D37" t="s">
        <v>40</v>
      </c>
      <c r="E37" s="1" t="s">
        <v>25</v>
      </c>
      <c r="F37" s="48">
        <v>14119</v>
      </c>
      <c r="G37" s="6">
        <v>11359</v>
      </c>
      <c r="H37" s="8">
        <f>+$B$1</f>
        <v>0.5</v>
      </c>
      <c r="I37" s="1">
        <v>36907</v>
      </c>
      <c r="J37" s="10">
        <f>ROUND(+G37*H37,0)</f>
        <v>5680</v>
      </c>
      <c r="K37" s="22">
        <v>13220</v>
      </c>
      <c r="L37" s="14">
        <v>2610</v>
      </c>
      <c r="M37" s="14"/>
      <c r="N37" s="25">
        <f>ROUND(+K37,0)</f>
        <v>13220</v>
      </c>
      <c r="O37" s="14">
        <f>ROUND(+L37,0)</f>
        <v>2610</v>
      </c>
      <c r="P37" s="14"/>
      <c r="Q37" s="24">
        <v>0</v>
      </c>
      <c r="R37" s="14">
        <f>ROUND(+O37,0)</f>
        <v>2610</v>
      </c>
    </row>
    <row r="38" spans="1:20" s="60" customFormat="1" x14ac:dyDescent="0.2">
      <c r="A38" s="60">
        <v>40998</v>
      </c>
      <c r="B38" s="61">
        <v>91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">
      <c r="A39" s="60">
        <v>66931</v>
      </c>
      <c r="B39" s="67" t="s">
        <v>86</v>
      </c>
      <c r="E39" s="61"/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>L39</f>
        <v>0</v>
      </c>
      <c r="P39" s="24"/>
      <c r="Q39" s="24"/>
      <c r="R39" s="66">
        <f>L39</f>
        <v>0</v>
      </c>
    </row>
    <row r="40" spans="1:20" s="60" customFormat="1" x14ac:dyDescent="0.2">
      <c r="A40" s="60">
        <v>67829</v>
      </c>
      <c r="B40" s="87" t="s">
        <v>113</v>
      </c>
      <c r="C40" s="60" t="s">
        <v>114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67831</v>
      </c>
      <c r="B41" s="87" t="s">
        <v>113</v>
      </c>
      <c r="C41" s="60" t="s">
        <v>125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s="60" customFormat="1" x14ac:dyDescent="0.2">
      <c r="A42" s="60">
        <v>67830</v>
      </c>
      <c r="B42" s="87" t="s">
        <v>113</v>
      </c>
      <c r="C42" s="60" t="s">
        <v>126</v>
      </c>
      <c r="E42" s="61" t="s">
        <v>127</v>
      </c>
      <c r="F42" s="62"/>
      <c r="G42" s="63"/>
      <c r="H42" s="64"/>
      <c r="I42" s="61"/>
      <c r="J42" s="65">
        <v>0</v>
      </c>
      <c r="K42" s="24"/>
      <c r="L42" s="66">
        <v>0</v>
      </c>
      <c r="M42" s="24"/>
      <c r="N42" s="24"/>
      <c r="O42" s="66">
        <f>L42</f>
        <v>0</v>
      </c>
      <c r="P42" s="24"/>
      <c r="Q42" s="24"/>
      <c r="R42" s="66">
        <f>L42</f>
        <v>0</v>
      </c>
    </row>
    <row r="43" spans="1:20" s="60" customFormat="1" x14ac:dyDescent="0.2">
      <c r="A43" s="60">
        <v>38021</v>
      </c>
      <c r="B43" s="87"/>
      <c r="E43" s="61" t="s">
        <v>41</v>
      </c>
      <c r="F43" s="62"/>
      <c r="G43" s="63"/>
      <c r="H43" s="64"/>
      <c r="I43" s="61"/>
      <c r="J43" s="65">
        <v>4000</v>
      </c>
      <c r="K43" s="24"/>
      <c r="L43" s="66">
        <v>4000</v>
      </c>
      <c r="M43" s="24"/>
      <c r="N43" s="24"/>
      <c r="O43" s="66">
        <v>4000</v>
      </c>
      <c r="P43" s="24"/>
      <c r="Q43" s="24"/>
      <c r="R43" s="66">
        <v>4000</v>
      </c>
    </row>
    <row r="44" spans="1:20" ht="13.5" thickBot="1" x14ac:dyDescent="0.25">
      <c r="A44">
        <v>67693</v>
      </c>
      <c r="B44" s="1">
        <v>19</v>
      </c>
      <c r="H44" s="8">
        <f>+$B$2</f>
        <v>0.5</v>
      </c>
      <c r="I44" s="1" t="s">
        <v>51</v>
      </c>
      <c r="J44" s="16">
        <f>ROUND(+G37*H44,0)</f>
        <v>5680</v>
      </c>
      <c r="K44" s="19"/>
      <c r="L44" s="16">
        <f>ROUND(+K37*H44,0)</f>
        <v>6610</v>
      </c>
      <c r="M44" s="16"/>
      <c r="N44" s="16"/>
      <c r="O44" s="18">
        <f>ROUND(+L44,0)</f>
        <v>6610</v>
      </c>
      <c r="P44" s="16"/>
      <c r="Q44" s="19"/>
      <c r="R44" s="23">
        <f>ROUND(+Q37-N37+O44,0)</f>
        <v>-6610</v>
      </c>
      <c r="S44" s="10">
        <f>+R44-O44</f>
        <v>-13220</v>
      </c>
      <c r="T44" t="s">
        <v>47</v>
      </c>
    </row>
    <row r="45" spans="1:20" x14ac:dyDescent="0.2">
      <c r="J45" s="10">
        <f>SUM(J37:J44)</f>
        <v>15360</v>
      </c>
      <c r="K45" s="13"/>
      <c r="L45" s="10">
        <f>SUM(L37:L44)</f>
        <v>13220</v>
      </c>
      <c r="O45" s="10">
        <f>ROUND(+L45,0)</f>
        <v>13220</v>
      </c>
      <c r="Q45" s="13"/>
      <c r="R45" s="10">
        <f>SUM(R37:R44)</f>
        <v>0</v>
      </c>
      <c r="S45" s="10">
        <f>+R45-Q37</f>
        <v>0</v>
      </c>
      <c r="T45" t="s">
        <v>46</v>
      </c>
    </row>
    <row r="47" spans="1:20" ht="12" customHeight="1" x14ac:dyDescent="0.2">
      <c r="A47">
        <v>67693</v>
      </c>
      <c r="B47" s="1">
        <v>7</v>
      </c>
      <c r="C47" t="s">
        <v>15</v>
      </c>
      <c r="D47" t="s">
        <v>41</v>
      </c>
      <c r="E47" s="1" t="s">
        <v>26</v>
      </c>
      <c r="F47" s="48">
        <v>2405</v>
      </c>
      <c r="G47">
        <v>1891</v>
      </c>
      <c r="H47" s="8">
        <f>+$B$1</f>
        <v>0.5</v>
      </c>
      <c r="I47" s="1">
        <v>36907</v>
      </c>
      <c r="J47" s="10">
        <f>ROUND(+G47*H47,0)</f>
        <v>946</v>
      </c>
      <c r="K47" s="22">
        <v>2212</v>
      </c>
      <c r="L47" s="14">
        <f>ROUND(+K47*H47,0)</f>
        <v>1106</v>
      </c>
      <c r="M47" s="14"/>
      <c r="N47" s="25">
        <f>ROUND(+K47,0)</f>
        <v>2212</v>
      </c>
      <c r="O47" s="14">
        <f>ROUND(+L47,0)</f>
        <v>1106</v>
      </c>
      <c r="P47" s="14"/>
      <c r="Q47" s="24">
        <v>0</v>
      </c>
      <c r="R47" s="14">
        <f>ROUND(+O47,0)</f>
        <v>1106</v>
      </c>
    </row>
    <row r="48" spans="1:20" ht="12" customHeight="1" thickBot="1" x14ac:dyDescent="0.25">
      <c r="A48">
        <v>67693</v>
      </c>
      <c r="B48" s="1">
        <v>20</v>
      </c>
      <c r="H48" s="8">
        <f>+$B$2</f>
        <v>0.5</v>
      </c>
      <c r="I48" s="1" t="s">
        <v>51</v>
      </c>
      <c r="J48" s="16">
        <f>ROUND(+G47*H48,0)</f>
        <v>946</v>
      </c>
      <c r="K48" s="19"/>
      <c r="L48" s="16">
        <f>ROUND(+K47*H48,0)</f>
        <v>1106</v>
      </c>
      <c r="M48" s="16"/>
      <c r="N48" s="16"/>
      <c r="O48" s="18">
        <f>ROUND(+L48,0)</f>
        <v>1106</v>
      </c>
      <c r="P48" s="16"/>
      <c r="Q48" s="19"/>
      <c r="R48" s="23">
        <f>ROUND(+Q47-N47+O48,0)</f>
        <v>-1106</v>
      </c>
      <c r="S48" s="10">
        <f>+R48-O48</f>
        <v>-2212</v>
      </c>
      <c r="T48" t="s">
        <v>47</v>
      </c>
    </row>
    <row r="49" spans="1:20" ht="12" customHeight="1" x14ac:dyDescent="0.2">
      <c r="J49" s="10">
        <f>SUM(J47:J48)</f>
        <v>1892</v>
      </c>
      <c r="K49" s="13"/>
      <c r="L49" s="10">
        <f>SUM(L47:L48)</f>
        <v>2212</v>
      </c>
      <c r="O49" s="10">
        <f>ROUND(+L49,0)</f>
        <v>2212</v>
      </c>
      <c r="Q49" s="13"/>
      <c r="R49" s="10">
        <f>SUM(R47:R48)</f>
        <v>0</v>
      </c>
      <c r="S49" s="10">
        <f>+R49-Q47</f>
        <v>0</v>
      </c>
      <c r="T49" t="s">
        <v>46</v>
      </c>
    </row>
    <row r="50" spans="1:20" ht="12" customHeight="1" x14ac:dyDescent="0.2"/>
    <row r="51" spans="1:20" x14ac:dyDescent="0.2">
      <c r="A51">
        <v>67693</v>
      </c>
      <c r="B51" s="1">
        <v>8</v>
      </c>
      <c r="C51" t="s">
        <v>16</v>
      </c>
      <c r="D51" t="s">
        <v>42</v>
      </c>
      <c r="E51" s="1" t="s">
        <v>27</v>
      </c>
      <c r="F51" s="48">
        <v>2573</v>
      </c>
      <c r="G51">
        <v>2000</v>
      </c>
      <c r="H51" s="8">
        <f>+$B$1</f>
        <v>0.5</v>
      </c>
      <c r="I51" s="1">
        <v>36907</v>
      </c>
      <c r="J51" s="10">
        <f>ROUND(+G51*H51,0)</f>
        <v>1000</v>
      </c>
      <c r="K51" s="22">
        <v>2327</v>
      </c>
      <c r="L51" s="14">
        <f>ROUND(+K51*H51,0)</f>
        <v>1164</v>
      </c>
      <c r="M51" s="14"/>
      <c r="N51" s="25">
        <f>ROUND(+K51,0)</f>
        <v>2327</v>
      </c>
      <c r="O51" s="14">
        <f>ROUND(+L51,0)</f>
        <v>1164</v>
      </c>
      <c r="P51" s="14"/>
      <c r="Q51" s="24">
        <v>0</v>
      </c>
      <c r="R51" s="14">
        <f>ROUND(+O51,0)</f>
        <v>1164</v>
      </c>
    </row>
    <row r="52" spans="1:20" ht="13.5" thickBot="1" x14ac:dyDescent="0.25">
      <c r="A52">
        <v>67693</v>
      </c>
      <c r="B52" s="1">
        <v>21</v>
      </c>
      <c r="H52" s="8">
        <f>+$B$2</f>
        <v>0.5</v>
      </c>
      <c r="I52" s="1" t="s">
        <v>51</v>
      </c>
      <c r="J52" s="16">
        <f>ROUND(+G51*H52,0)</f>
        <v>1000</v>
      </c>
      <c r="K52" s="19"/>
      <c r="L52" s="16">
        <v>1163</v>
      </c>
      <c r="M52" s="16"/>
      <c r="N52" s="16"/>
      <c r="O52" s="18">
        <f>ROUND(+L52,0)</f>
        <v>1163</v>
      </c>
      <c r="P52" s="16"/>
      <c r="Q52" s="19"/>
      <c r="R52" s="23">
        <f>ROUND(+Q51-N51+O52,0)</f>
        <v>-1164</v>
      </c>
      <c r="S52" s="10">
        <f>+R52-O52</f>
        <v>-2327</v>
      </c>
      <c r="T52" t="s">
        <v>47</v>
      </c>
    </row>
    <row r="53" spans="1:20" x14ac:dyDescent="0.2">
      <c r="J53" s="10">
        <f>SUM(J51:J52)</f>
        <v>2000</v>
      </c>
      <c r="L53" s="10">
        <f>SUM(L51:L52)</f>
        <v>2327</v>
      </c>
      <c r="O53" s="10">
        <f>ROUND(+L53,0)</f>
        <v>2327</v>
      </c>
      <c r="R53" s="10">
        <f>SUM(R51:R52)</f>
        <v>0</v>
      </c>
      <c r="S53" s="10">
        <f>+R53-Q51</f>
        <v>0</v>
      </c>
      <c r="T53" t="s">
        <v>46</v>
      </c>
    </row>
    <row r="55" spans="1:20" x14ac:dyDescent="0.2">
      <c r="A55">
        <v>67693</v>
      </c>
      <c r="B55" s="1">
        <v>9</v>
      </c>
      <c r="C55" t="s">
        <v>17</v>
      </c>
      <c r="D55" t="s">
        <v>43</v>
      </c>
      <c r="E55" s="1" t="s">
        <v>28</v>
      </c>
      <c r="F55" s="48">
        <v>3128</v>
      </c>
      <c r="G55">
        <v>2470</v>
      </c>
      <c r="H55" s="8">
        <f>+$B$1</f>
        <v>0.5</v>
      </c>
      <c r="I55" s="1">
        <v>36907</v>
      </c>
      <c r="J55" s="54">
        <v>1358</v>
      </c>
      <c r="K55" s="22">
        <v>3045</v>
      </c>
      <c r="L55" s="14">
        <f>ROUND(+K55*H55,0)</f>
        <v>1523</v>
      </c>
      <c r="M55" s="14"/>
      <c r="N55" s="25">
        <f>ROUND(+K55,0)</f>
        <v>3045</v>
      </c>
      <c r="O55" s="14">
        <f>ROUND(+L55,0)</f>
        <v>1523</v>
      </c>
      <c r="P55" s="14"/>
      <c r="Q55" s="24">
        <v>0</v>
      </c>
      <c r="R55" s="14">
        <f>ROUND(+O55,0)</f>
        <v>1523</v>
      </c>
    </row>
    <row r="56" spans="1:20" ht="13.5" thickBot="1" x14ac:dyDescent="0.25">
      <c r="A56">
        <v>67693</v>
      </c>
      <c r="B56" s="1">
        <v>22</v>
      </c>
      <c r="H56" s="8">
        <f>+$B$2</f>
        <v>0.5</v>
      </c>
      <c r="I56" s="1" t="s">
        <v>51</v>
      </c>
      <c r="J56" s="16">
        <f>ROUND(+G55*H56,0)</f>
        <v>1235</v>
      </c>
      <c r="K56" s="19"/>
      <c r="L56" s="16">
        <v>1522</v>
      </c>
      <c r="M56" s="16"/>
      <c r="N56" s="16"/>
      <c r="O56" s="18">
        <f>ROUND(+L56,0)</f>
        <v>1522</v>
      </c>
      <c r="P56" s="16"/>
      <c r="Q56" s="19"/>
      <c r="R56" s="23">
        <f>ROUND(+Q55-N55+O56,0)</f>
        <v>-1523</v>
      </c>
      <c r="S56" s="10">
        <f>+R56-O56</f>
        <v>-3045</v>
      </c>
      <c r="T56" t="s">
        <v>47</v>
      </c>
    </row>
    <row r="57" spans="1:20" x14ac:dyDescent="0.2">
      <c r="J57" s="10">
        <f>SUM(J55:J56)</f>
        <v>2593</v>
      </c>
      <c r="K57" s="13"/>
      <c r="L57" s="10">
        <f>SUM(L55:L56)</f>
        <v>3045</v>
      </c>
      <c r="O57" s="10">
        <f>ROUND(+L57,0)</f>
        <v>3045</v>
      </c>
      <c r="Q57" s="13"/>
      <c r="R57" s="10">
        <f>SUM(R55:R56)</f>
        <v>0</v>
      </c>
      <c r="S57" s="10">
        <f>+R57-Q55</f>
        <v>0</v>
      </c>
      <c r="T57" t="s">
        <v>46</v>
      </c>
    </row>
    <row r="59" spans="1:20" s="32" customFormat="1" x14ac:dyDescent="0.2">
      <c r="A59">
        <v>67693</v>
      </c>
      <c r="B59" s="33">
        <v>12</v>
      </c>
      <c r="C59" s="32" t="s">
        <v>18</v>
      </c>
      <c r="D59" s="32" t="s">
        <v>44</v>
      </c>
      <c r="E59" s="33" t="s">
        <v>29</v>
      </c>
      <c r="F59" s="52">
        <v>1654</v>
      </c>
      <c r="G59" s="32">
        <v>1276</v>
      </c>
      <c r="H59" s="8">
        <f>+$B$1</f>
        <v>0.5</v>
      </c>
      <c r="I59" s="33">
        <v>36907</v>
      </c>
      <c r="J59" s="10">
        <f>ROUND(+G59*H59,0)</f>
        <v>638</v>
      </c>
      <c r="K59" s="22">
        <v>1708</v>
      </c>
      <c r="L59" s="14">
        <f>ROUND(+K59*H59,0)</f>
        <v>854</v>
      </c>
      <c r="M59" s="36"/>
      <c r="N59" s="25">
        <f>ROUND(+K59,0)</f>
        <v>1708</v>
      </c>
      <c r="O59" s="36">
        <f>ROUND(+L59,0)</f>
        <v>854</v>
      </c>
      <c r="P59" s="36"/>
      <c r="Q59" s="24">
        <v>0</v>
      </c>
      <c r="R59" s="36">
        <f>ROUND(+O59,0)</f>
        <v>854</v>
      </c>
    </row>
    <row r="60" spans="1:20" s="32" customFormat="1" ht="13.5" thickBot="1" x14ac:dyDescent="0.25">
      <c r="A60">
        <v>67693</v>
      </c>
      <c r="B60" s="33">
        <v>23</v>
      </c>
      <c r="E60" s="33"/>
      <c r="F60" s="52"/>
      <c r="H60" s="8">
        <f>+$B$2</f>
        <v>0.5</v>
      </c>
      <c r="I60" s="33" t="s">
        <v>52</v>
      </c>
      <c r="J60" s="37">
        <f>ROUND(+G59*H60,0)</f>
        <v>638</v>
      </c>
      <c r="K60" s="38"/>
      <c r="L60" s="37">
        <f>ROUND(+K59*H60,0)</f>
        <v>854</v>
      </c>
      <c r="M60" s="37"/>
      <c r="N60" s="37"/>
      <c r="O60" s="39">
        <f>ROUND(+L60,0)</f>
        <v>854</v>
      </c>
      <c r="P60" s="37"/>
      <c r="Q60" s="38"/>
      <c r="R60" s="23">
        <f>ROUND(+Q59-N59+O60,0)</f>
        <v>-854</v>
      </c>
      <c r="S60" s="35">
        <f>+R60-O60</f>
        <v>-1708</v>
      </c>
      <c r="T60" s="32" t="s">
        <v>47</v>
      </c>
    </row>
    <row r="61" spans="1:20" s="32" customFormat="1" x14ac:dyDescent="0.2">
      <c r="B61" s="33"/>
      <c r="E61" s="33"/>
      <c r="F61" s="52"/>
      <c r="H61" s="34"/>
      <c r="I61" s="33"/>
      <c r="J61" s="40">
        <f>SUM(J59:J60)</f>
        <v>1276</v>
      </c>
      <c r="K61" s="41"/>
      <c r="L61" s="40">
        <f>SUM(L59:L60)</f>
        <v>1708</v>
      </c>
      <c r="M61" s="40"/>
      <c r="N61" s="35"/>
      <c r="O61" s="35">
        <f>ROUND(+L61,0)</f>
        <v>1708</v>
      </c>
      <c r="P61" s="40"/>
      <c r="Q61" s="41"/>
      <c r="R61" s="35">
        <f>SUM(R59:R60)</f>
        <v>0</v>
      </c>
      <c r="S61" s="35">
        <f>+R61-Q59</f>
        <v>0</v>
      </c>
      <c r="T61" s="32" t="s">
        <v>46</v>
      </c>
    </row>
    <row r="63" spans="1:20" s="32" customFormat="1" x14ac:dyDescent="0.2">
      <c r="A63">
        <v>67693</v>
      </c>
      <c r="B63" s="33">
        <v>14</v>
      </c>
      <c r="C63" s="32" t="s">
        <v>19</v>
      </c>
      <c r="D63" s="32" t="s">
        <v>45</v>
      </c>
      <c r="E63" s="33" t="s">
        <v>30</v>
      </c>
      <c r="F63" s="52">
        <v>33</v>
      </c>
      <c r="G63" s="32">
        <v>25</v>
      </c>
      <c r="H63" s="8">
        <f>+$B$1</f>
        <v>0.5</v>
      </c>
      <c r="I63" s="33">
        <v>36907</v>
      </c>
      <c r="J63" s="35">
        <f>ROUND(+G63*H63,0)</f>
        <v>13</v>
      </c>
      <c r="K63" s="22">
        <v>34</v>
      </c>
      <c r="L63" s="14">
        <f>ROUND(+K63*H63,0)</f>
        <v>17</v>
      </c>
      <c r="M63" s="36"/>
      <c r="N63" s="25">
        <f>ROUND(+K63,0)</f>
        <v>34</v>
      </c>
      <c r="O63" s="36">
        <f>ROUND(+L63,0)</f>
        <v>17</v>
      </c>
      <c r="P63" s="36"/>
      <c r="Q63" s="24">
        <v>0</v>
      </c>
      <c r="R63" s="36">
        <f>ROUND(+O63,0)</f>
        <v>17</v>
      </c>
    </row>
    <row r="64" spans="1:20" s="32" customFormat="1" ht="13.5" thickBot="1" x14ac:dyDescent="0.25">
      <c r="A64">
        <v>67693</v>
      </c>
      <c r="B64" s="33">
        <v>24</v>
      </c>
      <c r="E64" s="33"/>
      <c r="F64" s="52"/>
      <c r="H64" s="8">
        <f>+$B$2</f>
        <v>0.5</v>
      </c>
      <c r="I64" s="33" t="s">
        <v>52</v>
      </c>
      <c r="J64" s="37">
        <f>ROUND(+G63*H64,0)</f>
        <v>13</v>
      </c>
      <c r="K64" s="37"/>
      <c r="L64" s="37">
        <f>ROUND(+K63*H64,0)</f>
        <v>17</v>
      </c>
      <c r="M64" s="37"/>
      <c r="N64" s="37"/>
      <c r="O64" s="39">
        <f>ROUND(+L64,0)</f>
        <v>17</v>
      </c>
      <c r="P64" s="37"/>
      <c r="Q64" s="37"/>
      <c r="R64" s="23">
        <f>ROUND(+Q63-N63+O64,0)</f>
        <v>-17</v>
      </c>
      <c r="S64" s="35">
        <f>+R64-O64</f>
        <v>-34</v>
      </c>
      <c r="T64" s="32" t="s">
        <v>47</v>
      </c>
    </row>
    <row r="65" spans="1:21" s="32" customFormat="1" x14ac:dyDescent="0.2">
      <c r="B65" s="33"/>
      <c r="E65" s="33"/>
      <c r="F65" s="52"/>
      <c r="H65" s="34" t="s">
        <v>79</v>
      </c>
      <c r="I65" s="33"/>
      <c r="J65" s="35">
        <f>SUM(J63:J64)</f>
        <v>26</v>
      </c>
      <c r="K65" s="35"/>
      <c r="L65" s="35">
        <f>SUM(L63:L64)</f>
        <v>34</v>
      </c>
      <c r="M65" s="35"/>
      <c r="N65" s="35"/>
      <c r="O65" s="35">
        <f>ROUND(+L65,0)</f>
        <v>34</v>
      </c>
      <c r="P65" s="35"/>
      <c r="Q65" s="35"/>
      <c r="R65" s="35">
        <f>SUM(R63:R64)</f>
        <v>0</v>
      </c>
      <c r="S65" s="35">
        <f>+R65-Q63</f>
        <v>0</v>
      </c>
      <c r="T65" s="32" t="s">
        <v>46</v>
      </c>
    </row>
    <row r="66" spans="1:21" ht="13.5" thickBot="1" x14ac:dyDescent="0.25"/>
    <row r="67" spans="1:21" ht="13.5" thickBot="1" x14ac:dyDescent="0.25">
      <c r="E67" t="s">
        <v>32</v>
      </c>
      <c r="F67" s="50">
        <f>SUM(F6:F65)</f>
        <v>54327</v>
      </c>
      <c r="G67">
        <f>SUM(G6:G65)</f>
        <v>43625</v>
      </c>
      <c r="J67" s="28">
        <f>SUM(J8+J13+J17+J27+J31+J35+J45+J49+J53+J57+J61+J65)</f>
        <v>51755</v>
      </c>
      <c r="K67" s="10">
        <f>SUM(K6:K65)</f>
        <v>54425</v>
      </c>
      <c r="L67" s="28">
        <f>SUM(L8+L13+L17+L27+L31+L35+L45+L49+L53+L57+L61+L65)</f>
        <v>54425</v>
      </c>
      <c r="N67" s="10">
        <f>SUM(N6:N65)</f>
        <v>54425</v>
      </c>
      <c r="O67" s="28">
        <f>SUM(O8+O13+O17+O27+O31+O35+O45+O49+O53+O57+O61+O65)</f>
        <v>54425</v>
      </c>
      <c r="Q67" s="10">
        <f>SUM(Q6:Q65)</f>
        <v>0</v>
      </c>
      <c r="R67" s="28">
        <f>SUM(R8+R13+R17+R27+R31+R35+R45+R49+R53+R57+R61+R65)</f>
        <v>0</v>
      </c>
      <c r="S67" s="29">
        <f>S8+S13+S17+S27+S31+S35+S45+S49+S53+S57+S61+S65</f>
        <v>0</v>
      </c>
      <c r="T67" s="30" t="s">
        <v>55</v>
      </c>
      <c r="U67" s="31"/>
    </row>
    <row r="70" spans="1:21" x14ac:dyDescent="0.2">
      <c r="A70">
        <v>63281</v>
      </c>
      <c r="B70" s="1">
        <v>40</v>
      </c>
      <c r="H70" s="1">
        <v>22</v>
      </c>
      <c r="I70" t="s">
        <v>33</v>
      </c>
      <c r="J70" s="10">
        <f>SUMIF($I$6:$I$64,"22STOW",$J$6:$J$64)</f>
        <v>246</v>
      </c>
      <c r="L70" s="10">
        <f>SUMIF($I$6:$I$64,"22STOW",$L$6:$L$64)</f>
        <v>380</v>
      </c>
      <c r="O70" s="10">
        <f>SUMIF($I$6:$I$64,"22STOW",$O$6:$O$64)</f>
        <v>380</v>
      </c>
      <c r="R70" s="10">
        <f>SUMIF($I$6:$I$64,"22STOW",$R$6:$R$64)</f>
        <v>-381</v>
      </c>
    </row>
    <row r="71" spans="1:21" x14ac:dyDescent="0.2">
      <c r="A71">
        <v>63281</v>
      </c>
      <c r="B71" s="1">
        <v>53</v>
      </c>
      <c r="C71" t="s">
        <v>54</v>
      </c>
      <c r="H71" s="1" t="s">
        <v>48</v>
      </c>
      <c r="I71" t="s">
        <v>33</v>
      </c>
      <c r="J71" s="10">
        <f>SUMIF($I$6:$I$64,"23nSTOW",$J$6:$J$64)</f>
        <v>4495</v>
      </c>
      <c r="L71" s="10">
        <f>SUMIF($I$6:$I$64,"23nSTOW",$L$6:$L$64)</f>
        <v>5619</v>
      </c>
      <c r="O71" s="10">
        <f>SUMIF($I$6:$I$64,"23nSTOW",$O$6:$O$64)</f>
        <v>5619</v>
      </c>
      <c r="R71" s="10">
        <f>SUMIF($I$6:$I$64,"23nSTOW",$R$6:$R$64)</f>
        <v>-5619</v>
      </c>
    </row>
    <row r="72" spans="1:21" x14ac:dyDescent="0.2">
      <c r="A72">
        <v>63281</v>
      </c>
      <c r="B72" s="1">
        <v>54</v>
      </c>
      <c r="C72" t="s">
        <v>54</v>
      </c>
      <c r="H72" s="1">
        <v>23</v>
      </c>
      <c r="I72" t="s">
        <v>33</v>
      </c>
      <c r="J72" s="10">
        <f>SUMIF($I$6:$I$64,"23STOW",$J$6:$J$64)</f>
        <v>16424</v>
      </c>
      <c r="L72" s="10">
        <f>SUMIF($I$6:$I$64,"23STOW",$L$6:$L$64)</f>
        <v>20341</v>
      </c>
      <c r="O72" s="10">
        <f>SUMIF($I$6:$I$64,"23STOW",$O$6:$O$64)</f>
        <v>20341</v>
      </c>
      <c r="R72" s="10">
        <f>SUMIF($I$6:$I$64,"23STOW",$R$6:$R$64)</f>
        <v>-20343</v>
      </c>
    </row>
    <row r="73" spans="1:21" x14ac:dyDescent="0.2">
      <c r="A73">
        <v>63281</v>
      </c>
      <c r="B73" s="1">
        <v>55</v>
      </c>
      <c r="C73" t="s">
        <v>54</v>
      </c>
      <c r="H73" s="1">
        <v>24</v>
      </c>
      <c r="I73" t="s">
        <v>33</v>
      </c>
      <c r="J73" s="10">
        <f>SUMIF($I$6:$I$64,"24STOW",$J$6:$J$64)</f>
        <v>651</v>
      </c>
      <c r="L73" s="10">
        <f>SUMIF($I$6:$I$64,"24STOW",$L$6:$L$64)</f>
        <v>871</v>
      </c>
      <c r="O73" s="10">
        <f>SUMIF($I$6:$I$64,"24STOW",$O$6:$O$64)</f>
        <v>871</v>
      </c>
      <c r="R73" s="10">
        <f>SUMIF($I$6:$I$64,"24STOW",$R$6:$R$64)</f>
        <v>-871</v>
      </c>
    </row>
    <row r="75" spans="1:21" x14ac:dyDescent="0.2">
      <c r="A75">
        <v>63281</v>
      </c>
      <c r="B75" s="1">
        <v>52</v>
      </c>
      <c r="D75" s="55" t="s">
        <v>80</v>
      </c>
      <c r="E75" s="56">
        <v>20070</v>
      </c>
      <c r="F75" s="50"/>
      <c r="G75" s="10">
        <f>+J75/0.97816</f>
        <v>22303.099697391019</v>
      </c>
      <c r="I75" t="s">
        <v>33</v>
      </c>
      <c r="J75" s="10">
        <f>SUM(J70:J73)</f>
        <v>21816</v>
      </c>
      <c r="K75" s="10">
        <f>+L75/0.97816</f>
        <v>27818.557291240697</v>
      </c>
      <c r="L75" s="10">
        <f>SUM(L70:L73)</f>
        <v>27211</v>
      </c>
      <c r="N75" s="10">
        <f>+O75/0.97816</f>
        <v>27818.557291240697</v>
      </c>
      <c r="O75" s="10">
        <f>SUM(O70:O73)</f>
        <v>27211</v>
      </c>
      <c r="Q75" s="10">
        <f>+R75/0.97816</f>
        <v>-27821.624274147376</v>
      </c>
      <c r="R75" s="10">
        <f>SUM(R70:R73)</f>
        <v>-27214</v>
      </c>
    </row>
    <row r="77" spans="1:21" x14ac:dyDescent="0.2">
      <c r="H77" s="1"/>
      <c r="I77">
        <v>63281</v>
      </c>
      <c r="J77" s="1" t="s">
        <v>72</v>
      </c>
      <c r="L77" s="42">
        <f>SUMIF($A$6:$A$64,63281,$L$6:$L$64)</f>
        <v>0</v>
      </c>
      <c r="O77" s="42">
        <f>SUMIF($A$6:$A$64,63281,$O$6:$O$64)</f>
        <v>0</v>
      </c>
      <c r="R77" s="42">
        <f>SUMIF($A$6:$A$64,63281,$R$6:$R$64)</f>
        <v>0</v>
      </c>
    </row>
    <row r="80" spans="1:21" x14ac:dyDescent="0.2">
      <c r="D80" t="s">
        <v>85</v>
      </c>
      <c r="F80">
        <v>67693</v>
      </c>
      <c r="G80" s="1" t="s">
        <v>84</v>
      </c>
      <c r="L80" s="10">
        <f>SUMIF($A$6:$A$66,"67693",$L$6:$L$66)</f>
        <v>46425</v>
      </c>
      <c r="O80" s="10">
        <f>SUMIF($A$6:$A$66,"67693",$O$6:$O$66)</f>
        <v>46425</v>
      </c>
      <c r="R80" s="10">
        <f>SUMIF($A$6:$A$66,"67693",$R$6:$R$66)</f>
        <v>-8000</v>
      </c>
    </row>
    <row r="81" spans="6:18" x14ac:dyDescent="0.2">
      <c r="F81">
        <v>38021</v>
      </c>
      <c r="G81" s="1" t="s">
        <v>84</v>
      </c>
      <c r="L81" s="10">
        <f>SUMIF($A$6:$A$66,"38021",$L$6:$L$66)</f>
        <v>8000</v>
      </c>
      <c r="O81" s="10">
        <f>SUMIF($A$6:$A$66,"38021",$O$6:$O$66)</f>
        <v>8000</v>
      </c>
      <c r="R81" s="10">
        <f>SUMIF($A$6:$A$66,"38021",$R$6:$R$66)</f>
        <v>8000</v>
      </c>
    </row>
    <row r="82" spans="6:18" x14ac:dyDescent="0.2">
      <c r="F82" s="58">
        <v>40998</v>
      </c>
      <c r="G82" t="s">
        <v>84</v>
      </c>
      <c r="L82" s="10">
        <f>SUMIF($A$6:$A$61,"40998",$L$6:$L$61)</f>
        <v>0</v>
      </c>
      <c r="O82" s="10">
        <f>SUMIF($A$6:$A$61,"40998",$O$6:$O$61)</f>
        <v>0</v>
      </c>
      <c r="R82" s="10">
        <f>SUMIF($A$6:$A$61,"40998",$R$6:$R$61)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4">
    <pageSetUpPr fitToPage="1"/>
  </sheetPr>
  <dimension ref="A1:U82"/>
  <sheetViews>
    <sheetView topLeftCell="C58" workbookViewId="0">
      <selection activeCell="A71" sqref="A7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0.6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0.4</v>
      </c>
      <c r="I6" s="1">
        <v>36907</v>
      </c>
      <c r="J6" s="10">
        <f>ROUND(+G6*H6,0)</f>
        <v>196</v>
      </c>
      <c r="K6" s="22">
        <v>526</v>
      </c>
      <c r="L6" s="14">
        <v>104</v>
      </c>
      <c r="M6" s="14"/>
      <c r="N6" s="25">
        <f>ROUND(+K6,0)</f>
        <v>526</v>
      </c>
      <c r="O6" s="14">
        <f>ROUND(+L6,0)</f>
        <v>104</v>
      </c>
      <c r="P6" s="14"/>
      <c r="Q6" s="24">
        <v>0</v>
      </c>
      <c r="R6" s="14">
        <f>+O6</f>
        <v>104</v>
      </c>
    </row>
    <row r="7" spans="1:20" ht="13.5" thickBot="1" x14ac:dyDescent="0.25">
      <c r="A7">
        <v>67693</v>
      </c>
      <c r="B7" s="1">
        <v>15</v>
      </c>
      <c r="H7" s="8">
        <f>+$B$2</f>
        <v>0.6</v>
      </c>
      <c r="I7" s="1" t="s">
        <v>49</v>
      </c>
      <c r="J7" s="16">
        <f>ROUND(+G6*H7,0)</f>
        <v>295</v>
      </c>
      <c r="K7" s="16"/>
      <c r="L7" s="16">
        <v>422</v>
      </c>
      <c r="M7" s="16"/>
      <c r="N7" s="16"/>
      <c r="O7" s="18">
        <f>ROUND(+L7,0)</f>
        <v>422</v>
      </c>
      <c r="P7" s="14"/>
      <c r="R7" s="23">
        <f>ROUND(+Q6-N6+O7,0)</f>
        <v>-104</v>
      </c>
      <c r="S7" s="10">
        <f>+R7-O7</f>
        <v>-526</v>
      </c>
      <c r="T7" t="s">
        <v>47</v>
      </c>
    </row>
    <row r="8" spans="1:20" x14ac:dyDescent="0.2">
      <c r="J8" s="10">
        <f>SUM(J6:J7)</f>
        <v>491</v>
      </c>
      <c r="L8" s="10">
        <f>SUM(L6:L7)</f>
        <v>526</v>
      </c>
      <c r="O8" s="10">
        <f>ROUND(+L8,0)</f>
        <v>526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0.4</v>
      </c>
      <c r="I10" s="1">
        <v>36907</v>
      </c>
      <c r="J10" s="10">
        <f>ROUND(+G10*H10,0)</f>
        <v>2563</v>
      </c>
      <c r="K10" s="22">
        <v>6749</v>
      </c>
      <c r="L10" s="14">
        <f>ROUND(+K10*H10,0)</f>
        <v>2700</v>
      </c>
      <c r="M10" s="14"/>
      <c r="N10" s="25">
        <f>ROUND(+K10,0)</f>
        <v>6749</v>
      </c>
      <c r="O10" s="14">
        <f>ROUND(+L10,0)</f>
        <v>2700</v>
      </c>
      <c r="P10" s="14"/>
      <c r="Q10" s="24">
        <v>0</v>
      </c>
      <c r="R10" s="14">
        <f>ROUND(+O10,0)</f>
        <v>2700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0.6</v>
      </c>
      <c r="I12" s="1" t="s">
        <v>50</v>
      </c>
      <c r="J12" s="16">
        <f>ROUND(+G10*H12,0)</f>
        <v>3845</v>
      </c>
      <c r="K12" s="19"/>
      <c r="L12" s="16">
        <f>ROUND(+K10*H12,0)</f>
        <v>4049</v>
      </c>
      <c r="M12" s="16"/>
      <c r="N12" s="16"/>
      <c r="O12" s="18">
        <f>ROUND(+L12,0)</f>
        <v>4049</v>
      </c>
      <c r="P12" s="16"/>
      <c r="Q12" s="19"/>
      <c r="R12" s="23">
        <f>ROUND(+Q10-N10+O12,0)</f>
        <v>-2700</v>
      </c>
      <c r="S12" s="10">
        <f>+R12-O12</f>
        <v>-6749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6749</v>
      </c>
      <c r="M13" s="14"/>
      <c r="O13" s="10">
        <f>ROUND(+L13,0)</f>
        <v>6749</v>
      </c>
      <c r="P13" s="14"/>
      <c r="Q13" s="13"/>
      <c r="R13" s="10">
        <f>SUM(R10:R12)</f>
        <v>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0.4</v>
      </c>
      <c r="I15" s="1">
        <v>36907</v>
      </c>
      <c r="J15" s="10">
        <f>ROUND(+G15*H15,0)</f>
        <v>1033</v>
      </c>
      <c r="K15" s="22">
        <v>2578</v>
      </c>
      <c r="L15" s="14">
        <f>ROUND(+K15*H15,0)</f>
        <v>1031</v>
      </c>
      <c r="M15" s="14"/>
      <c r="N15" s="25">
        <f>ROUND(+K15,0)</f>
        <v>2578</v>
      </c>
      <c r="O15" s="14">
        <f>ROUND(+L15,0)</f>
        <v>1031</v>
      </c>
      <c r="P15" s="14"/>
      <c r="Q15" s="24">
        <v>0</v>
      </c>
      <c r="R15" s="14">
        <f>ROUND(+O15,0)</f>
        <v>1031</v>
      </c>
    </row>
    <row r="16" spans="1:20" ht="13.5" thickBot="1" x14ac:dyDescent="0.25">
      <c r="A16">
        <v>67693</v>
      </c>
      <c r="B16" s="1">
        <v>26</v>
      </c>
      <c r="H16" s="8">
        <f>+$B$2</f>
        <v>0.6</v>
      </c>
      <c r="I16" s="1" t="s">
        <v>50</v>
      </c>
      <c r="J16" s="16">
        <f>ROUND(+G15*H16,0)</f>
        <v>1549</v>
      </c>
      <c r="K16" s="19"/>
      <c r="L16" s="16">
        <f>ROUND(+K15*H16,0)</f>
        <v>1547</v>
      </c>
      <c r="M16" s="16"/>
      <c r="N16" s="16"/>
      <c r="O16" s="18">
        <f>ROUND(+L16,0)</f>
        <v>1547</v>
      </c>
      <c r="P16" s="16"/>
      <c r="Q16" s="19"/>
      <c r="R16" s="23">
        <f>ROUND(+Q15-N15+O16,0)</f>
        <v>-1031</v>
      </c>
      <c r="S16" s="10">
        <f>+R16-O16</f>
        <v>-2578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2578</v>
      </c>
      <c r="O17" s="10">
        <f>ROUND(+L17,0)</f>
        <v>2578</v>
      </c>
      <c r="Q17" s="13"/>
      <c r="R17" s="10">
        <f>SUM(R15:R16)</f>
        <v>0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0.4</v>
      </c>
      <c r="I19" s="1">
        <v>36907</v>
      </c>
      <c r="J19" s="10">
        <f>ROUND(+G19*H19,0)</f>
        <v>4764</v>
      </c>
      <c r="K19" s="22">
        <v>12442</v>
      </c>
      <c r="L19" s="14">
        <v>0</v>
      </c>
      <c r="M19" s="14"/>
      <c r="N19" s="25">
        <f>ROUND(+K19,0)</f>
        <v>12442</v>
      </c>
      <c r="O19" s="14">
        <f>ROUND(+L19,0)</f>
        <v>0</v>
      </c>
      <c r="P19" s="14"/>
      <c r="Q19" s="24">
        <v>0</v>
      </c>
      <c r="R19" s="14">
        <f>ROUND(+O19,0)</f>
        <v>0</v>
      </c>
    </row>
    <row r="20" spans="1:20" s="60" customFormat="1" x14ac:dyDescent="0.2">
      <c r="A20" s="60">
        <v>38021</v>
      </c>
      <c r="B20" s="61" t="s">
        <v>128</v>
      </c>
      <c r="E20" s="61"/>
      <c r="F20" s="62"/>
      <c r="G20" s="63"/>
      <c r="H20" s="64"/>
      <c r="I20" s="61"/>
      <c r="J20" s="65">
        <v>0</v>
      </c>
      <c r="K20" s="24"/>
      <c r="L20" s="66">
        <v>5000</v>
      </c>
      <c r="M20" s="24"/>
      <c r="N20" s="24"/>
      <c r="O20" s="66">
        <f t="shared" ref="O20:O25" si="0">L20</f>
        <v>5000</v>
      </c>
      <c r="P20" s="24"/>
      <c r="Q20" s="24"/>
      <c r="R20" s="66">
        <f t="shared" ref="R20:R25" si="1">L20</f>
        <v>5000</v>
      </c>
    </row>
    <row r="21" spans="1:20" s="60" customFormat="1" x14ac:dyDescent="0.2">
      <c r="A21" s="60">
        <v>40998</v>
      </c>
      <c r="B21" s="61">
        <v>90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 t="shared" si="0"/>
        <v>0</v>
      </c>
      <c r="P21" s="24"/>
      <c r="Q21" s="24"/>
      <c r="R21" s="66">
        <f t="shared" si="1"/>
        <v>0</v>
      </c>
    </row>
    <row r="22" spans="1:20" s="60" customFormat="1" x14ac:dyDescent="0.2">
      <c r="A22" s="60">
        <v>66930</v>
      </c>
      <c r="B22" s="67" t="s">
        <v>86</v>
      </c>
      <c r="E22" s="61"/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 t="shared" si="0"/>
        <v>0</v>
      </c>
      <c r="P22" s="24"/>
      <c r="Q22" s="24"/>
      <c r="R22" s="66">
        <f t="shared" si="1"/>
        <v>0</v>
      </c>
    </row>
    <row r="23" spans="1:20" s="60" customFormat="1" x14ac:dyDescent="0.2">
      <c r="A23" s="60">
        <v>67829</v>
      </c>
      <c r="B23" s="87" t="s">
        <v>112</v>
      </c>
      <c r="C23" s="60" t="s">
        <v>114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 t="shared" si="0"/>
        <v>0</v>
      </c>
      <c r="P23" s="24"/>
      <c r="Q23" s="24"/>
      <c r="R23" s="66">
        <f t="shared" si="1"/>
        <v>0</v>
      </c>
    </row>
    <row r="24" spans="1:20" s="60" customFormat="1" x14ac:dyDescent="0.2">
      <c r="A24" s="60">
        <v>67831</v>
      </c>
      <c r="B24" s="87" t="s">
        <v>112</v>
      </c>
      <c r="C24" s="60" t="s">
        <v>125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 t="shared" si="0"/>
        <v>0</v>
      </c>
      <c r="P24" s="24"/>
      <c r="Q24" s="24"/>
      <c r="R24" s="66">
        <f t="shared" si="1"/>
        <v>0</v>
      </c>
    </row>
    <row r="25" spans="1:20" s="60" customFormat="1" x14ac:dyDescent="0.2">
      <c r="A25" s="60">
        <v>67830</v>
      </c>
      <c r="B25" s="87" t="s">
        <v>112</v>
      </c>
      <c r="C25" s="60" t="s">
        <v>126</v>
      </c>
      <c r="E25" s="61" t="s">
        <v>127</v>
      </c>
      <c r="F25" s="62"/>
      <c r="G25" s="63"/>
      <c r="H25" s="64"/>
      <c r="I25" s="61"/>
      <c r="J25" s="65">
        <v>0</v>
      </c>
      <c r="K25" s="24"/>
      <c r="L25" s="66">
        <v>0</v>
      </c>
      <c r="M25" s="24"/>
      <c r="N25" s="24"/>
      <c r="O25" s="66">
        <f t="shared" si="0"/>
        <v>0</v>
      </c>
      <c r="P25" s="24"/>
      <c r="Q25" s="24"/>
      <c r="R25" s="66">
        <f t="shared" si="1"/>
        <v>0</v>
      </c>
    </row>
    <row r="26" spans="1:20" ht="13.5" thickBot="1" x14ac:dyDescent="0.25">
      <c r="A26">
        <v>67693</v>
      </c>
      <c r="B26" s="1">
        <v>16</v>
      </c>
      <c r="H26" s="8">
        <f>+$B$2</f>
        <v>0.6</v>
      </c>
      <c r="I26" s="1" t="s">
        <v>51</v>
      </c>
      <c r="J26" s="16">
        <f>ROUND(+G19*H26,0)</f>
        <v>7145</v>
      </c>
      <c r="K26" s="19"/>
      <c r="L26" s="16">
        <v>7442</v>
      </c>
      <c r="M26" s="16"/>
      <c r="N26" s="16"/>
      <c r="O26" s="18">
        <f>ROUND(+L26,0)</f>
        <v>7442</v>
      </c>
      <c r="P26" s="16"/>
      <c r="Q26" s="19"/>
      <c r="R26" s="23">
        <f>ROUND(+Q19-N19+O26,0)</f>
        <v>-5000</v>
      </c>
      <c r="S26" s="10">
        <f>+R26-O26</f>
        <v>-12442</v>
      </c>
      <c r="T26" t="s">
        <v>47</v>
      </c>
    </row>
    <row r="27" spans="1:20" x14ac:dyDescent="0.2">
      <c r="J27" s="14">
        <f>SUM(J19:J26)</f>
        <v>11909</v>
      </c>
      <c r="K27" s="13"/>
      <c r="L27" s="10">
        <f>SUM(L19:L26)</f>
        <v>12442</v>
      </c>
      <c r="M27" s="14"/>
      <c r="O27" s="10">
        <f>ROUND(+L27,0)</f>
        <v>12442</v>
      </c>
      <c r="P27" s="14"/>
      <c r="Q27" s="13"/>
      <c r="R27" s="10">
        <f>SUM(R19:R26)</f>
        <v>0</v>
      </c>
      <c r="S27" s="10">
        <f>+R27-Q19</f>
        <v>0</v>
      </c>
      <c r="T27" t="s">
        <v>46</v>
      </c>
    </row>
    <row r="29" spans="1:20" x14ac:dyDescent="0.2">
      <c r="A29">
        <v>67693</v>
      </c>
      <c r="B29" s="1">
        <v>4</v>
      </c>
      <c r="C29" t="s">
        <v>12</v>
      </c>
      <c r="D29" t="s">
        <v>38</v>
      </c>
      <c r="E29" s="1" t="s">
        <v>23</v>
      </c>
      <c r="F29" s="48">
        <v>2273</v>
      </c>
      <c r="G29">
        <v>1789</v>
      </c>
      <c r="H29" s="8">
        <f>+$B$1</f>
        <v>0.4</v>
      </c>
      <c r="I29" s="1">
        <v>36907</v>
      </c>
      <c r="J29" s="10">
        <f>ROUND(+G29*H29,0)</f>
        <v>716</v>
      </c>
      <c r="K29" s="22">
        <v>1876</v>
      </c>
      <c r="L29" s="14">
        <f>ROUND(+K29*H29,0)</f>
        <v>750</v>
      </c>
      <c r="M29" s="14"/>
      <c r="N29" s="25">
        <f>ROUND(+K29,0)</f>
        <v>1876</v>
      </c>
      <c r="O29" s="14">
        <f>ROUND(+L29,0)</f>
        <v>750</v>
      </c>
      <c r="P29" s="14"/>
      <c r="Q29" s="24">
        <v>0</v>
      </c>
      <c r="R29" s="14">
        <f>ROUND(+O29,0)</f>
        <v>750</v>
      </c>
    </row>
    <row r="30" spans="1:20" ht="13.5" thickBot="1" x14ac:dyDescent="0.25">
      <c r="A30">
        <v>67693</v>
      </c>
      <c r="B30" s="1">
        <v>17</v>
      </c>
      <c r="H30" s="8">
        <f>+$B$2</f>
        <v>0.6</v>
      </c>
      <c r="I30" s="1" t="s">
        <v>51</v>
      </c>
      <c r="J30" s="16">
        <f>ROUND(+G29*H30,0)</f>
        <v>1073</v>
      </c>
      <c r="K30" s="19"/>
      <c r="L30" s="18">
        <f>ROUND(+K29*H30,0)</f>
        <v>1126</v>
      </c>
      <c r="M30" s="18"/>
      <c r="N30" s="16"/>
      <c r="O30" s="18">
        <f>ROUND(+L30,0)</f>
        <v>1126</v>
      </c>
      <c r="P30" s="18"/>
      <c r="Q30" s="19"/>
      <c r="R30" s="23">
        <f>ROUND(+Q29-N29+O30,0)</f>
        <v>-750</v>
      </c>
      <c r="S30" s="10">
        <f>+R30-O30</f>
        <v>-1876</v>
      </c>
      <c r="T30" t="s">
        <v>47</v>
      </c>
    </row>
    <row r="31" spans="1:20" x14ac:dyDescent="0.2">
      <c r="J31" s="10">
        <f>SUM(J29:J30)</f>
        <v>1789</v>
      </c>
      <c r="K31" s="13"/>
      <c r="L31" s="10">
        <f>SUM(L29:L30)</f>
        <v>1876</v>
      </c>
      <c r="O31" s="10">
        <f>ROUND(+L31,0)</f>
        <v>1876</v>
      </c>
      <c r="Q31" s="13"/>
      <c r="R31" s="10">
        <f>SUM(R29:R30)</f>
        <v>0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5</v>
      </c>
      <c r="C33" t="s">
        <v>13</v>
      </c>
      <c r="D33" t="s">
        <v>39</v>
      </c>
      <c r="E33" s="1" t="s">
        <v>24</v>
      </c>
      <c r="F33" s="48">
        <v>1763</v>
      </c>
      <c r="G33">
        <v>1425</v>
      </c>
      <c r="H33" s="8">
        <f>+$B$1</f>
        <v>0.4</v>
      </c>
      <c r="I33" s="1">
        <v>36907</v>
      </c>
      <c r="J33" s="10">
        <f>ROUND(+G33*H33,0)</f>
        <v>570</v>
      </c>
      <c r="K33" s="22">
        <v>1571</v>
      </c>
      <c r="L33" s="14">
        <f>ROUND(+K33*H33,0)</f>
        <v>628</v>
      </c>
      <c r="M33" s="14"/>
      <c r="N33" s="25">
        <f>ROUND(+K33,0)</f>
        <v>1571</v>
      </c>
      <c r="O33" s="14">
        <f>ROUND(+L33,0)</f>
        <v>628</v>
      </c>
      <c r="P33" s="14"/>
      <c r="Q33" s="24">
        <v>0</v>
      </c>
      <c r="R33" s="14">
        <f>ROUND(+O33,0)</f>
        <v>628</v>
      </c>
    </row>
    <row r="34" spans="1:20" ht="13.5" thickBot="1" x14ac:dyDescent="0.25">
      <c r="A34">
        <v>67693</v>
      </c>
      <c r="B34" s="1">
        <v>18</v>
      </c>
      <c r="H34" s="8">
        <f>+$B$2</f>
        <v>0.6</v>
      </c>
      <c r="I34" s="1" t="s">
        <v>51</v>
      </c>
      <c r="J34" s="16">
        <f>ROUND(+G33*H34,0)</f>
        <v>855</v>
      </c>
      <c r="K34" s="19"/>
      <c r="L34" s="16">
        <f>ROUND(+K33*H34,0)</f>
        <v>943</v>
      </c>
      <c r="M34" s="16"/>
      <c r="N34" s="16"/>
      <c r="O34" s="18">
        <f>ROUND(+L34,0)</f>
        <v>943</v>
      </c>
      <c r="P34" s="16"/>
      <c r="Q34" s="19"/>
      <c r="R34" s="23">
        <f>ROUND(+Q33-N33+O34,0)</f>
        <v>-628</v>
      </c>
      <c r="S34" s="10">
        <f>+R34-O34</f>
        <v>-1571</v>
      </c>
      <c r="T34" t="s">
        <v>47</v>
      </c>
    </row>
    <row r="35" spans="1:20" x14ac:dyDescent="0.2">
      <c r="J35" s="10">
        <f>SUM(J33:J34)</f>
        <v>1425</v>
      </c>
      <c r="K35" s="13"/>
      <c r="L35" s="10">
        <f>SUM(L33:L34)</f>
        <v>1571</v>
      </c>
      <c r="O35" s="10">
        <f>ROUND(+L35,0)</f>
        <v>1571</v>
      </c>
      <c r="Q35" s="13"/>
      <c r="R35" s="10">
        <f>SUM(R33:R34)</f>
        <v>0</v>
      </c>
      <c r="S35" s="10">
        <f>+R35-Q33</f>
        <v>0</v>
      </c>
      <c r="T35" t="s">
        <v>46</v>
      </c>
    </row>
    <row r="37" spans="1:20" x14ac:dyDescent="0.2">
      <c r="A37">
        <v>67693</v>
      </c>
      <c r="B37" s="1">
        <v>6</v>
      </c>
      <c r="C37" t="s">
        <v>14</v>
      </c>
      <c r="D37" t="s">
        <v>40</v>
      </c>
      <c r="E37" s="1" t="s">
        <v>25</v>
      </c>
      <c r="F37" s="48">
        <v>14119</v>
      </c>
      <c r="G37" s="6">
        <v>11359</v>
      </c>
      <c r="H37" s="8">
        <f>+$B$1</f>
        <v>0.4</v>
      </c>
      <c r="I37" s="1">
        <v>36907</v>
      </c>
      <c r="J37" s="10">
        <f>ROUND(+G37*H37,0)</f>
        <v>4544</v>
      </c>
      <c r="K37" s="22">
        <v>9872</v>
      </c>
      <c r="L37" s="14">
        <v>0</v>
      </c>
      <c r="M37" s="14"/>
      <c r="N37" s="25">
        <f>ROUND(+K37,0)</f>
        <v>9872</v>
      </c>
      <c r="O37" s="14">
        <f>ROUND(+L37,0)</f>
        <v>0</v>
      </c>
      <c r="P37" s="14"/>
      <c r="Q37" s="24">
        <v>0</v>
      </c>
      <c r="R37" s="14">
        <f>ROUND(+O37,0)</f>
        <v>0</v>
      </c>
    </row>
    <row r="38" spans="1:20" s="60" customFormat="1" x14ac:dyDescent="0.2">
      <c r="A38" s="60">
        <v>38021</v>
      </c>
      <c r="B38" s="61" t="s">
        <v>128</v>
      </c>
      <c r="E38" s="61"/>
      <c r="F38" s="62"/>
      <c r="G38" s="63"/>
      <c r="H38" s="64"/>
      <c r="I38" s="61"/>
      <c r="J38" s="65">
        <v>0</v>
      </c>
      <c r="K38" s="24"/>
      <c r="L38" s="66">
        <v>4000</v>
      </c>
      <c r="M38" s="24"/>
      <c r="N38" s="24"/>
      <c r="O38" s="66">
        <f t="shared" ref="O38:O43" si="2">L38</f>
        <v>4000</v>
      </c>
      <c r="P38" s="24"/>
      <c r="Q38" s="24"/>
      <c r="R38" s="66">
        <f t="shared" ref="R38:R43" si="3">L38</f>
        <v>4000</v>
      </c>
    </row>
    <row r="39" spans="1:20" s="60" customFormat="1" x14ac:dyDescent="0.2">
      <c r="A39" s="60">
        <v>40998</v>
      </c>
      <c r="B39" s="61">
        <v>91</v>
      </c>
      <c r="E39" s="61"/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 t="shared" si="2"/>
        <v>0</v>
      </c>
      <c r="P39" s="24"/>
      <c r="Q39" s="24"/>
      <c r="R39" s="66">
        <f t="shared" si="3"/>
        <v>0</v>
      </c>
    </row>
    <row r="40" spans="1:20" s="60" customFormat="1" x14ac:dyDescent="0.2">
      <c r="A40" s="60">
        <v>66931</v>
      </c>
      <c r="B40" s="67" t="s">
        <v>86</v>
      </c>
      <c r="E40" s="61"/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 t="shared" si="2"/>
        <v>0</v>
      </c>
      <c r="P40" s="24"/>
      <c r="Q40" s="24"/>
      <c r="R40" s="66">
        <f t="shared" si="3"/>
        <v>0</v>
      </c>
    </row>
    <row r="41" spans="1:20" s="60" customFormat="1" x14ac:dyDescent="0.2">
      <c r="A41" s="60">
        <v>67829</v>
      </c>
      <c r="B41" s="87" t="s">
        <v>113</v>
      </c>
      <c r="C41" s="60" t="s">
        <v>114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 t="shared" si="2"/>
        <v>0</v>
      </c>
      <c r="P41" s="24"/>
      <c r="Q41" s="24"/>
      <c r="R41" s="66">
        <f t="shared" si="3"/>
        <v>0</v>
      </c>
    </row>
    <row r="42" spans="1:20" s="60" customFormat="1" x14ac:dyDescent="0.2">
      <c r="A42" s="60">
        <v>67831</v>
      </c>
      <c r="B42" s="87" t="s">
        <v>113</v>
      </c>
      <c r="C42" s="60" t="s">
        <v>125</v>
      </c>
      <c r="E42" s="61" t="s">
        <v>127</v>
      </c>
      <c r="F42" s="62"/>
      <c r="G42" s="63"/>
      <c r="H42" s="64"/>
      <c r="I42" s="61"/>
      <c r="J42" s="65">
        <v>0</v>
      </c>
      <c r="K42" s="24"/>
      <c r="L42" s="66">
        <v>0</v>
      </c>
      <c r="M42" s="24"/>
      <c r="N42" s="24"/>
      <c r="O42" s="66">
        <f t="shared" si="2"/>
        <v>0</v>
      </c>
      <c r="P42" s="24"/>
      <c r="Q42" s="24"/>
      <c r="R42" s="66">
        <f t="shared" si="3"/>
        <v>0</v>
      </c>
    </row>
    <row r="43" spans="1:20" s="60" customFormat="1" x14ac:dyDescent="0.2">
      <c r="A43" s="60">
        <v>67830</v>
      </c>
      <c r="B43" s="87" t="s">
        <v>113</v>
      </c>
      <c r="C43" s="60" t="s">
        <v>126</v>
      </c>
      <c r="E43" s="61" t="s">
        <v>127</v>
      </c>
      <c r="F43" s="62"/>
      <c r="G43" s="63"/>
      <c r="H43" s="64"/>
      <c r="I43" s="61"/>
      <c r="J43" s="65">
        <v>0</v>
      </c>
      <c r="K43" s="24"/>
      <c r="L43" s="66">
        <v>0</v>
      </c>
      <c r="M43" s="24"/>
      <c r="N43" s="24"/>
      <c r="O43" s="66">
        <f t="shared" si="2"/>
        <v>0</v>
      </c>
      <c r="P43" s="24"/>
      <c r="Q43" s="24"/>
      <c r="R43" s="66">
        <f t="shared" si="3"/>
        <v>0</v>
      </c>
    </row>
    <row r="44" spans="1:20" ht="13.5" thickBot="1" x14ac:dyDescent="0.25">
      <c r="A44">
        <v>67693</v>
      </c>
      <c r="B44" s="1">
        <v>19</v>
      </c>
      <c r="H44" s="8">
        <f>+$B$2</f>
        <v>0.6</v>
      </c>
      <c r="I44" s="1" t="s">
        <v>51</v>
      </c>
      <c r="J44" s="16">
        <f>ROUND(+G37*H44,0)</f>
        <v>6815</v>
      </c>
      <c r="K44" s="19"/>
      <c r="L44" s="16">
        <v>5872</v>
      </c>
      <c r="M44" s="16"/>
      <c r="N44" s="16"/>
      <c r="O44" s="18">
        <f>ROUND(+L44,0)</f>
        <v>5872</v>
      </c>
      <c r="P44" s="16"/>
      <c r="Q44" s="19"/>
      <c r="R44" s="23">
        <f>ROUND(+Q37-N37+O44,0)</f>
        <v>-4000</v>
      </c>
      <c r="S44" s="10">
        <f>+R44-O44</f>
        <v>-9872</v>
      </c>
      <c r="T44" t="s">
        <v>47</v>
      </c>
    </row>
    <row r="45" spans="1:20" x14ac:dyDescent="0.2">
      <c r="J45" s="10">
        <f>SUM(J37:J44)</f>
        <v>11359</v>
      </c>
      <c r="K45" s="13"/>
      <c r="L45" s="10">
        <f>SUM(L37:L44)</f>
        <v>9872</v>
      </c>
      <c r="O45" s="10">
        <f>ROUND(+L45,0)</f>
        <v>9872</v>
      </c>
      <c r="Q45" s="13"/>
      <c r="R45" s="10">
        <f>SUM(R37:R44)</f>
        <v>0</v>
      </c>
      <c r="S45" s="10">
        <f>+R45-Q37</f>
        <v>0</v>
      </c>
      <c r="T45" t="s">
        <v>46</v>
      </c>
    </row>
    <row r="47" spans="1:20" ht="12" customHeight="1" x14ac:dyDescent="0.2">
      <c r="A47">
        <v>67693</v>
      </c>
      <c r="B47" s="1">
        <v>7</v>
      </c>
      <c r="C47" t="s">
        <v>15</v>
      </c>
      <c r="D47" t="s">
        <v>41</v>
      </c>
      <c r="E47" s="1" t="s">
        <v>26</v>
      </c>
      <c r="F47" s="48">
        <v>2405</v>
      </c>
      <c r="G47">
        <v>1891</v>
      </c>
      <c r="H47" s="8">
        <f>+$B$1</f>
        <v>0.4</v>
      </c>
      <c r="I47" s="1">
        <v>36907</v>
      </c>
      <c r="J47" s="10">
        <f>ROUND(+G47*H47,0)</f>
        <v>756</v>
      </c>
      <c r="K47" s="22">
        <v>1761</v>
      </c>
      <c r="L47" s="14">
        <f>ROUND(+K47*H47,0)</f>
        <v>704</v>
      </c>
      <c r="M47" s="14"/>
      <c r="N47" s="25">
        <f>ROUND(+K47,0)</f>
        <v>1761</v>
      </c>
      <c r="O47" s="14">
        <f>ROUND(+L47,0)</f>
        <v>704</v>
      </c>
      <c r="P47" s="14"/>
      <c r="Q47" s="24">
        <v>0</v>
      </c>
      <c r="R47" s="14">
        <f>ROUND(+O47,0)</f>
        <v>704</v>
      </c>
    </row>
    <row r="48" spans="1:20" ht="12" customHeight="1" thickBot="1" x14ac:dyDescent="0.25">
      <c r="A48">
        <v>67693</v>
      </c>
      <c r="B48" s="1">
        <v>20</v>
      </c>
      <c r="H48" s="8">
        <f>+$B$2</f>
        <v>0.6</v>
      </c>
      <c r="I48" s="1" t="s">
        <v>51</v>
      </c>
      <c r="J48" s="16">
        <f>ROUND(+G47*H48,0)</f>
        <v>1135</v>
      </c>
      <c r="K48" s="19"/>
      <c r="L48" s="16">
        <f>ROUND(+K47*H48,0)</f>
        <v>1057</v>
      </c>
      <c r="M48" s="16"/>
      <c r="N48" s="16"/>
      <c r="O48" s="18">
        <f>ROUND(+L48,0)</f>
        <v>1057</v>
      </c>
      <c r="P48" s="16"/>
      <c r="Q48" s="19"/>
      <c r="R48" s="23">
        <f>ROUND(+Q47-N47+O48,0)</f>
        <v>-704</v>
      </c>
      <c r="S48" s="10">
        <f>+R48-O48</f>
        <v>-1761</v>
      </c>
      <c r="T48" t="s">
        <v>47</v>
      </c>
    </row>
    <row r="49" spans="1:20" ht="12" customHeight="1" x14ac:dyDescent="0.2">
      <c r="J49" s="10">
        <f>SUM(J47:J48)</f>
        <v>1891</v>
      </c>
      <c r="K49" s="13"/>
      <c r="L49" s="10">
        <f>SUM(L47:L48)</f>
        <v>1761</v>
      </c>
      <c r="O49" s="10">
        <f>ROUND(+L49,0)</f>
        <v>1761</v>
      </c>
      <c r="Q49" s="13"/>
      <c r="R49" s="10">
        <f>SUM(R47:R48)</f>
        <v>0</v>
      </c>
      <c r="S49" s="10">
        <f>+R49-Q47</f>
        <v>0</v>
      </c>
      <c r="T49" t="s">
        <v>46</v>
      </c>
    </row>
    <row r="50" spans="1:20" ht="12" customHeight="1" x14ac:dyDescent="0.2"/>
    <row r="51" spans="1:20" x14ac:dyDescent="0.2">
      <c r="A51">
        <v>67693</v>
      </c>
      <c r="B51" s="1">
        <v>8</v>
      </c>
      <c r="C51" t="s">
        <v>16</v>
      </c>
      <c r="D51" t="s">
        <v>42</v>
      </c>
      <c r="E51" s="1" t="s">
        <v>27</v>
      </c>
      <c r="F51" s="48">
        <v>2573</v>
      </c>
      <c r="G51">
        <v>2000</v>
      </c>
      <c r="H51" s="8">
        <f>+$B$1</f>
        <v>0.4</v>
      </c>
      <c r="I51" s="1">
        <v>36907</v>
      </c>
      <c r="J51" s="10">
        <f>ROUND(+G51*H51,0)</f>
        <v>800</v>
      </c>
      <c r="K51" s="22">
        <v>1710</v>
      </c>
      <c r="L51" s="14">
        <f>ROUND(+K51*H51,0)</f>
        <v>684</v>
      </c>
      <c r="M51" s="14"/>
      <c r="N51" s="25">
        <f>ROUND(+K51,0)</f>
        <v>1710</v>
      </c>
      <c r="O51" s="14">
        <f>ROUND(+L51,0)</f>
        <v>684</v>
      </c>
      <c r="P51" s="14"/>
      <c r="Q51" s="24">
        <v>0</v>
      </c>
      <c r="R51" s="14">
        <f>ROUND(+O51,0)</f>
        <v>684</v>
      </c>
    </row>
    <row r="52" spans="1:20" ht="13.5" thickBot="1" x14ac:dyDescent="0.25">
      <c r="A52">
        <v>67693</v>
      </c>
      <c r="B52" s="1">
        <v>21</v>
      </c>
      <c r="H52" s="8">
        <f>+$B$2</f>
        <v>0.6</v>
      </c>
      <c r="I52" s="1" t="s">
        <v>51</v>
      </c>
      <c r="J52" s="16">
        <f>ROUND(+G51*H52,0)</f>
        <v>1200</v>
      </c>
      <c r="K52" s="19"/>
      <c r="L52" s="16">
        <f>ROUND(+K51*H52,0)</f>
        <v>1026</v>
      </c>
      <c r="M52" s="16"/>
      <c r="N52" s="16"/>
      <c r="O52" s="18">
        <f>ROUND(+L52,0)</f>
        <v>1026</v>
      </c>
      <c r="P52" s="16"/>
      <c r="Q52" s="19"/>
      <c r="R52" s="23">
        <f>ROUND(+Q51-N51+O52,0)</f>
        <v>-684</v>
      </c>
      <c r="S52" s="10">
        <f>+R52-O52</f>
        <v>-1710</v>
      </c>
      <c r="T52" t="s">
        <v>47</v>
      </c>
    </row>
    <row r="53" spans="1:20" x14ac:dyDescent="0.2">
      <c r="J53" s="10">
        <f>SUM(J51:J52)</f>
        <v>2000</v>
      </c>
      <c r="L53" s="10">
        <f>SUM(L51:L52)</f>
        <v>1710</v>
      </c>
      <c r="O53" s="10">
        <f>ROUND(+L53,0)</f>
        <v>1710</v>
      </c>
      <c r="R53" s="10">
        <f>SUM(R51:R52)</f>
        <v>0</v>
      </c>
      <c r="S53" s="10">
        <f>+R53-Q51</f>
        <v>0</v>
      </c>
      <c r="T53" t="s">
        <v>46</v>
      </c>
    </row>
    <row r="55" spans="1:20" x14ac:dyDescent="0.2">
      <c r="A55">
        <v>67693</v>
      </c>
      <c r="B55" s="1">
        <v>9</v>
      </c>
      <c r="C55" t="s">
        <v>17</v>
      </c>
      <c r="D55" t="s">
        <v>43</v>
      </c>
      <c r="E55" s="1" t="s">
        <v>28</v>
      </c>
      <c r="F55" s="48">
        <v>3128</v>
      </c>
      <c r="G55">
        <v>2470</v>
      </c>
      <c r="H55" s="8">
        <f>+$B$1</f>
        <v>0.4</v>
      </c>
      <c r="I55" s="1">
        <v>36907</v>
      </c>
      <c r="J55" s="54">
        <v>1358</v>
      </c>
      <c r="K55" s="22">
        <v>2133</v>
      </c>
      <c r="L55" s="14">
        <f>ROUND(+K55*H55,0)</f>
        <v>853</v>
      </c>
      <c r="M55" s="14"/>
      <c r="N55" s="25">
        <f>ROUND(+K55,0)</f>
        <v>2133</v>
      </c>
      <c r="O55" s="14">
        <f>ROUND(+L55,0)</f>
        <v>853</v>
      </c>
      <c r="P55" s="14"/>
      <c r="Q55" s="24">
        <v>0</v>
      </c>
      <c r="R55" s="14">
        <f>ROUND(+O55,0)</f>
        <v>853</v>
      </c>
    </row>
    <row r="56" spans="1:20" ht="13.5" thickBot="1" x14ac:dyDescent="0.25">
      <c r="A56">
        <v>67693</v>
      </c>
      <c r="B56" s="1">
        <v>22</v>
      </c>
      <c r="H56" s="8">
        <f>+$B$2</f>
        <v>0.6</v>
      </c>
      <c r="I56" s="1" t="s">
        <v>51</v>
      </c>
      <c r="J56" s="16">
        <f>ROUND(+G55*H56,0)</f>
        <v>1482</v>
      </c>
      <c r="K56" s="19"/>
      <c r="L56" s="16">
        <f>ROUND(+K55*H56,0)</f>
        <v>1280</v>
      </c>
      <c r="M56" s="16"/>
      <c r="N56" s="16"/>
      <c r="O56" s="18">
        <f>ROUND(+L56,0)</f>
        <v>1280</v>
      </c>
      <c r="P56" s="16"/>
      <c r="Q56" s="19"/>
      <c r="R56" s="23">
        <f>ROUND(+Q55-N55+O56,0)</f>
        <v>-853</v>
      </c>
      <c r="S56" s="10">
        <f>+R56-O56</f>
        <v>-2133</v>
      </c>
      <c r="T56" t="s">
        <v>47</v>
      </c>
    </row>
    <row r="57" spans="1:20" x14ac:dyDescent="0.2">
      <c r="J57" s="10">
        <f>SUM(J55:J56)</f>
        <v>2840</v>
      </c>
      <c r="K57" s="13"/>
      <c r="L57" s="10">
        <f>SUM(L55:L56)</f>
        <v>2133</v>
      </c>
      <c r="O57" s="10">
        <f>ROUND(+L57,0)</f>
        <v>2133</v>
      </c>
      <c r="Q57" s="13"/>
      <c r="R57" s="10">
        <f>SUM(R55:R56)</f>
        <v>0</v>
      </c>
      <c r="S57" s="10">
        <f>+R57-Q55</f>
        <v>0</v>
      </c>
      <c r="T57" t="s">
        <v>46</v>
      </c>
    </row>
    <row r="59" spans="1:20" s="32" customFormat="1" x14ac:dyDescent="0.2">
      <c r="A59">
        <v>67693</v>
      </c>
      <c r="B59" s="33">
        <v>12</v>
      </c>
      <c r="C59" s="32" t="s">
        <v>18</v>
      </c>
      <c r="D59" s="32" t="s">
        <v>44</v>
      </c>
      <c r="E59" s="33" t="s">
        <v>29</v>
      </c>
      <c r="F59" s="52">
        <v>1654</v>
      </c>
      <c r="G59" s="32">
        <v>1276</v>
      </c>
      <c r="H59" s="8">
        <f>+$B$1</f>
        <v>0.4</v>
      </c>
      <c r="I59" s="33">
        <v>36907</v>
      </c>
      <c r="J59" s="10">
        <f>ROUND(+G59*H59,0)</f>
        <v>510</v>
      </c>
      <c r="K59" s="22">
        <v>1467</v>
      </c>
      <c r="L59" s="14">
        <f>ROUND(+K59*H59,0)</f>
        <v>587</v>
      </c>
      <c r="M59" s="36"/>
      <c r="N59" s="25">
        <f>ROUND(+K59,0)</f>
        <v>1467</v>
      </c>
      <c r="O59" s="36">
        <f>ROUND(+L59,0)</f>
        <v>587</v>
      </c>
      <c r="P59" s="36"/>
      <c r="Q59" s="24">
        <v>0</v>
      </c>
      <c r="R59" s="36">
        <f>ROUND(+O59,0)</f>
        <v>587</v>
      </c>
    </row>
    <row r="60" spans="1:20" s="32" customFormat="1" ht="13.5" thickBot="1" x14ac:dyDescent="0.25">
      <c r="A60">
        <v>67693</v>
      </c>
      <c r="B60" s="33">
        <v>23</v>
      </c>
      <c r="E60" s="33"/>
      <c r="F60" s="52"/>
      <c r="H60" s="8">
        <f>+$B$2</f>
        <v>0.6</v>
      </c>
      <c r="I60" s="33" t="s">
        <v>52</v>
      </c>
      <c r="J60" s="37">
        <f>ROUND(+G59*H60,0)</f>
        <v>766</v>
      </c>
      <c r="K60" s="38"/>
      <c r="L60" s="37">
        <f>ROUND(+K59*H60,0)</f>
        <v>880</v>
      </c>
      <c r="M60" s="37"/>
      <c r="N60" s="37"/>
      <c r="O60" s="39">
        <f>ROUND(+L60,0)</f>
        <v>880</v>
      </c>
      <c r="P60" s="37"/>
      <c r="Q60" s="38"/>
      <c r="R60" s="23">
        <f>ROUND(+Q59-N59+O60,0)</f>
        <v>-587</v>
      </c>
      <c r="S60" s="35">
        <f>+R60-O60</f>
        <v>-1467</v>
      </c>
      <c r="T60" s="32" t="s">
        <v>47</v>
      </c>
    </row>
    <row r="61" spans="1:20" s="32" customFormat="1" x14ac:dyDescent="0.2">
      <c r="B61" s="33"/>
      <c r="E61" s="33"/>
      <c r="F61" s="52"/>
      <c r="H61" s="34"/>
      <c r="I61" s="33"/>
      <c r="J61" s="40">
        <f>SUM(J59:J60)</f>
        <v>1276</v>
      </c>
      <c r="K61" s="41"/>
      <c r="L61" s="40">
        <f>SUM(L59:L60)</f>
        <v>1467</v>
      </c>
      <c r="M61" s="40"/>
      <c r="N61" s="35"/>
      <c r="O61" s="35">
        <f>ROUND(+L61,0)</f>
        <v>1467</v>
      </c>
      <c r="P61" s="40"/>
      <c r="Q61" s="41"/>
      <c r="R61" s="35">
        <f>SUM(R59:R60)</f>
        <v>0</v>
      </c>
      <c r="S61" s="35">
        <f>+R61-Q59</f>
        <v>0</v>
      </c>
      <c r="T61" s="32" t="s">
        <v>46</v>
      </c>
    </row>
    <row r="63" spans="1:20" s="32" customFormat="1" x14ac:dyDescent="0.2">
      <c r="A63">
        <v>67693</v>
      </c>
      <c r="B63" s="33">
        <v>14</v>
      </c>
      <c r="C63" s="32" t="s">
        <v>19</v>
      </c>
      <c r="D63" s="32" t="s">
        <v>45</v>
      </c>
      <c r="E63" s="33" t="s">
        <v>30</v>
      </c>
      <c r="F63" s="52">
        <v>33</v>
      </c>
      <c r="G63" s="32">
        <v>25</v>
      </c>
      <c r="H63" s="8">
        <f>+$B$1</f>
        <v>0.4</v>
      </c>
      <c r="I63" s="33">
        <v>36907</v>
      </c>
      <c r="J63" s="35">
        <f>ROUND(+G63*H63,0)</f>
        <v>10</v>
      </c>
      <c r="K63" s="22">
        <v>27</v>
      </c>
      <c r="L63" s="14">
        <f>ROUND(+K63*H63,0)</f>
        <v>11</v>
      </c>
      <c r="M63" s="36"/>
      <c r="N63" s="25">
        <f>ROUND(+K63,0)</f>
        <v>27</v>
      </c>
      <c r="O63" s="36">
        <f>ROUND(+L63,0)</f>
        <v>11</v>
      </c>
      <c r="P63" s="36"/>
      <c r="Q63" s="24">
        <v>0</v>
      </c>
      <c r="R63" s="36">
        <f>ROUND(+O63,0)</f>
        <v>11</v>
      </c>
    </row>
    <row r="64" spans="1:20" s="32" customFormat="1" ht="13.5" thickBot="1" x14ac:dyDescent="0.25">
      <c r="A64">
        <v>67693</v>
      </c>
      <c r="B64" s="33">
        <v>24</v>
      </c>
      <c r="E64" s="33"/>
      <c r="F64" s="52"/>
      <c r="H64" s="8">
        <f>+$B$2</f>
        <v>0.6</v>
      </c>
      <c r="I64" s="33" t="s">
        <v>52</v>
      </c>
      <c r="J64" s="37">
        <f>ROUND(+G63*H64,0)</f>
        <v>15</v>
      </c>
      <c r="K64" s="37"/>
      <c r="L64" s="37">
        <f>ROUND(+K63*H64,0)</f>
        <v>16</v>
      </c>
      <c r="M64" s="37"/>
      <c r="N64" s="37"/>
      <c r="O64" s="39">
        <f>ROUND(+L64,0)</f>
        <v>16</v>
      </c>
      <c r="P64" s="37"/>
      <c r="Q64" s="37"/>
      <c r="R64" s="23">
        <f>ROUND(+Q63-N63+O64,0)</f>
        <v>-11</v>
      </c>
      <c r="S64" s="35">
        <f>+R64-O64</f>
        <v>-27</v>
      </c>
      <c r="T64" s="32" t="s">
        <v>47</v>
      </c>
    </row>
    <row r="65" spans="1:21" s="32" customFormat="1" x14ac:dyDescent="0.2">
      <c r="B65" s="33"/>
      <c r="E65" s="33"/>
      <c r="F65" s="52"/>
      <c r="H65" s="34" t="s">
        <v>79</v>
      </c>
      <c r="I65" s="33"/>
      <c r="J65" s="35">
        <f>SUM(J63:J64)</f>
        <v>25</v>
      </c>
      <c r="K65" s="35"/>
      <c r="L65" s="35">
        <f>SUM(L63:L64)</f>
        <v>27</v>
      </c>
      <c r="M65" s="35"/>
      <c r="N65" s="35"/>
      <c r="O65" s="35">
        <f>ROUND(+L65,0)</f>
        <v>27</v>
      </c>
      <c r="P65" s="35"/>
      <c r="Q65" s="35"/>
      <c r="R65" s="35">
        <f>SUM(R63:R64)</f>
        <v>0</v>
      </c>
      <c r="S65" s="35">
        <f>+R65-Q63</f>
        <v>0</v>
      </c>
      <c r="T65" s="32" t="s">
        <v>46</v>
      </c>
    </row>
    <row r="66" spans="1:21" ht="13.5" thickBot="1" x14ac:dyDescent="0.25"/>
    <row r="67" spans="1:21" ht="13.5" thickBot="1" x14ac:dyDescent="0.25">
      <c r="E67" t="s">
        <v>32</v>
      </c>
      <c r="F67" s="50">
        <f>SUM(F6:F65)</f>
        <v>54327</v>
      </c>
      <c r="G67">
        <f>SUM(G6:G65)</f>
        <v>43625</v>
      </c>
      <c r="J67" s="28">
        <f>SUM(J8+J13+J17+J27+J31+J35+J45+J49+J53+J57+J61+J65)</f>
        <v>43995</v>
      </c>
      <c r="K67" s="10">
        <f>SUM(K6:K65)</f>
        <v>42712</v>
      </c>
      <c r="L67" s="28">
        <f>SUM(L8+L13+L17+L27+L31+L35+L45+L49+L53+L57+L61+L65)</f>
        <v>42712</v>
      </c>
      <c r="N67" s="10">
        <f>SUM(N6:N65)</f>
        <v>42712</v>
      </c>
      <c r="O67" s="28">
        <f>SUM(O8+O13+O17+O27+O31+O35+O45+O49+O53+O57+O61+O65)</f>
        <v>42712</v>
      </c>
      <c r="Q67" s="10">
        <f>SUM(Q6:Q65)</f>
        <v>0</v>
      </c>
      <c r="R67" s="28">
        <f>SUM(R8+R13+R17+R27+R31+R35+R45+R49+R53+R57+R61+R65)</f>
        <v>0</v>
      </c>
      <c r="S67" s="29">
        <f>S8+S13+S17+S27+S31+S35+S45+S49+S53+S57+S61+S65</f>
        <v>0</v>
      </c>
      <c r="T67" s="30" t="s">
        <v>55</v>
      </c>
      <c r="U67" s="31"/>
    </row>
    <row r="70" spans="1:21" x14ac:dyDescent="0.2">
      <c r="A70">
        <v>63281</v>
      </c>
      <c r="B70" s="1">
        <v>40</v>
      </c>
      <c r="H70" s="1">
        <v>22</v>
      </c>
      <c r="I70" t="s">
        <v>33</v>
      </c>
      <c r="J70" s="10">
        <f>SUMIF($I$6:$I$64,"22STOW",$J$6:$J$64)</f>
        <v>295</v>
      </c>
      <c r="L70" s="10">
        <f>SUMIF($I$6:$I$64,"22STOW",$L$6:$L$64)</f>
        <v>422</v>
      </c>
      <c r="O70" s="10">
        <f>SUMIF($I$6:$I$64,"22STOW",$O$6:$O$64)</f>
        <v>422</v>
      </c>
      <c r="R70" s="10">
        <f>SUMIF($I$6:$I$64,"22STOW",$R$6:$R$64)</f>
        <v>-104</v>
      </c>
    </row>
    <row r="71" spans="1:21" x14ac:dyDescent="0.2">
      <c r="A71">
        <v>63281</v>
      </c>
      <c r="B71" s="1">
        <v>53</v>
      </c>
      <c r="C71" t="s">
        <v>54</v>
      </c>
      <c r="H71" s="1" t="s">
        <v>48</v>
      </c>
      <c r="I71" t="s">
        <v>33</v>
      </c>
      <c r="J71" s="10">
        <f>SUMIF($I$6:$I$64,"23nSTOW",$J$6:$J$64)</f>
        <v>5394</v>
      </c>
      <c r="L71" s="10">
        <f>SUMIF($I$6:$I$64,"23nSTOW",$L$6:$L$64)</f>
        <v>5596</v>
      </c>
      <c r="O71" s="10">
        <f>SUMIF($I$6:$I$64,"23nSTOW",$O$6:$O$64)</f>
        <v>5596</v>
      </c>
      <c r="R71" s="10">
        <f>SUMIF($I$6:$I$64,"23nSTOW",$R$6:$R$64)</f>
        <v>-3731</v>
      </c>
    </row>
    <row r="72" spans="1:21" x14ac:dyDescent="0.2">
      <c r="A72">
        <v>63281</v>
      </c>
      <c r="B72" s="1">
        <v>54</v>
      </c>
      <c r="C72" t="s">
        <v>54</v>
      </c>
      <c r="H72" s="1">
        <v>23</v>
      </c>
      <c r="I72" t="s">
        <v>33</v>
      </c>
      <c r="J72" s="10">
        <f>SUMIF($I$6:$I$64,"23STOW",$J$6:$J$64)</f>
        <v>19705</v>
      </c>
      <c r="L72" s="10">
        <f>SUMIF($I$6:$I$64,"23STOW",$L$6:$L$64)</f>
        <v>18746</v>
      </c>
      <c r="O72" s="10">
        <f>SUMIF($I$6:$I$64,"23STOW",$O$6:$O$64)</f>
        <v>18746</v>
      </c>
      <c r="R72" s="10">
        <f>SUMIF($I$6:$I$64,"23STOW",$R$6:$R$64)</f>
        <v>-12619</v>
      </c>
    </row>
    <row r="73" spans="1:21" x14ac:dyDescent="0.2">
      <c r="A73">
        <v>63281</v>
      </c>
      <c r="B73" s="1">
        <v>55</v>
      </c>
      <c r="C73" t="s">
        <v>54</v>
      </c>
      <c r="H73" s="1">
        <v>24</v>
      </c>
      <c r="I73" t="s">
        <v>33</v>
      </c>
      <c r="J73" s="10">
        <f>SUMIF($I$6:$I$64,"24STOW",$J$6:$J$64)</f>
        <v>781</v>
      </c>
      <c r="L73" s="10">
        <f>SUMIF($I$6:$I$64,"24STOW",$L$6:$L$64)</f>
        <v>896</v>
      </c>
      <c r="O73" s="10">
        <f>SUMIF($I$6:$I$64,"24STOW",$O$6:$O$64)</f>
        <v>896</v>
      </c>
      <c r="R73" s="10">
        <f>SUMIF($I$6:$I$64,"24STOW",$R$6:$R$64)</f>
        <v>-598</v>
      </c>
    </row>
    <row r="75" spans="1:21" x14ac:dyDescent="0.2">
      <c r="A75">
        <v>63281</v>
      </c>
      <c r="B75" s="1">
        <v>52</v>
      </c>
      <c r="D75" s="55" t="s">
        <v>80</v>
      </c>
      <c r="E75" s="56">
        <v>20070</v>
      </c>
      <c r="F75" s="50"/>
      <c r="G75" s="10">
        <f>+J75/0.97816</f>
        <v>26759.425860799867</v>
      </c>
      <c r="I75" t="s">
        <v>33</v>
      </c>
      <c r="J75" s="10">
        <f>SUM(J70:J73)</f>
        <v>26175</v>
      </c>
      <c r="K75" s="10">
        <f>+L75/0.97816</f>
        <v>26232.927128486135</v>
      </c>
      <c r="L75" s="10">
        <f>SUM(L70:L73)</f>
        <v>25660</v>
      </c>
      <c r="N75" s="10">
        <f>+O75/0.97816</f>
        <v>26232.927128486135</v>
      </c>
      <c r="O75" s="10">
        <f>SUM(O70:O73)</f>
        <v>25660</v>
      </c>
      <c r="Q75" s="10">
        <f>+R75/0.97816</f>
        <v>-17432.730841580109</v>
      </c>
      <c r="R75" s="10">
        <f>SUM(R70:R73)</f>
        <v>-17052</v>
      </c>
    </row>
    <row r="77" spans="1:21" x14ac:dyDescent="0.2">
      <c r="H77" s="1"/>
      <c r="I77">
        <v>63281</v>
      </c>
      <c r="J77" s="1" t="s">
        <v>72</v>
      </c>
      <c r="L77" s="42">
        <f>SUMIF($A$6:$A$64,63281,$L$6:$L$64)</f>
        <v>0</v>
      </c>
      <c r="O77" s="42">
        <f>SUMIF($A$6:$A$64,63281,$O$6:$O$64)</f>
        <v>0</v>
      </c>
      <c r="R77" s="42">
        <f>SUMIF($A$6:$A$64,63281,$R$6:$R$64)</f>
        <v>0</v>
      </c>
    </row>
    <row r="80" spans="1:21" x14ac:dyDescent="0.2">
      <c r="D80" t="s">
        <v>85</v>
      </c>
      <c r="F80">
        <v>67693</v>
      </c>
      <c r="G80" s="1" t="s">
        <v>84</v>
      </c>
      <c r="L80" s="10">
        <f>SUMIF($A$6:$A$66,"67693",$L$6:$L$66)</f>
        <v>33712</v>
      </c>
      <c r="O80" s="10">
        <f>SUMIF($A$6:$A$66,"67693",$O$6:$O$66)</f>
        <v>33712</v>
      </c>
      <c r="R80" s="10">
        <f>SUMIF($A$6:$A$66,"67693",$R$6:$R$66)</f>
        <v>-9000</v>
      </c>
    </row>
    <row r="81" spans="6:18" x14ac:dyDescent="0.2">
      <c r="F81">
        <v>38021</v>
      </c>
      <c r="G81" s="1" t="s">
        <v>84</v>
      </c>
      <c r="L81" s="10">
        <f>SUMIF($A$6:$A$66,"38021",$L$6:$L$66)</f>
        <v>9000</v>
      </c>
      <c r="O81" s="10">
        <f>SUMIF($A$6:$A$66,"38021",$O$6:$O$66)</f>
        <v>9000</v>
      </c>
      <c r="R81" s="10">
        <f>SUMIF($A$6:$A$66,"38021",$R$6:$R$66)</f>
        <v>9000</v>
      </c>
    </row>
    <row r="82" spans="6:18" x14ac:dyDescent="0.2">
      <c r="F82" s="58">
        <v>40998</v>
      </c>
      <c r="G82" t="s">
        <v>84</v>
      </c>
      <c r="L82" s="10">
        <f>SUMIF($A$6:$A$61,"40998",$L$6:$L$61)</f>
        <v>0</v>
      </c>
      <c r="O82" s="10">
        <f>SUMIF($A$6:$A$61,"40998",$O$6:$O$61)</f>
        <v>0</v>
      </c>
      <c r="R82" s="10">
        <f>SUMIF($A$6:$A$61,"40998",$R$6:$R$61)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1">
    <pageSetUpPr fitToPage="1"/>
  </sheetPr>
  <dimension ref="A1:U80"/>
  <sheetViews>
    <sheetView workbookViewId="0">
      <selection activeCell="E1" sqref="E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/>
      <c r="L6" s="14">
        <f>ROUND(+K6*H6,0)</f>
        <v>0</v>
      </c>
      <c r="M6" s="14"/>
      <c r="N6" s="25">
        <f>ROUND(+K6,0)</f>
        <v>0</v>
      </c>
      <c r="O6" s="14">
        <f>ROUND(+L6,0)</f>
        <v>0</v>
      </c>
      <c r="P6" s="14"/>
      <c r="Q6" s="24">
        <v>0</v>
      </c>
      <c r="R6" s="14">
        <f>+O6</f>
        <v>0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f>ROUND(+K6*H7,0)</f>
        <v>0</v>
      </c>
      <c r="M7" s="16"/>
      <c r="N7" s="16"/>
      <c r="O7" s="18">
        <f>ROUND(+L7,0)</f>
        <v>0</v>
      </c>
      <c r="P7" s="14"/>
      <c r="R7" s="23">
        <f>ROUND(+Q6-N6+O7,0)</f>
        <v>0</v>
      </c>
      <c r="S7" s="10">
        <f>+R7-O7</f>
        <v>0</v>
      </c>
      <c r="T7" t="s">
        <v>47</v>
      </c>
    </row>
    <row r="8" spans="1:20" x14ac:dyDescent="0.2">
      <c r="J8" s="10">
        <f>SUM(J6:J7)</f>
        <v>492</v>
      </c>
      <c r="L8" s="10">
        <f>SUM(L6:L7)</f>
        <v>0</v>
      </c>
      <c r="O8" s="10">
        <f>ROUND(+L8,0)</f>
        <v>0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/>
      <c r="L10" s="14">
        <f>ROUND(+K10*H10,0)</f>
        <v>0</v>
      </c>
      <c r="M10" s="14"/>
      <c r="N10" s="25">
        <f>ROUND(+K10,0)</f>
        <v>0</v>
      </c>
      <c r="O10" s="14">
        <f>ROUND(+L10,0)</f>
        <v>0</v>
      </c>
      <c r="P10" s="14"/>
      <c r="Q10" s="24">
        <v>0</v>
      </c>
      <c r="R10" s="14">
        <f>ROUND(+O10,0)</f>
        <v>0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0</v>
      </c>
      <c r="M11" s="24"/>
      <c r="N11" s="24"/>
      <c r="O11" s="66">
        <f>L11</f>
        <v>0</v>
      </c>
      <c r="P11" s="24"/>
      <c r="Q11" s="24"/>
      <c r="R11" s="66">
        <f>L11</f>
        <v>0</v>
      </c>
    </row>
    <row r="12" spans="1:20" ht="13.5" thickBot="1" x14ac:dyDescent="0.25">
      <c r="A12">
        <v>67693</v>
      </c>
      <c r="B12" s="1">
        <v>25</v>
      </c>
      <c r="H12" s="8">
        <f>+$B$2</f>
        <v>0.5</v>
      </c>
      <c r="I12" s="1" t="s">
        <v>50</v>
      </c>
      <c r="J12" s="16">
        <f>ROUND(+G10*H12,0)</f>
        <v>3204</v>
      </c>
      <c r="K12" s="19"/>
      <c r="L12" s="16">
        <f>ROUND(+K10*H12,0)</f>
        <v>0</v>
      </c>
      <c r="M12" s="16"/>
      <c r="N12" s="16"/>
      <c r="O12" s="18">
        <f>ROUND(+L12,0)</f>
        <v>0</v>
      </c>
      <c r="P12" s="16"/>
      <c r="Q12" s="19"/>
      <c r="R12" s="23">
        <f>ROUND(+Q10-N10+O12,0)</f>
        <v>0</v>
      </c>
      <c r="S12" s="10">
        <f>+R12-O12</f>
        <v>0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0</v>
      </c>
      <c r="M13" s="14"/>
      <c r="O13" s="10">
        <f>ROUND(+L13,0)</f>
        <v>0</v>
      </c>
      <c r="P13" s="14"/>
      <c r="Q13" s="13"/>
      <c r="R13" s="10">
        <f>SUM(R10:R12)</f>
        <v>0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0.5</v>
      </c>
      <c r="I15" s="1">
        <v>36907</v>
      </c>
      <c r="J15" s="10">
        <f>ROUND(+G15*H15,0)</f>
        <v>1291</v>
      </c>
      <c r="K15" s="22"/>
      <c r="L15" s="14">
        <f>ROUND(+K15*H15,0)</f>
        <v>0</v>
      </c>
      <c r="M15" s="14"/>
      <c r="N15" s="25">
        <f>ROUND(+K15,0)</f>
        <v>0</v>
      </c>
      <c r="O15" s="14">
        <f>ROUND(+L15,0)</f>
        <v>0</v>
      </c>
      <c r="P15" s="14"/>
      <c r="Q15" s="24">
        <v>0</v>
      </c>
      <c r="R15" s="14">
        <f>ROUND(+O15,0)</f>
        <v>0</v>
      </c>
    </row>
    <row r="16" spans="1:20" ht="13.5" thickBot="1" x14ac:dyDescent="0.25">
      <c r="A16">
        <v>67693</v>
      </c>
      <c r="B16" s="1">
        <v>26</v>
      </c>
      <c r="H16" s="8">
        <f>+$B$2</f>
        <v>0.5</v>
      </c>
      <c r="I16" s="1" t="s">
        <v>50</v>
      </c>
      <c r="J16" s="16">
        <f>ROUND(+G15*H16,0)</f>
        <v>1291</v>
      </c>
      <c r="K16" s="19"/>
      <c r="L16" s="16">
        <f>ROUND(+K15*H16,0)</f>
        <v>0</v>
      </c>
      <c r="M16" s="16"/>
      <c r="N16" s="16"/>
      <c r="O16" s="18">
        <f>ROUND(+L16,0)</f>
        <v>0</v>
      </c>
      <c r="P16" s="16"/>
      <c r="Q16" s="19"/>
      <c r="R16" s="23">
        <f>ROUND(+Q15-N15+O16,0)</f>
        <v>0</v>
      </c>
      <c r="S16" s="10">
        <f>+R16-O16</f>
        <v>0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0</v>
      </c>
      <c r="O17" s="10">
        <f>ROUND(+L17,0)</f>
        <v>0</v>
      </c>
      <c r="Q17" s="13"/>
      <c r="R17" s="10">
        <f>SUM(R15:R16)</f>
        <v>0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0.5</v>
      </c>
      <c r="I19" s="1">
        <v>36907</v>
      </c>
      <c r="J19" s="10">
        <f>ROUND(+G19*H19,0)</f>
        <v>5955</v>
      </c>
      <c r="K19" s="22"/>
      <c r="L19" s="14">
        <f>ROUND(+K19*H19,0)</f>
        <v>0</v>
      </c>
      <c r="M19" s="14"/>
      <c r="N19" s="25">
        <f>ROUND(+K19,0)</f>
        <v>0</v>
      </c>
      <c r="O19" s="14">
        <f>ROUND(+L19,0)</f>
        <v>0</v>
      </c>
      <c r="P19" s="14"/>
      <c r="Q19" s="24">
        <v>0</v>
      </c>
      <c r="R19" s="14">
        <f>ROUND(+O19,0)</f>
        <v>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0</v>
      </c>
      <c r="M20" s="24"/>
      <c r="N20" s="24"/>
      <c r="O20" s="66">
        <f>L20</f>
        <v>0</v>
      </c>
      <c r="P20" s="24"/>
      <c r="Q20" s="24"/>
      <c r="R20" s="66">
        <f>L20</f>
        <v>0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0</v>
      </c>
      <c r="M21" s="24"/>
      <c r="N21" s="24"/>
      <c r="O21" s="66">
        <f>L21</f>
        <v>0</v>
      </c>
      <c r="P21" s="24"/>
      <c r="Q21" s="24"/>
      <c r="R21" s="66">
        <f>L21</f>
        <v>0</v>
      </c>
    </row>
    <row r="22" spans="1:20" s="60" customFormat="1" x14ac:dyDescent="0.2">
      <c r="A22" s="60">
        <v>67829</v>
      </c>
      <c r="B22" s="87" t="s">
        <v>112</v>
      </c>
      <c r="C22" s="60" t="s">
        <v>114</v>
      </c>
      <c r="E22" s="61" t="s">
        <v>127</v>
      </c>
      <c r="F22" s="62"/>
      <c r="G22" s="63"/>
      <c r="H22" s="64"/>
      <c r="I22" s="61"/>
      <c r="J22" s="65">
        <v>0</v>
      </c>
      <c r="K22" s="24"/>
      <c r="L22" s="66">
        <v>0</v>
      </c>
      <c r="M22" s="24"/>
      <c r="N22" s="24"/>
      <c r="O22" s="66">
        <f>L22</f>
        <v>0</v>
      </c>
      <c r="P22" s="24"/>
      <c r="Q22" s="24"/>
      <c r="R22" s="66">
        <f>L22</f>
        <v>0</v>
      </c>
    </row>
    <row r="23" spans="1:20" s="60" customFormat="1" x14ac:dyDescent="0.2">
      <c r="A23" s="60">
        <v>67831</v>
      </c>
      <c r="B23" s="87" t="s">
        <v>112</v>
      </c>
      <c r="C23" s="60" t="s">
        <v>125</v>
      </c>
      <c r="E23" s="61" t="s">
        <v>127</v>
      </c>
      <c r="F23" s="62"/>
      <c r="G23" s="63"/>
      <c r="H23" s="64"/>
      <c r="I23" s="61"/>
      <c r="J23" s="65">
        <v>0</v>
      </c>
      <c r="K23" s="24"/>
      <c r="L23" s="66">
        <v>0</v>
      </c>
      <c r="M23" s="24"/>
      <c r="N23" s="24"/>
      <c r="O23" s="66">
        <f>L23</f>
        <v>0</v>
      </c>
      <c r="P23" s="24"/>
      <c r="Q23" s="24"/>
      <c r="R23" s="66">
        <f>L23</f>
        <v>0</v>
      </c>
    </row>
    <row r="24" spans="1:20" s="60" customFormat="1" x14ac:dyDescent="0.2">
      <c r="A24" s="60">
        <v>67830</v>
      </c>
      <c r="B24" s="87" t="s">
        <v>112</v>
      </c>
      <c r="C24" s="60" t="s">
        <v>126</v>
      </c>
      <c r="E24" s="61" t="s">
        <v>127</v>
      </c>
      <c r="F24" s="62"/>
      <c r="G24" s="63"/>
      <c r="H24" s="64"/>
      <c r="I24" s="61"/>
      <c r="J24" s="65">
        <v>0</v>
      </c>
      <c r="K24" s="24"/>
      <c r="L24" s="66">
        <v>0</v>
      </c>
      <c r="M24" s="24"/>
      <c r="N24" s="24"/>
      <c r="O24" s="66">
        <f>L24</f>
        <v>0</v>
      </c>
      <c r="P24" s="24"/>
      <c r="Q24" s="24"/>
      <c r="R24" s="66">
        <f>L24</f>
        <v>0</v>
      </c>
    </row>
    <row r="25" spans="1:20" ht="13.5" thickBot="1" x14ac:dyDescent="0.25">
      <c r="A25">
        <v>67693</v>
      </c>
      <c r="B25" s="1">
        <v>16</v>
      </c>
      <c r="H25" s="8">
        <f>+$B$2</f>
        <v>0.5</v>
      </c>
      <c r="I25" s="1" t="s">
        <v>51</v>
      </c>
      <c r="J25" s="16">
        <f>ROUND(+G19*H25,0)</f>
        <v>5955</v>
      </c>
      <c r="K25" s="19"/>
      <c r="L25" s="16">
        <f>ROUND(+K19*H25,0)</f>
        <v>0</v>
      </c>
      <c r="M25" s="16"/>
      <c r="N25" s="16"/>
      <c r="O25" s="18">
        <f>ROUND(+L25,0)</f>
        <v>0</v>
      </c>
      <c r="P25" s="16"/>
      <c r="Q25" s="19"/>
      <c r="R25" s="23">
        <f>ROUND(+Q19-N19+O25,0)</f>
        <v>0</v>
      </c>
      <c r="S25" s="10">
        <f>+R25-O25</f>
        <v>0</v>
      </c>
      <c r="T25" t="s">
        <v>47</v>
      </c>
    </row>
    <row r="26" spans="1:20" x14ac:dyDescent="0.2">
      <c r="J26" s="14">
        <f>SUM(J19:J25)</f>
        <v>11910</v>
      </c>
      <c r="K26" s="13"/>
      <c r="L26" s="10">
        <f>SUM(L19:L25)</f>
        <v>0</v>
      </c>
      <c r="M26" s="14"/>
      <c r="O26" s="10">
        <f>ROUND(+L26,0)</f>
        <v>0</v>
      </c>
      <c r="P26" s="14"/>
      <c r="Q26" s="13"/>
      <c r="R26" s="10">
        <f>SUM(R19:R25)</f>
        <v>0</v>
      </c>
      <c r="S26" s="10">
        <f>+R26-Q19</f>
        <v>0</v>
      </c>
      <c r="T26" t="s">
        <v>46</v>
      </c>
    </row>
    <row r="28" spans="1:20" x14ac:dyDescent="0.2">
      <c r="A28">
        <v>67693</v>
      </c>
      <c r="B28" s="1">
        <v>4</v>
      </c>
      <c r="C28" t="s">
        <v>12</v>
      </c>
      <c r="D28" t="s">
        <v>38</v>
      </c>
      <c r="E28" s="1" t="s">
        <v>23</v>
      </c>
      <c r="F28" s="48">
        <v>2273</v>
      </c>
      <c r="G28">
        <v>1789</v>
      </c>
      <c r="H28" s="8">
        <f>+$B$1</f>
        <v>0.5</v>
      </c>
      <c r="I28" s="1">
        <v>36907</v>
      </c>
      <c r="J28" s="10">
        <f>ROUND(+G28*H28,0)</f>
        <v>895</v>
      </c>
      <c r="K28" s="22"/>
      <c r="L28" s="14">
        <f>ROUND(+K28*H28,0)</f>
        <v>0</v>
      </c>
      <c r="M28" s="14"/>
      <c r="N28" s="25">
        <f>ROUND(+K28,0)</f>
        <v>0</v>
      </c>
      <c r="O28" s="14">
        <f>ROUND(+L28,0)</f>
        <v>0</v>
      </c>
      <c r="P28" s="14"/>
      <c r="Q28" s="24">
        <v>0</v>
      </c>
      <c r="R28" s="14">
        <f>ROUND(+O28,0)</f>
        <v>0</v>
      </c>
    </row>
    <row r="29" spans="1:20" ht="13.5" thickBot="1" x14ac:dyDescent="0.25">
      <c r="A29">
        <v>67693</v>
      </c>
      <c r="B29" s="1">
        <v>17</v>
      </c>
      <c r="H29" s="8">
        <f>+$B$2</f>
        <v>0.5</v>
      </c>
      <c r="I29" s="1" t="s">
        <v>51</v>
      </c>
      <c r="J29" s="16">
        <f>ROUND(+G28*H29,0)</f>
        <v>895</v>
      </c>
      <c r="K29" s="19"/>
      <c r="L29" s="18">
        <f>ROUND(+K28*H29,0)</f>
        <v>0</v>
      </c>
      <c r="M29" s="18"/>
      <c r="N29" s="16"/>
      <c r="O29" s="18">
        <f>ROUND(+L29,0)</f>
        <v>0</v>
      </c>
      <c r="P29" s="18"/>
      <c r="Q29" s="19"/>
      <c r="R29" s="23">
        <f>ROUND(+Q28-N28+O29,0)</f>
        <v>0</v>
      </c>
      <c r="S29" s="10">
        <f>+R29-O29</f>
        <v>0</v>
      </c>
      <c r="T29" t="s">
        <v>47</v>
      </c>
    </row>
    <row r="30" spans="1:20" x14ac:dyDescent="0.2">
      <c r="J30" s="10">
        <f>SUM(J28:J29)</f>
        <v>1790</v>
      </c>
      <c r="K30" s="13"/>
      <c r="L30" s="10">
        <f>SUM(L28:L29)</f>
        <v>0</v>
      </c>
      <c r="O30" s="10">
        <f>ROUND(+L30,0)</f>
        <v>0</v>
      </c>
      <c r="Q30" s="13"/>
      <c r="R30" s="10">
        <f>SUM(R28:R29)</f>
        <v>0</v>
      </c>
      <c r="S30" s="10">
        <f>+R30-Q28</f>
        <v>0</v>
      </c>
      <c r="T30" t="s">
        <v>46</v>
      </c>
    </row>
    <row r="32" spans="1:20" x14ac:dyDescent="0.2">
      <c r="A32">
        <v>67693</v>
      </c>
      <c r="B32" s="1">
        <v>5</v>
      </c>
      <c r="C32" t="s">
        <v>13</v>
      </c>
      <c r="D32" t="s">
        <v>39</v>
      </c>
      <c r="E32" s="1" t="s">
        <v>24</v>
      </c>
      <c r="F32" s="48">
        <v>1763</v>
      </c>
      <c r="G32">
        <v>1425</v>
      </c>
      <c r="H32" s="8">
        <f>+$B$1</f>
        <v>0.5</v>
      </c>
      <c r="I32" s="1">
        <v>36907</v>
      </c>
      <c r="J32" s="10">
        <f>ROUND(+G32*H32,0)</f>
        <v>713</v>
      </c>
      <c r="K32" s="22"/>
      <c r="L32" s="14">
        <f>ROUND(+K32*H32,0)</f>
        <v>0</v>
      </c>
      <c r="M32" s="14"/>
      <c r="N32" s="25">
        <f>ROUND(+K32,0)</f>
        <v>0</v>
      </c>
      <c r="O32" s="14">
        <f>ROUND(+L32,0)</f>
        <v>0</v>
      </c>
      <c r="P32" s="14"/>
      <c r="Q32" s="24">
        <v>0</v>
      </c>
      <c r="R32" s="14">
        <f>ROUND(+O32,0)</f>
        <v>0</v>
      </c>
    </row>
    <row r="33" spans="1:20" ht="13.5" thickBot="1" x14ac:dyDescent="0.25">
      <c r="A33">
        <v>67693</v>
      </c>
      <c r="B33" s="1">
        <v>18</v>
      </c>
      <c r="H33" s="8">
        <f>+$B$2</f>
        <v>0.5</v>
      </c>
      <c r="I33" s="1" t="s">
        <v>51</v>
      </c>
      <c r="J33" s="16">
        <f>ROUND(+G32*H33,0)</f>
        <v>713</v>
      </c>
      <c r="K33" s="19"/>
      <c r="L33" s="16">
        <f>ROUND(+K32*H33,0)</f>
        <v>0</v>
      </c>
      <c r="M33" s="16"/>
      <c r="N33" s="16"/>
      <c r="O33" s="18">
        <f>ROUND(+L33,0)</f>
        <v>0</v>
      </c>
      <c r="P33" s="16"/>
      <c r="Q33" s="19"/>
      <c r="R33" s="23">
        <f>ROUND(+Q32-N32+O33,0)</f>
        <v>0</v>
      </c>
      <c r="S33" s="10">
        <f>+R33-O33</f>
        <v>0</v>
      </c>
      <c r="T33" t="s">
        <v>47</v>
      </c>
    </row>
    <row r="34" spans="1:20" x14ac:dyDescent="0.2">
      <c r="J34" s="10">
        <f>SUM(J32:J33)</f>
        <v>1426</v>
      </c>
      <c r="K34" s="13"/>
      <c r="L34" s="10">
        <f>SUM(L32:L33)</f>
        <v>0</v>
      </c>
      <c r="O34" s="10">
        <f>ROUND(+L34,0)</f>
        <v>0</v>
      </c>
      <c r="Q34" s="13"/>
      <c r="R34" s="10">
        <f>SUM(R32:R33)</f>
        <v>0</v>
      </c>
      <c r="S34" s="10">
        <f>+R34-Q32</f>
        <v>0</v>
      </c>
      <c r="T34" t="s">
        <v>46</v>
      </c>
    </row>
    <row r="36" spans="1:20" x14ac:dyDescent="0.2">
      <c r="A36">
        <v>67693</v>
      </c>
      <c r="B36" s="1">
        <v>6</v>
      </c>
      <c r="C36" t="s">
        <v>14</v>
      </c>
      <c r="D36" t="s">
        <v>40</v>
      </c>
      <c r="E36" s="1" t="s">
        <v>25</v>
      </c>
      <c r="F36" s="48">
        <v>14119</v>
      </c>
      <c r="G36" s="6">
        <v>11359</v>
      </c>
      <c r="H36" s="8">
        <f>+$B$1</f>
        <v>0.5</v>
      </c>
      <c r="I36" s="1">
        <v>36907</v>
      </c>
      <c r="J36" s="10">
        <f>ROUND(+G36*H36,0)</f>
        <v>5680</v>
      </c>
      <c r="K36" s="22"/>
      <c r="L36" s="14">
        <f>ROUND(+K36*H36,0)</f>
        <v>0</v>
      </c>
      <c r="M36" s="14"/>
      <c r="N36" s="25">
        <f>ROUND(+K36,0)</f>
        <v>0</v>
      </c>
      <c r="O36" s="14">
        <f>ROUND(+L36,0)</f>
        <v>0</v>
      </c>
      <c r="P36" s="14"/>
      <c r="Q36" s="24">
        <v>0</v>
      </c>
      <c r="R36" s="14">
        <f>ROUND(+O36,0)</f>
        <v>0</v>
      </c>
    </row>
    <row r="37" spans="1:20" s="60" customFormat="1" x14ac:dyDescent="0.2">
      <c r="A37" s="60">
        <v>40998</v>
      </c>
      <c r="B37" s="61">
        <v>91</v>
      </c>
      <c r="E37" s="61"/>
      <c r="F37" s="62"/>
      <c r="G37" s="63"/>
      <c r="H37" s="64"/>
      <c r="I37" s="61"/>
      <c r="J37" s="65">
        <v>0</v>
      </c>
      <c r="K37" s="24"/>
      <c r="L37" s="66">
        <v>0</v>
      </c>
      <c r="M37" s="24"/>
      <c r="N37" s="24"/>
      <c r="O37" s="66">
        <f>L37</f>
        <v>0</v>
      </c>
      <c r="P37" s="24"/>
      <c r="Q37" s="24"/>
      <c r="R37" s="66">
        <f>L37</f>
        <v>0</v>
      </c>
    </row>
    <row r="38" spans="1:20" s="60" customFormat="1" x14ac:dyDescent="0.2">
      <c r="A38" s="60">
        <v>66931</v>
      </c>
      <c r="B38" s="67" t="s">
        <v>86</v>
      </c>
      <c r="E38" s="61"/>
      <c r="F38" s="62"/>
      <c r="G38" s="63"/>
      <c r="H38" s="64"/>
      <c r="I38" s="61"/>
      <c r="J38" s="65">
        <v>0</v>
      </c>
      <c r="K38" s="24"/>
      <c r="L38" s="66">
        <v>0</v>
      </c>
      <c r="M38" s="24"/>
      <c r="N38" s="24"/>
      <c r="O38" s="66">
        <f>L38</f>
        <v>0</v>
      </c>
      <c r="P38" s="24"/>
      <c r="Q38" s="24"/>
      <c r="R38" s="66">
        <f>L38</f>
        <v>0</v>
      </c>
    </row>
    <row r="39" spans="1:20" s="60" customFormat="1" x14ac:dyDescent="0.2">
      <c r="A39" s="60">
        <v>67829</v>
      </c>
      <c r="B39" s="87" t="s">
        <v>113</v>
      </c>
      <c r="C39" s="60" t="s">
        <v>114</v>
      </c>
      <c r="E39" s="61" t="s">
        <v>127</v>
      </c>
      <c r="F39" s="62"/>
      <c r="G39" s="63"/>
      <c r="H39" s="64"/>
      <c r="I39" s="61"/>
      <c r="J39" s="65">
        <v>0</v>
      </c>
      <c r="K39" s="24"/>
      <c r="L39" s="66">
        <v>0</v>
      </c>
      <c r="M39" s="24"/>
      <c r="N39" s="24"/>
      <c r="O39" s="66">
        <f>L39</f>
        <v>0</v>
      </c>
      <c r="P39" s="24"/>
      <c r="Q39" s="24"/>
      <c r="R39" s="66">
        <f>L39</f>
        <v>0</v>
      </c>
    </row>
    <row r="40" spans="1:20" s="60" customFormat="1" x14ac:dyDescent="0.2">
      <c r="A40" s="60">
        <v>67831</v>
      </c>
      <c r="B40" s="87" t="s">
        <v>113</v>
      </c>
      <c r="C40" s="60" t="s">
        <v>125</v>
      </c>
      <c r="E40" s="61" t="s">
        <v>127</v>
      </c>
      <c r="F40" s="62"/>
      <c r="G40" s="63"/>
      <c r="H40" s="64"/>
      <c r="I40" s="61"/>
      <c r="J40" s="65">
        <v>0</v>
      </c>
      <c r="K40" s="24"/>
      <c r="L40" s="66">
        <v>0</v>
      </c>
      <c r="M40" s="24"/>
      <c r="N40" s="24"/>
      <c r="O40" s="66">
        <f>L40</f>
        <v>0</v>
      </c>
      <c r="P40" s="24"/>
      <c r="Q40" s="24"/>
      <c r="R40" s="66">
        <f>L40</f>
        <v>0</v>
      </c>
    </row>
    <row r="41" spans="1:20" s="60" customFormat="1" x14ac:dyDescent="0.2">
      <c r="A41" s="60">
        <v>67830</v>
      </c>
      <c r="B41" s="87" t="s">
        <v>113</v>
      </c>
      <c r="C41" s="60" t="s">
        <v>126</v>
      </c>
      <c r="E41" s="61" t="s">
        <v>127</v>
      </c>
      <c r="F41" s="62"/>
      <c r="G41" s="63"/>
      <c r="H41" s="64"/>
      <c r="I41" s="61"/>
      <c r="J41" s="65">
        <v>0</v>
      </c>
      <c r="K41" s="24"/>
      <c r="L41" s="66">
        <v>0</v>
      </c>
      <c r="M41" s="24"/>
      <c r="N41" s="24"/>
      <c r="O41" s="66">
        <f>L41</f>
        <v>0</v>
      </c>
      <c r="P41" s="24"/>
      <c r="Q41" s="24"/>
      <c r="R41" s="66">
        <f>L41</f>
        <v>0</v>
      </c>
    </row>
    <row r="42" spans="1:20" ht="13.5" thickBot="1" x14ac:dyDescent="0.25">
      <c r="A42">
        <v>67693</v>
      </c>
      <c r="B42" s="1">
        <v>19</v>
      </c>
      <c r="H42" s="8">
        <f>+$B$2</f>
        <v>0.5</v>
      </c>
      <c r="I42" s="1" t="s">
        <v>51</v>
      </c>
      <c r="J42" s="16">
        <f>ROUND(+G36*H42,0)</f>
        <v>5680</v>
      </c>
      <c r="K42" s="19"/>
      <c r="L42" s="16">
        <f>ROUND(+K36*H42,0)</f>
        <v>0</v>
      </c>
      <c r="M42" s="16"/>
      <c r="N42" s="16"/>
      <c r="O42" s="18">
        <f>ROUND(+L42,0)</f>
        <v>0</v>
      </c>
      <c r="P42" s="16"/>
      <c r="Q42" s="19"/>
      <c r="R42" s="23">
        <f>ROUND(+Q36-N36+O42,0)</f>
        <v>0</v>
      </c>
      <c r="S42" s="10">
        <f>+R42-O42</f>
        <v>0</v>
      </c>
      <c r="T42" t="s">
        <v>47</v>
      </c>
    </row>
    <row r="43" spans="1:20" x14ac:dyDescent="0.2">
      <c r="J43" s="10">
        <f>SUM(J36:J42)</f>
        <v>11360</v>
      </c>
      <c r="K43" s="13"/>
      <c r="L43" s="10">
        <f>SUM(L36:L42)</f>
        <v>0</v>
      </c>
      <c r="O43" s="10">
        <f>ROUND(+L43,0)</f>
        <v>0</v>
      </c>
      <c r="Q43" s="13"/>
      <c r="R43" s="10">
        <f>SUM(R36:R42)</f>
        <v>0</v>
      </c>
      <c r="S43" s="10">
        <f>+R43-Q36</f>
        <v>0</v>
      </c>
      <c r="T43" t="s">
        <v>46</v>
      </c>
    </row>
    <row r="45" spans="1:20" ht="12" customHeight="1" x14ac:dyDescent="0.2">
      <c r="A45">
        <v>67693</v>
      </c>
      <c r="B45" s="1">
        <v>7</v>
      </c>
      <c r="C45" t="s">
        <v>15</v>
      </c>
      <c r="D45" t="s">
        <v>41</v>
      </c>
      <c r="E45" s="1" t="s">
        <v>26</v>
      </c>
      <c r="F45" s="48">
        <v>2405</v>
      </c>
      <c r="G45">
        <v>1891</v>
      </c>
      <c r="H45" s="8">
        <f>+$B$1</f>
        <v>0.5</v>
      </c>
      <c r="I45" s="1">
        <v>36907</v>
      </c>
      <c r="J45" s="10">
        <f>ROUND(+G45*H45,0)</f>
        <v>946</v>
      </c>
      <c r="K45" s="22"/>
      <c r="L45" s="14">
        <f>ROUND(+K45*H45,0)</f>
        <v>0</v>
      </c>
      <c r="M45" s="14"/>
      <c r="N45" s="25">
        <f>ROUND(+K45,0)</f>
        <v>0</v>
      </c>
      <c r="O45" s="14">
        <f>ROUND(+L45,0)</f>
        <v>0</v>
      </c>
      <c r="P45" s="14"/>
      <c r="Q45" s="24">
        <v>0</v>
      </c>
      <c r="R45" s="14">
        <f>ROUND(+O45,0)</f>
        <v>0</v>
      </c>
    </row>
    <row r="46" spans="1:20" ht="12" customHeight="1" thickBot="1" x14ac:dyDescent="0.25">
      <c r="A46">
        <v>67693</v>
      </c>
      <c r="B46" s="1">
        <v>20</v>
      </c>
      <c r="H46" s="8">
        <f>+$B$2</f>
        <v>0.5</v>
      </c>
      <c r="I46" s="1" t="s">
        <v>51</v>
      </c>
      <c r="J46" s="16">
        <f>ROUND(+G45*H46,0)</f>
        <v>946</v>
      </c>
      <c r="K46" s="19"/>
      <c r="L46" s="16">
        <f>ROUND(+K45*H46,0)</f>
        <v>0</v>
      </c>
      <c r="M46" s="16"/>
      <c r="N46" s="16"/>
      <c r="O46" s="18">
        <f>ROUND(+L46,0)</f>
        <v>0</v>
      </c>
      <c r="P46" s="16"/>
      <c r="Q46" s="19"/>
      <c r="R46" s="23">
        <f>ROUND(+Q45-N45+O46,0)</f>
        <v>0</v>
      </c>
      <c r="S46" s="10">
        <f>+R46-O46</f>
        <v>0</v>
      </c>
      <c r="T46" t="s">
        <v>47</v>
      </c>
    </row>
    <row r="47" spans="1:20" ht="12" customHeight="1" x14ac:dyDescent="0.2">
      <c r="J47" s="10">
        <f>SUM(J45:J46)</f>
        <v>1892</v>
      </c>
      <c r="K47" s="13"/>
      <c r="L47" s="10">
        <f>SUM(L45:L46)</f>
        <v>0</v>
      </c>
      <c r="O47" s="10">
        <f>ROUND(+L47,0)</f>
        <v>0</v>
      </c>
      <c r="Q47" s="13"/>
      <c r="R47" s="10">
        <f>SUM(R45:R46)</f>
        <v>0</v>
      </c>
      <c r="S47" s="10">
        <f>+R47-Q45</f>
        <v>0</v>
      </c>
      <c r="T47" t="s">
        <v>46</v>
      </c>
    </row>
    <row r="48" spans="1:20" ht="12" customHeight="1" x14ac:dyDescent="0.2"/>
    <row r="49" spans="1:20" x14ac:dyDescent="0.2">
      <c r="A49">
        <v>67693</v>
      </c>
      <c r="B49" s="1">
        <v>8</v>
      </c>
      <c r="C49" t="s">
        <v>16</v>
      </c>
      <c r="D49" t="s">
        <v>42</v>
      </c>
      <c r="E49" s="1" t="s">
        <v>27</v>
      </c>
      <c r="F49" s="48">
        <v>2573</v>
      </c>
      <c r="G49">
        <v>2000</v>
      </c>
      <c r="H49" s="8">
        <f>+$B$1</f>
        <v>0.5</v>
      </c>
      <c r="I49" s="1">
        <v>36907</v>
      </c>
      <c r="J49" s="10">
        <f>ROUND(+G49*H49,0)</f>
        <v>1000</v>
      </c>
      <c r="K49" s="22"/>
      <c r="L49" s="14">
        <f>ROUND(+K49*H49,0)</f>
        <v>0</v>
      </c>
      <c r="M49" s="14"/>
      <c r="N49" s="25">
        <f>ROUND(+K49,0)</f>
        <v>0</v>
      </c>
      <c r="O49" s="14">
        <f>ROUND(+L49,0)</f>
        <v>0</v>
      </c>
      <c r="P49" s="14"/>
      <c r="Q49" s="24">
        <v>0</v>
      </c>
      <c r="R49" s="14">
        <f>ROUND(+O49,0)</f>
        <v>0</v>
      </c>
    </row>
    <row r="50" spans="1:20" ht="13.5" thickBot="1" x14ac:dyDescent="0.25">
      <c r="A50">
        <v>67693</v>
      </c>
      <c r="B50" s="1">
        <v>21</v>
      </c>
      <c r="H50" s="8">
        <f>+$B$2</f>
        <v>0.5</v>
      </c>
      <c r="I50" s="1" t="s">
        <v>51</v>
      </c>
      <c r="J50" s="16">
        <f>ROUND(+G49*H50,0)</f>
        <v>1000</v>
      </c>
      <c r="K50" s="19"/>
      <c r="L50" s="16">
        <f>ROUND(+K49*H50,0)</f>
        <v>0</v>
      </c>
      <c r="M50" s="16"/>
      <c r="N50" s="16"/>
      <c r="O50" s="18">
        <f>ROUND(+L50,0)</f>
        <v>0</v>
      </c>
      <c r="P50" s="16"/>
      <c r="Q50" s="19"/>
      <c r="R50" s="23">
        <f>ROUND(+Q49-N49+O50,0)</f>
        <v>0</v>
      </c>
      <c r="S50" s="10">
        <f>+R50-O50</f>
        <v>0</v>
      </c>
      <c r="T50" t="s">
        <v>47</v>
      </c>
    </row>
    <row r="51" spans="1:20" x14ac:dyDescent="0.2">
      <c r="J51" s="10">
        <f>SUM(J49:J50)</f>
        <v>2000</v>
      </c>
      <c r="L51" s="10">
        <f>SUM(L49:L50)</f>
        <v>0</v>
      </c>
      <c r="O51" s="10">
        <f>ROUND(+L51,0)</f>
        <v>0</v>
      </c>
      <c r="R51" s="10">
        <f>SUM(R49:R50)</f>
        <v>0</v>
      </c>
      <c r="S51" s="10">
        <f>+R51-Q49</f>
        <v>0</v>
      </c>
      <c r="T51" t="s">
        <v>46</v>
      </c>
    </row>
    <row r="53" spans="1:20" x14ac:dyDescent="0.2">
      <c r="A53">
        <v>67693</v>
      </c>
      <c r="B53" s="1">
        <v>9</v>
      </c>
      <c r="C53" t="s">
        <v>17</v>
      </c>
      <c r="D53" t="s">
        <v>43</v>
      </c>
      <c r="E53" s="1" t="s">
        <v>28</v>
      </c>
      <c r="F53" s="48">
        <v>3128</v>
      </c>
      <c r="G53">
        <v>2470</v>
      </c>
      <c r="H53" s="8">
        <f>+$B$1</f>
        <v>0.5</v>
      </c>
      <c r="I53" s="1">
        <v>36907</v>
      </c>
      <c r="J53" s="54">
        <v>1358</v>
      </c>
      <c r="K53" s="22"/>
      <c r="L53" s="14">
        <f>ROUND(+K53*H53,0)</f>
        <v>0</v>
      </c>
      <c r="M53" s="14"/>
      <c r="N53" s="25">
        <f>ROUND(+K53,0)</f>
        <v>0</v>
      </c>
      <c r="O53" s="14">
        <f>ROUND(+L53,0)</f>
        <v>0</v>
      </c>
      <c r="P53" s="14"/>
      <c r="Q53" s="24">
        <v>0</v>
      </c>
      <c r="R53" s="14">
        <f>ROUND(+O53,0)</f>
        <v>0</v>
      </c>
    </row>
    <row r="54" spans="1:20" ht="13.5" thickBot="1" x14ac:dyDescent="0.25">
      <c r="A54">
        <v>67693</v>
      </c>
      <c r="B54" s="1">
        <v>22</v>
      </c>
      <c r="H54" s="8">
        <f>+$B$2</f>
        <v>0.5</v>
      </c>
      <c r="I54" s="1" t="s">
        <v>51</v>
      </c>
      <c r="J54" s="16">
        <f>ROUND(+G53*H54,0)</f>
        <v>1235</v>
      </c>
      <c r="K54" s="19"/>
      <c r="L54" s="16">
        <f>ROUND(+K53*H54,0)</f>
        <v>0</v>
      </c>
      <c r="M54" s="16"/>
      <c r="N54" s="16"/>
      <c r="O54" s="18">
        <f>ROUND(+L54,0)</f>
        <v>0</v>
      </c>
      <c r="P54" s="16"/>
      <c r="Q54" s="19"/>
      <c r="R54" s="23">
        <f>ROUND(+Q53-N53+O54,0)</f>
        <v>0</v>
      </c>
      <c r="S54" s="10">
        <f>+R54-O54</f>
        <v>0</v>
      </c>
      <c r="T54" t="s">
        <v>47</v>
      </c>
    </row>
    <row r="55" spans="1:20" x14ac:dyDescent="0.2">
      <c r="J55" s="10">
        <f>SUM(J53:J54)</f>
        <v>2593</v>
      </c>
      <c r="K55" s="13"/>
      <c r="L55" s="10">
        <f>SUM(L53:L54)</f>
        <v>0</v>
      </c>
      <c r="O55" s="10">
        <f>ROUND(+L55,0)</f>
        <v>0</v>
      </c>
      <c r="Q55" s="13"/>
      <c r="R55" s="10">
        <f>SUM(R53:R54)</f>
        <v>0</v>
      </c>
      <c r="S55" s="10">
        <f>+R55-Q53</f>
        <v>0</v>
      </c>
      <c r="T55" t="s">
        <v>46</v>
      </c>
    </row>
    <row r="57" spans="1:20" s="32" customFormat="1" x14ac:dyDescent="0.2">
      <c r="A57">
        <v>67693</v>
      </c>
      <c r="B57" s="33">
        <v>12</v>
      </c>
      <c r="C57" s="32" t="s">
        <v>18</v>
      </c>
      <c r="D57" s="32" t="s">
        <v>44</v>
      </c>
      <c r="E57" s="33" t="s">
        <v>29</v>
      </c>
      <c r="F57" s="52">
        <v>1654</v>
      </c>
      <c r="G57" s="32">
        <v>1276</v>
      </c>
      <c r="H57" s="8">
        <f>+$B$1</f>
        <v>0.5</v>
      </c>
      <c r="I57" s="33">
        <v>36907</v>
      </c>
      <c r="J57" s="10">
        <f>ROUND(+G57*H57,0)</f>
        <v>638</v>
      </c>
      <c r="K57" s="22"/>
      <c r="L57" s="14">
        <f>ROUND(+K57*H57,0)</f>
        <v>0</v>
      </c>
      <c r="M57" s="36"/>
      <c r="N57" s="25">
        <f>ROUND(+K57,0)</f>
        <v>0</v>
      </c>
      <c r="O57" s="36">
        <f>ROUND(+L57,0)</f>
        <v>0</v>
      </c>
      <c r="P57" s="36"/>
      <c r="Q57" s="24">
        <v>0</v>
      </c>
      <c r="R57" s="36">
        <f>ROUND(+O57,0)</f>
        <v>0</v>
      </c>
    </row>
    <row r="58" spans="1:20" s="32" customFormat="1" ht="13.5" thickBot="1" x14ac:dyDescent="0.25">
      <c r="A58">
        <v>67693</v>
      </c>
      <c r="B58" s="33">
        <v>23</v>
      </c>
      <c r="E58" s="33"/>
      <c r="F58" s="52"/>
      <c r="H58" s="8">
        <f>+$B$2</f>
        <v>0.5</v>
      </c>
      <c r="I58" s="33" t="s">
        <v>52</v>
      </c>
      <c r="J58" s="37">
        <f>ROUND(+G57*H58,0)</f>
        <v>638</v>
      </c>
      <c r="K58" s="38"/>
      <c r="L58" s="37">
        <f>ROUND(+K57*H58,0)</f>
        <v>0</v>
      </c>
      <c r="M58" s="37"/>
      <c r="N58" s="37"/>
      <c r="O58" s="39">
        <f>ROUND(+L58,0)</f>
        <v>0</v>
      </c>
      <c r="P58" s="37"/>
      <c r="Q58" s="38"/>
      <c r="R58" s="23">
        <f>ROUND(+Q57-N57+O58,0)</f>
        <v>0</v>
      </c>
      <c r="S58" s="35">
        <f>+R58-O58</f>
        <v>0</v>
      </c>
      <c r="T58" s="32" t="s">
        <v>47</v>
      </c>
    </row>
    <row r="59" spans="1:20" s="32" customFormat="1" x14ac:dyDescent="0.2">
      <c r="B59" s="33"/>
      <c r="E59" s="33"/>
      <c r="F59" s="52"/>
      <c r="H59" s="34"/>
      <c r="I59" s="33"/>
      <c r="J59" s="40">
        <f>SUM(J57:J58)</f>
        <v>1276</v>
      </c>
      <c r="K59" s="41"/>
      <c r="L59" s="40">
        <f>SUM(L57:L58)</f>
        <v>0</v>
      </c>
      <c r="M59" s="40"/>
      <c r="N59" s="35"/>
      <c r="O59" s="35">
        <f>ROUND(+L59,0)</f>
        <v>0</v>
      </c>
      <c r="P59" s="40"/>
      <c r="Q59" s="41"/>
      <c r="R59" s="35">
        <f>SUM(R57:R58)</f>
        <v>0</v>
      </c>
      <c r="S59" s="35">
        <f>+R59-Q57</f>
        <v>0</v>
      </c>
      <c r="T59" s="32" t="s">
        <v>46</v>
      </c>
    </row>
    <row r="61" spans="1:20" s="32" customFormat="1" x14ac:dyDescent="0.2">
      <c r="A61">
        <v>67693</v>
      </c>
      <c r="B61" s="33">
        <v>14</v>
      </c>
      <c r="C61" s="32" t="s">
        <v>19</v>
      </c>
      <c r="D61" s="32" t="s">
        <v>45</v>
      </c>
      <c r="E61" s="33" t="s">
        <v>30</v>
      </c>
      <c r="F61" s="52">
        <v>33</v>
      </c>
      <c r="G61" s="32">
        <v>25</v>
      </c>
      <c r="H61" s="8">
        <f>+$B$1</f>
        <v>0.5</v>
      </c>
      <c r="I61" s="33">
        <v>36907</v>
      </c>
      <c r="J61" s="35">
        <f>ROUND(+G61*H61,0)</f>
        <v>13</v>
      </c>
      <c r="K61" s="22"/>
      <c r="L61" s="14">
        <f>ROUND(+K61*H61,0)</f>
        <v>0</v>
      </c>
      <c r="M61" s="36"/>
      <c r="N61" s="25">
        <f>ROUND(+K61,0)</f>
        <v>0</v>
      </c>
      <c r="O61" s="36">
        <f>ROUND(+L61,0)</f>
        <v>0</v>
      </c>
      <c r="P61" s="36"/>
      <c r="Q61" s="24">
        <v>0</v>
      </c>
      <c r="R61" s="36">
        <f>ROUND(+O61,0)</f>
        <v>0</v>
      </c>
    </row>
    <row r="62" spans="1:20" s="32" customFormat="1" ht="13.5" thickBot="1" x14ac:dyDescent="0.25">
      <c r="A62">
        <v>67693</v>
      </c>
      <c r="B62" s="33">
        <v>24</v>
      </c>
      <c r="E62" s="33"/>
      <c r="F62" s="52"/>
      <c r="H62" s="8">
        <f>+$B$2</f>
        <v>0.5</v>
      </c>
      <c r="I62" s="33" t="s">
        <v>52</v>
      </c>
      <c r="J62" s="37">
        <f>ROUND(+G61*H62,0)</f>
        <v>13</v>
      </c>
      <c r="K62" s="37"/>
      <c r="L62" s="37">
        <f>ROUND(+K61*H62,0)</f>
        <v>0</v>
      </c>
      <c r="M62" s="37"/>
      <c r="N62" s="37"/>
      <c r="O62" s="39">
        <f>ROUND(+L62,0)</f>
        <v>0</v>
      </c>
      <c r="P62" s="37"/>
      <c r="Q62" s="37"/>
      <c r="R62" s="23">
        <f>ROUND(+Q61-N61+O62,0)</f>
        <v>0</v>
      </c>
      <c r="S62" s="35">
        <f>+R62-O62</f>
        <v>0</v>
      </c>
      <c r="T62" s="32" t="s">
        <v>47</v>
      </c>
    </row>
    <row r="63" spans="1:20" s="32" customFormat="1" x14ac:dyDescent="0.2">
      <c r="B63" s="33"/>
      <c r="E63" s="33"/>
      <c r="F63" s="52"/>
      <c r="H63" s="34" t="s">
        <v>79</v>
      </c>
      <c r="I63" s="33"/>
      <c r="J63" s="35">
        <f>SUM(J61:J62)</f>
        <v>26</v>
      </c>
      <c r="K63" s="35"/>
      <c r="L63" s="35">
        <f>SUM(L61:L62)</f>
        <v>0</v>
      </c>
      <c r="M63" s="35"/>
      <c r="N63" s="35"/>
      <c r="O63" s="35">
        <f>ROUND(+L63,0)</f>
        <v>0</v>
      </c>
      <c r="P63" s="35"/>
      <c r="Q63" s="35"/>
      <c r="R63" s="35">
        <f>SUM(R61:R62)</f>
        <v>0</v>
      </c>
      <c r="S63" s="35">
        <f>+R63-Q61</f>
        <v>0</v>
      </c>
      <c r="T63" s="32" t="s">
        <v>46</v>
      </c>
    </row>
    <row r="64" spans="1:20" ht="13.5" thickBot="1" x14ac:dyDescent="0.25"/>
    <row r="65" spans="1:21" ht="13.5" thickBot="1" x14ac:dyDescent="0.25">
      <c r="E65" t="s">
        <v>32</v>
      </c>
      <c r="F65" s="50">
        <f>SUM(F6:F63)</f>
        <v>54327</v>
      </c>
      <c r="G65">
        <f>SUM(G6:G63)</f>
        <v>43625</v>
      </c>
      <c r="J65" s="28">
        <f>SUM(J8+J13+J17+J26+J30+J34+J43+J47+J51+J55+J59+J63)</f>
        <v>43755</v>
      </c>
      <c r="K65" s="10">
        <f>SUM(K6:K63)</f>
        <v>0</v>
      </c>
      <c r="L65" s="28">
        <f>SUM(L8+L13+L17+L26+L30+L34+L43+L47+L51+L55+L59+L63)</f>
        <v>0</v>
      </c>
      <c r="N65" s="10">
        <f>SUM(N6:N63)</f>
        <v>0</v>
      </c>
      <c r="O65" s="28">
        <f>SUM(O8+O13+O17+O26+O30+O34+O43+O47+O51+O55+O59+O63)</f>
        <v>0</v>
      </c>
      <c r="Q65" s="10">
        <f>SUM(Q6:Q63)</f>
        <v>0</v>
      </c>
      <c r="R65" s="28">
        <f>SUM(R8+R13+R17+R26+R30+R34+R43+R47+R51+R55+R59+R63)</f>
        <v>0</v>
      </c>
      <c r="S65" s="29">
        <f>S8+S13+S17+S26+S30+S34+S43+S47+S51+S55+S59+S63</f>
        <v>0</v>
      </c>
      <c r="T65" s="30" t="s">
        <v>55</v>
      </c>
      <c r="U65" s="31"/>
    </row>
    <row r="68" spans="1:21" x14ac:dyDescent="0.2">
      <c r="A68">
        <v>63281</v>
      </c>
      <c r="B68" s="1">
        <v>40</v>
      </c>
      <c r="H68" s="1">
        <v>22</v>
      </c>
      <c r="I68" t="s">
        <v>33</v>
      </c>
      <c r="J68" s="10">
        <f>SUMIF($I$6:$I$62,"22STOW",$J$6:$J$62)</f>
        <v>246</v>
      </c>
      <c r="L68" s="10">
        <f>SUMIF($I$6:$I$62,"22STOW",$L$6:$L$62)</f>
        <v>0</v>
      </c>
      <c r="O68" s="10">
        <f>SUMIF($I$6:$I$62,"22STOW",$O$6:$O$62)</f>
        <v>0</v>
      </c>
      <c r="R68" s="10">
        <f>SUMIF($I$6:$I$62,"22STOW",$R$6:$R$62)</f>
        <v>0</v>
      </c>
    </row>
    <row r="69" spans="1:21" x14ac:dyDescent="0.2">
      <c r="A69">
        <v>63281</v>
      </c>
      <c r="B69" s="1">
        <v>53</v>
      </c>
      <c r="C69" t="s">
        <v>54</v>
      </c>
      <c r="H69" s="1" t="s">
        <v>48</v>
      </c>
      <c r="I69" t="s">
        <v>33</v>
      </c>
      <c r="J69" s="10">
        <f>SUMIF($I$6:$I$62,"23nSTOW",$J$6:$J$62)</f>
        <v>4495</v>
      </c>
      <c r="L69" s="10">
        <f>SUMIF($I$6:$I$62,"23nSTOW",$L$6:$L$62)</f>
        <v>0</v>
      </c>
      <c r="O69" s="10">
        <f>SUMIF($I$6:$I$62,"23nSTOW",$O$6:$O$62)</f>
        <v>0</v>
      </c>
      <c r="R69" s="10">
        <f>SUMIF($I$6:$I$62,"23nSTOW",$R$6:$R$62)</f>
        <v>0</v>
      </c>
    </row>
    <row r="70" spans="1:21" x14ac:dyDescent="0.2">
      <c r="A70">
        <v>63281</v>
      </c>
      <c r="B70" s="1">
        <v>54</v>
      </c>
      <c r="C70" t="s">
        <v>54</v>
      </c>
      <c r="H70" s="1">
        <v>23</v>
      </c>
      <c r="I70" t="s">
        <v>33</v>
      </c>
      <c r="J70" s="10">
        <f>SUMIF($I$6:$I$62,"23STOW",$J$6:$J$62)</f>
        <v>16424</v>
      </c>
      <c r="L70" s="10">
        <f>SUMIF($I$6:$I$62,"23STOW",$L$6:$L$62)</f>
        <v>0</v>
      </c>
      <c r="O70" s="10">
        <f>SUMIF($I$6:$I$62,"23STOW",$O$6:$O$62)</f>
        <v>0</v>
      </c>
      <c r="R70" s="10">
        <f>SUMIF($I$6:$I$62,"23STOW",$R$6:$R$62)</f>
        <v>0</v>
      </c>
    </row>
    <row r="71" spans="1:21" x14ac:dyDescent="0.2">
      <c r="A71">
        <v>63281</v>
      </c>
      <c r="B71" s="1">
        <v>55</v>
      </c>
      <c r="C71" t="s">
        <v>54</v>
      </c>
      <c r="H71" s="1">
        <v>24</v>
      </c>
      <c r="I71" t="s">
        <v>33</v>
      </c>
      <c r="J71" s="10">
        <f>SUMIF($I$6:$I$62,"24STOW",$J$6:$J$62)</f>
        <v>651</v>
      </c>
      <c r="L71" s="10">
        <f>SUMIF($I$6:$I$62,"24STOW",$L$6:$L$62)</f>
        <v>0</v>
      </c>
      <c r="O71" s="10">
        <f>SUMIF($I$6:$I$62,"24STOW",$O$6:$O$62)</f>
        <v>0</v>
      </c>
      <c r="R71" s="10">
        <f>SUMIF($I$6:$I$62,"24STOW",$R$6:$R$62)</f>
        <v>0</v>
      </c>
    </row>
    <row r="73" spans="1:21" x14ac:dyDescent="0.2">
      <c r="A73">
        <v>63281</v>
      </c>
      <c r="B73" s="1">
        <v>52</v>
      </c>
      <c r="D73" s="55" t="s">
        <v>80</v>
      </c>
      <c r="E73" s="56">
        <v>20070</v>
      </c>
      <c r="F73" s="50"/>
      <c r="G73" s="10">
        <f>+J73/0.97816</f>
        <v>22303.099697391019</v>
      </c>
      <c r="I73" t="s">
        <v>33</v>
      </c>
      <c r="J73" s="10">
        <f>SUM(J68:J71)</f>
        <v>21816</v>
      </c>
      <c r="K73" s="10">
        <f>+L73/0.97816</f>
        <v>0</v>
      </c>
      <c r="L73" s="10">
        <f>SUM(L68:L71)</f>
        <v>0</v>
      </c>
      <c r="N73" s="10">
        <f>+O73/0.97816</f>
        <v>0</v>
      </c>
      <c r="O73" s="10">
        <f>SUM(O68:O71)</f>
        <v>0</v>
      </c>
      <c r="Q73" s="10">
        <f>+R73/0.97816</f>
        <v>0</v>
      </c>
      <c r="R73" s="10">
        <f>SUM(R68:R71)</f>
        <v>0</v>
      </c>
    </row>
    <row r="75" spans="1:21" x14ac:dyDescent="0.2">
      <c r="H75" s="1"/>
      <c r="I75">
        <v>63281</v>
      </c>
      <c r="J75" s="1" t="s">
        <v>72</v>
      </c>
      <c r="L75" s="42">
        <f>SUMIF($A$6:$A$62,63281,$L$6:$L$62)</f>
        <v>0</v>
      </c>
      <c r="O75" s="42">
        <f>SUMIF($A$6:$A$62,63281,$O$6:$O$62)</f>
        <v>0</v>
      </c>
      <c r="R75" s="42">
        <f>SUMIF($A$6:$A$62,63281,$R$6:$R$62)</f>
        <v>0</v>
      </c>
    </row>
    <row r="78" spans="1:21" x14ac:dyDescent="0.2">
      <c r="D78" t="s">
        <v>85</v>
      </c>
      <c r="F78">
        <v>67693</v>
      </c>
      <c r="G78" s="1" t="s">
        <v>84</v>
      </c>
      <c r="L78" s="10">
        <f>SUMIF($A$6:$A$64,"67693",$L$6:$L$64)</f>
        <v>0</v>
      </c>
      <c r="O78" s="10">
        <f>SUMIF($A$6:$A$64,"67693",$O$6:$O$64)</f>
        <v>0</v>
      </c>
      <c r="R78" s="10">
        <f>SUMIF($A$6:$A$64,"67693",$R$6:$R$64)</f>
        <v>0</v>
      </c>
    </row>
    <row r="79" spans="1:21" x14ac:dyDescent="0.2">
      <c r="F79">
        <v>38021</v>
      </c>
      <c r="G79" s="1" t="s">
        <v>84</v>
      </c>
      <c r="L79" s="10">
        <f>SUMIF($A$6:$A$64,"38021",$L$6:$L$64)</f>
        <v>0</v>
      </c>
      <c r="O79" s="10">
        <f>SUMIF($A$6:$A$64,"38021",$O$6:$O$64)</f>
        <v>0</v>
      </c>
      <c r="R79" s="10">
        <f>SUMIF($A$6:$A$64,"38021",$R$6:$R$64)</f>
        <v>0</v>
      </c>
    </row>
    <row r="80" spans="1:21" x14ac:dyDescent="0.2">
      <c r="F80" s="58">
        <v>40998</v>
      </c>
      <c r="G80" t="s">
        <v>84</v>
      </c>
      <c r="L80" s="10">
        <f>SUMIF($A$6:$A$59,"40998",$L$6:$L$59)</f>
        <v>0</v>
      </c>
      <c r="O80" s="10">
        <f>SUMIF($A$6:$A$59,"40998",$O$6:$O$59)</f>
        <v>0</v>
      </c>
      <c r="R80" s="10">
        <f>SUMIF($A$6:$A$59,"40998",$R$6:$R$59)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U64"/>
  <sheetViews>
    <sheetView topLeftCell="D1" workbookViewId="0">
      <selection activeCell="N62" sqref="N62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ht="15.75" x14ac:dyDescent="0.25">
      <c r="A3" s="17" t="s">
        <v>32</v>
      </c>
      <c r="B3" s="26">
        <f>SUM(B1:B2)</f>
        <v>1</v>
      </c>
      <c r="G3" s="5"/>
      <c r="H3" s="7"/>
      <c r="K3" s="21"/>
      <c r="L3" s="21"/>
      <c r="M3" s="57"/>
      <c r="N3" s="57" t="s">
        <v>82</v>
      </c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526</v>
      </c>
      <c r="L6" s="14">
        <f>ROUND(+K6*H6,0)</f>
        <v>289</v>
      </c>
      <c r="M6" s="14"/>
      <c r="N6" s="25">
        <f>ROUND(+K6,0)</f>
        <v>526</v>
      </c>
      <c r="O6" s="14">
        <f>ROUND(+L6,0)</f>
        <v>289</v>
      </c>
      <c r="P6" s="14"/>
      <c r="Q6" s="24">
        <v>0</v>
      </c>
      <c r="R6" s="14">
        <f>+O6</f>
        <v>289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237</v>
      </c>
      <c r="M7" s="16"/>
      <c r="N7" s="16"/>
      <c r="O7" s="18">
        <f>ROUND(+L7,0)</f>
        <v>237</v>
      </c>
      <c r="P7" s="14"/>
      <c r="R7" s="23">
        <f>ROUND(+Q6-N6+O7,0)</f>
        <v>-289</v>
      </c>
      <c r="S7" s="10">
        <f>+R7-O7</f>
        <v>-526</v>
      </c>
      <c r="T7" t="s">
        <v>47</v>
      </c>
    </row>
    <row r="8" spans="1:20" x14ac:dyDescent="0.2">
      <c r="J8" s="10">
        <f>SUM(J6:J7)</f>
        <v>491</v>
      </c>
      <c r="L8" s="10">
        <f>SUM(L6:L7)</f>
        <v>526</v>
      </c>
      <c r="O8" s="10">
        <f>ROUND(+L8,0)</f>
        <v>526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5728</v>
      </c>
      <c r="L10" s="14">
        <f>ROUND(+K10*H10,0)</f>
        <v>3150</v>
      </c>
      <c r="M10" s="14"/>
      <c r="N10" s="25">
        <f>ROUND(+K10,0)</f>
        <v>5728</v>
      </c>
      <c r="O10" s="14">
        <f>ROUND(+L10,0)</f>
        <v>3150</v>
      </c>
      <c r="P10" s="14"/>
      <c r="Q10" s="24">
        <v>0</v>
      </c>
      <c r="R10" s="14">
        <f>ROUND(+O10,0)</f>
        <v>3150</v>
      </c>
    </row>
    <row r="11" spans="1:20" ht="13.5" thickBot="1" x14ac:dyDescent="0.25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2578</v>
      </c>
      <c r="M11" s="16"/>
      <c r="N11" s="16"/>
      <c r="O11" s="18">
        <f>ROUND(+L11,0)</f>
        <v>2578</v>
      </c>
      <c r="P11" s="16"/>
      <c r="Q11" s="19"/>
      <c r="R11" s="23">
        <f>ROUND(+Q10-N10+O11,0)</f>
        <v>-3150</v>
      </c>
      <c r="S11" s="10">
        <f>+R11-O11</f>
        <v>-5728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5728</v>
      </c>
      <c r="M12" s="14"/>
      <c r="O12" s="10">
        <f>ROUND(+L12,0)</f>
        <v>5728</v>
      </c>
      <c r="P12" s="14"/>
      <c r="Q12" s="13"/>
      <c r="R12" s="10">
        <f>SUM(R10:R11)</f>
        <v>0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36907</v>
      </c>
      <c r="J14" s="10">
        <f>ROUND(+G14*H14,0)</f>
        <v>1420</v>
      </c>
      <c r="K14" s="22">
        <v>2441</v>
      </c>
      <c r="L14" s="14">
        <f>ROUND(+K14*H14,0)</f>
        <v>1343</v>
      </c>
      <c r="M14" s="14"/>
      <c r="N14" s="25">
        <f>ROUND(+K14,0)</f>
        <v>2441</v>
      </c>
      <c r="O14" s="14">
        <f>ROUND(+L14,0)</f>
        <v>1343</v>
      </c>
      <c r="P14" s="14"/>
      <c r="Q14" s="24">
        <v>0</v>
      </c>
      <c r="R14" s="14">
        <f>ROUND(+O14,0)</f>
        <v>1343</v>
      </c>
    </row>
    <row r="15" spans="1:20" ht="13.5" thickBot="1" x14ac:dyDescent="0.25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1098</v>
      </c>
      <c r="M15" s="16"/>
      <c r="N15" s="16"/>
      <c r="O15" s="18">
        <f>ROUND(+L15,0)</f>
        <v>1098</v>
      </c>
      <c r="P15" s="16"/>
      <c r="Q15" s="19"/>
      <c r="R15" s="23">
        <f>ROUND(+Q14-N14+O15,0)</f>
        <v>-1343</v>
      </c>
      <c r="S15" s="10">
        <f>+R15-O15</f>
        <v>-2441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2441</v>
      </c>
      <c r="O16" s="10">
        <f>ROUND(+L16,0)</f>
        <v>2441</v>
      </c>
      <c r="Q16" s="13"/>
      <c r="R16" s="10">
        <f>SUM(R14:R15)</f>
        <v>0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36907</v>
      </c>
      <c r="J18" s="10">
        <f>ROUND(+G18*H18,0)</f>
        <v>6550</v>
      </c>
      <c r="K18" s="22">
        <v>13129</v>
      </c>
      <c r="L18" s="14">
        <f>ROUND(+K18*H18,0)</f>
        <v>7221</v>
      </c>
      <c r="M18" s="14"/>
      <c r="N18" s="25">
        <f>ROUND(+K18,0)</f>
        <v>13129</v>
      </c>
      <c r="O18" s="14">
        <f>ROUND(+L18,0)</f>
        <v>7221</v>
      </c>
      <c r="P18" s="14"/>
      <c r="Q18" s="24">
        <v>0</v>
      </c>
      <c r="R18" s="14">
        <f>ROUND(+O18,0)</f>
        <v>7221</v>
      </c>
    </row>
    <row r="19" spans="1:20" ht="13.5" thickBot="1" x14ac:dyDescent="0.25">
      <c r="A19">
        <v>67693</v>
      </c>
      <c r="B19" s="1">
        <v>16</v>
      </c>
      <c r="H19" s="8">
        <f>+$B$2</f>
        <v>0.45</v>
      </c>
      <c r="I19" s="1" t="s">
        <v>51</v>
      </c>
      <c r="J19" s="16">
        <f>ROUND(+G18*H19,0)</f>
        <v>5359</v>
      </c>
      <c r="K19" s="19"/>
      <c r="L19" s="16">
        <f>ROUND(+K18*H19,0)</f>
        <v>5908</v>
      </c>
      <c r="M19" s="16"/>
      <c r="N19" s="16"/>
      <c r="O19" s="18">
        <f>ROUND(+L19,0)</f>
        <v>5908</v>
      </c>
      <c r="P19" s="16"/>
      <c r="Q19" s="19"/>
      <c r="R19" s="23">
        <f>ROUND(+Q18-N18+O19,0)</f>
        <v>-7221</v>
      </c>
      <c r="S19" s="10">
        <f>+R19-O19</f>
        <v>-13129</v>
      </c>
      <c r="T19" t="s">
        <v>47</v>
      </c>
    </row>
    <row r="20" spans="1:20" x14ac:dyDescent="0.2">
      <c r="J20" s="14">
        <f>SUM(J18:J19)</f>
        <v>11909</v>
      </c>
      <c r="K20" s="13"/>
      <c r="L20" s="10">
        <f>SUM(L18:L19)</f>
        <v>13129</v>
      </c>
      <c r="M20" s="14"/>
      <c r="O20" s="10">
        <f>ROUND(+L20,0)</f>
        <v>13129</v>
      </c>
      <c r="P20" s="14"/>
      <c r="Q20" s="13"/>
      <c r="R20" s="10">
        <f>SUM(R18:R19)</f>
        <v>0</v>
      </c>
      <c r="S20" s="10">
        <f>+R20-Q18</f>
        <v>0</v>
      </c>
      <c r="T20" t="s">
        <v>46</v>
      </c>
    </row>
    <row r="22" spans="1:20" x14ac:dyDescent="0.2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0.55000000000000004</v>
      </c>
      <c r="I22" s="1">
        <v>36907</v>
      </c>
      <c r="J22" s="10">
        <f>ROUND(+G22*H22,0)</f>
        <v>984</v>
      </c>
      <c r="K22" s="22">
        <v>1981</v>
      </c>
      <c r="L22" s="14">
        <f>ROUND(+K22*H22,0)</f>
        <v>1090</v>
      </c>
      <c r="M22" s="14"/>
      <c r="N22" s="25">
        <f>ROUND(+K22,0)</f>
        <v>1981</v>
      </c>
      <c r="O22" s="14">
        <f>ROUND(+L22,0)</f>
        <v>1090</v>
      </c>
      <c r="P22" s="14"/>
      <c r="Q22" s="24">
        <v>0</v>
      </c>
      <c r="R22" s="14">
        <f>ROUND(+O22,0)</f>
        <v>1090</v>
      </c>
    </row>
    <row r="23" spans="1:20" ht="13.5" thickBot="1" x14ac:dyDescent="0.25">
      <c r="A23">
        <v>67693</v>
      </c>
      <c r="B23" s="1">
        <v>17</v>
      </c>
      <c r="H23" s="8">
        <f>+$B$2</f>
        <v>0.45</v>
      </c>
      <c r="I23" s="1" t="s">
        <v>51</v>
      </c>
      <c r="J23" s="16">
        <f>ROUND(+G22*H23,0)</f>
        <v>805</v>
      </c>
      <c r="K23" s="19"/>
      <c r="L23" s="18">
        <f>ROUND(+K22*H23,0)</f>
        <v>891</v>
      </c>
      <c r="M23" s="18"/>
      <c r="N23" s="16"/>
      <c r="O23" s="18">
        <f>ROUND(+L23,0)</f>
        <v>891</v>
      </c>
      <c r="P23" s="18"/>
      <c r="Q23" s="19"/>
      <c r="R23" s="23">
        <f>ROUND(+Q22-N22+O23,0)</f>
        <v>-1090</v>
      </c>
      <c r="S23" s="10">
        <f>+R23-O23</f>
        <v>-1981</v>
      </c>
      <c r="T23" t="s">
        <v>47</v>
      </c>
    </row>
    <row r="24" spans="1:20" x14ac:dyDescent="0.2">
      <c r="J24" s="10">
        <f>SUM(J22:J23)</f>
        <v>1789</v>
      </c>
      <c r="K24" s="13"/>
      <c r="L24" s="10">
        <f>SUM(L22:L23)</f>
        <v>1981</v>
      </c>
      <c r="O24" s="10">
        <f>ROUND(+L24,0)</f>
        <v>1981</v>
      </c>
      <c r="Q24" s="13"/>
      <c r="R24" s="10">
        <f>SUM(R22:R23)</f>
        <v>0</v>
      </c>
      <c r="S24" s="10">
        <f>+R24-Q22</f>
        <v>0</v>
      </c>
      <c r="T24" t="s">
        <v>46</v>
      </c>
    </row>
    <row r="26" spans="1:20" x14ac:dyDescent="0.2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0.55000000000000004</v>
      </c>
      <c r="I26" s="1">
        <v>36907</v>
      </c>
      <c r="J26" s="10">
        <f>ROUND(+G26*H26,0)</f>
        <v>784</v>
      </c>
      <c r="K26" s="22">
        <v>1490</v>
      </c>
      <c r="L26" s="14">
        <v>819</v>
      </c>
      <c r="M26" s="14"/>
      <c r="N26" s="25">
        <f>ROUND(+K26,0)</f>
        <v>1490</v>
      </c>
      <c r="O26" s="14">
        <f>ROUND(+L26,0)</f>
        <v>819</v>
      </c>
      <c r="P26" s="14"/>
      <c r="Q26" s="24">
        <v>0</v>
      </c>
      <c r="R26" s="14">
        <f>ROUND(+O26,0)</f>
        <v>819</v>
      </c>
    </row>
    <row r="27" spans="1:20" ht="13.5" thickBot="1" x14ac:dyDescent="0.25">
      <c r="A27">
        <v>67693</v>
      </c>
      <c r="B27" s="1">
        <v>18</v>
      </c>
      <c r="H27" s="8">
        <f>+$B$2</f>
        <v>0.45</v>
      </c>
      <c r="I27" s="1" t="s">
        <v>51</v>
      </c>
      <c r="J27" s="16">
        <f>ROUND(+G26*H27,0)</f>
        <v>641</v>
      </c>
      <c r="K27" s="19"/>
      <c r="L27" s="16">
        <f>ROUND(+K26*H27,0)</f>
        <v>671</v>
      </c>
      <c r="M27" s="16"/>
      <c r="N27" s="16"/>
      <c r="O27" s="18">
        <f>ROUND(+L27,0)</f>
        <v>671</v>
      </c>
      <c r="P27" s="16"/>
      <c r="Q27" s="19"/>
      <c r="R27" s="23">
        <f>ROUND(+Q26-N26+O27,0)</f>
        <v>-819</v>
      </c>
      <c r="S27" s="10">
        <f>+R27-O27</f>
        <v>-1490</v>
      </c>
      <c r="T27" t="s">
        <v>47</v>
      </c>
    </row>
    <row r="28" spans="1:20" x14ac:dyDescent="0.2">
      <c r="J28" s="10">
        <f>SUM(J26:J27)</f>
        <v>1425</v>
      </c>
      <c r="K28" s="13"/>
      <c r="L28" s="10">
        <f>SUM(L26:L27)</f>
        <v>1490</v>
      </c>
      <c r="O28" s="10">
        <f>ROUND(+L28,0)</f>
        <v>1490</v>
      </c>
      <c r="Q28" s="13"/>
      <c r="R28" s="10">
        <f>SUM(R26:R27)</f>
        <v>0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0.55000000000000004</v>
      </c>
      <c r="I30" s="1">
        <v>36907</v>
      </c>
      <c r="J30" s="10">
        <f>ROUND(+G30*H30,0)</f>
        <v>6247</v>
      </c>
      <c r="K30" s="22">
        <v>9872</v>
      </c>
      <c r="L30" s="14">
        <f>ROUND(+K30*H30,0)</f>
        <v>5430</v>
      </c>
      <c r="M30" s="14"/>
      <c r="N30" s="25">
        <f>ROUND(+K30,0)</f>
        <v>9872</v>
      </c>
      <c r="O30" s="14">
        <f>ROUND(+L30,0)</f>
        <v>5430</v>
      </c>
      <c r="P30" s="14"/>
      <c r="Q30" s="24">
        <v>0</v>
      </c>
      <c r="R30" s="14">
        <f>ROUND(+O30,0)</f>
        <v>5430</v>
      </c>
    </row>
    <row r="31" spans="1:20" ht="13.5" thickBot="1" x14ac:dyDescent="0.25">
      <c r="A31">
        <v>67693</v>
      </c>
      <c r="B31" s="1">
        <v>19</v>
      </c>
      <c r="H31" s="8">
        <f>+$B$2</f>
        <v>0.45</v>
      </c>
      <c r="I31" s="1" t="s">
        <v>51</v>
      </c>
      <c r="J31" s="16">
        <f>ROUND(+G30*H31,0)</f>
        <v>5112</v>
      </c>
      <c r="K31" s="19"/>
      <c r="L31" s="16">
        <f>ROUND(+K30*H31,0)</f>
        <v>4442</v>
      </c>
      <c r="M31" s="16"/>
      <c r="N31" s="16"/>
      <c r="O31" s="18">
        <f>ROUND(+L31,0)</f>
        <v>4442</v>
      </c>
      <c r="P31" s="16"/>
      <c r="Q31" s="19"/>
      <c r="R31" s="23">
        <f>ROUND(+Q30-N30+O31,0)</f>
        <v>-5430</v>
      </c>
      <c r="S31" s="10">
        <f>+R31-O31</f>
        <v>-9872</v>
      </c>
      <c r="T31" t="s">
        <v>47</v>
      </c>
    </row>
    <row r="32" spans="1:20" x14ac:dyDescent="0.2">
      <c r="J32" s="10">
        <f>SUM(J30:J31)</f>
        <v>11359</v>
      </c>
      <c r="K32" s="13"/>
      <c r="L32" s="10">
        <f>SUM(L30:L31)</f>
        <v>9872</v>
      </c>
      <c r="O32" s="10">
        <f>ROUND(+L32,0)</f>
        <v>9872</v>
      </c>
      <c r="Q32" s="13"/>
      <c r="R32" s="10">
        <f>SUM(R30:R31)</f>
        <v>0</v>
      </c>
      <c r="S32" s="10">
        <f>+R32-Q30</f>
        <v>0</v>
      </c>
      <c r="T32" t="s">
        <v>46</v>
      </c>
    </row>
    <row r="34" spans="1:20" ht="12" customHeight="1" x14ac:dyDescent="0.2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0.55000000000000004</v>
      </c>
      <c r="I34" s="1">
        <v>36907</v>
      </c>
      <c r="J34" s="10">
        <f>ROUND(+G34*H34,0)</f>
        <v>1040</v>
      </c>
      <c r="K34" s="22">
        <v>1874</v>
      </c>
      <c r="L34" s="14">
        <f>ROUND(+K34*H34,0)</f>
        <v>1031</v>
      </c>
      <c r="M34" s="14"/>
      <c r="N34" s="25">
        <f>ROUND(+K34,0)</f>
        <v>1874</v>
      </c>
      <c r="O34" s="14">
        <f>ROUND(+L34,0)</f>
        <v>1031</v>
      </c>
      <c r="P34" s="14"/>
      <c r="Q34" s="24">
        <v>0</v>
      </c>
      <c r="R34" s="14">
        <f>ROUND(+O34,0)</f>
        <v>1031</v>
      </c>
    </row>
    <row r="35" spans="1:20" ht="12" customHeight="1" thickBot="1" x14ac:dyDescent="0.25">
      <c r="A35">
        <v>67693</v>
      </c>
      <c r="B35" s="1">
        <v>20</v>
      </c>
      <c r="H35" s="8">
        <f>+$B$2</f>
        <v>0.45</v>
      </c>
      <c r="I35" s="1" t="s">
        <v>51</v>
      </c>
      <c r="J35" s="16">
        <f>ROUND(+G34*H35,0)</f>
        <v>851</v>
      </c>
      <c r="K35" s="19"/>
      <c r="L35" s="16">
        <f>ROUND(+K34*H35,0)</f>
        <v>843</v>
      </c>
      <c r="M35" s="16"/>
      <c r="N35" s="16"/>
      <c r="O35" s="18">
        <f>ROUND(+L35,0)</f>
        <v>843</v>
      </c>
      <c r="P35" s="16"/>
      <c r="Q35" s="19"/>
      <c r="R35" s="23">
        <f>ROUND(+Q34-N34+O35,0)</f>
        <v>-1031</v>
      </c>
      <c r="S35" s="10">
        <f>+R35-O35</f>
        <v>-1874</v>
      </c>
      <c r="T35" t="s">
        <v>47</v>
      </c>
    </row>
    <row r="36" spans="1:20" ht="12" customHeight="1" x14ac:dyDescent="0.2">
      <c r="J36" s="10">
        <f>SUM(J34:J35)</f>
        <v>1891</v>
      </c>
      <c r="K36" s="13"/>
      <c r="L36" s="10">
        <f>SUM(L34:L35)</f>
        <v>1874</v>
      </c>
      <c r="O36" s="10">
        <f>ROUND(+L36,0)</f>
        <v>1874</v>
      </c>
      <c r="Q36" s="13"/>
      <c r="R36" s="10">
        <f>SUM(R34:R35)</f>
        <v>0</v>
      </c>
      <c r="S36" s="10">
        <f>+R36-Q34</f>
        <v>0</v>
      </c>
      <c r="T36" t="s">
        <v>46</v>
      </c>
    </row>
    <row r="37" spans="1:20" ht="12" customHeight="1" x14ac:dyDescent="0.2"/>
    <row r="38" spans="1:20" x14ac:dyDescent="0.2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0.55000000000000004</v>
      </c>
      <c r="I38" s="1">
        <v>36907</v>
      </c>
      <c r="J38" s="10">
        <f>ROUND(+G38*H38,0)</f>
        <v>1100</v>
      </c>
      <c r="K38" s="22">
        <v>1710</v>
      </c>
      <c r="L38" s="14">
        <v>940</v>
      </c>
      <c r="M38" s="14"/>
      <c r="N38" s="25">
        <f>ROUND(+K38,0)</f>
        <v>1710</v>
      </c>
      <c r="O38" s="14">
        <f>ROUND(+L38,0)</f>
        <v>940</v>
      </c>
      <c r="P38" s="14"/>
      <c r="Q38" s="24">
        <v>0</v>
      </c>
      <c r="R38" s="14">
        <f>ROUND(+O38,0)</f>
        <v>940</v>
      </c>
    </row>
    <row r="39" spans="1:20" ht="13.5" thickBot="1" x14ac:dyDescent="0.25">
      <c r="A39">
        <v>67693</v>
      </c>
      <c r="B39" s="1">
        <v>21</v>
      </c>
      <c r="H39" s="8">
        <f>+$B$2</f>
        <v>0.45</v>
      </c>
      <c r="I39" s="1" t="s">
        <v>51</v>
      </c>
      <c r="J39" s="16">
        <f>ROUND(+G38*H39,0)</f>
        <v>900</v>
      </c>
      <c r="K39" s="19"/>
      <c r="L39" s="16">
        <f>ROUND(+K38*H39,0)</f>
        <v>770</v>
      </c>
      <c r="M39" s="16"/>
      <c r="N39" s="16"/>
      <c r="O39" s="18">
        <f>ROUND(+L39,0)</f>
        <v>770</v>
      </c>
      <c r="P39" s="16"/>
      <c r="Q39" s="19"/>
      <c r="R39" s="23">
        <f>ROUND(+Q38-N38+O39,0)</f>
        <v>-940</v>
      </c>
      <c r="S39" s="10">
        <f>+R39-O39</f>
        <v>-1710</v>
      </c>
      <c r="T39" t="s">
        <v>47</v>
      </c>
    </row>
    <row r="40" spans="1:20" x14ac:dyDescent="0.2">
      <c r="J40" s="10">
        <f>SUM(J38:J39)</f>
        <v>2000</v>
      </c>
      <c r="L40" s="10">
        <f>SUM(L38:L39)</f>
        <v>1710</v>
      </c>
      <c r="O40" s="10">
        <f>ROUND(+L40,0)</f>
        <v>1710</v>
      </c>
      <c r="R40" s="10">
        <f>SUM(R38:R39)</f>
        <v>0</v>
      </c>
      <c r="S40" s="10">
        <f>+R40-Q38</f>
        <v>0</v>
      </c>
      <c r="T40" t="s">
        <v>46</v>
      </c>
    </row>
    <row r="42" spans="1:20" x14ac:dyDescent="0.2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0.55000000000000004</v>
      </c>
      <c r="I42" s="1">
        <v>36907</v>
      </c>
      <c r="J42" s="54">
        <v>1358</v>
      </c>
      <c r="K42" s="22">
        <v>2133</v>
      </c>
      <c r="L42" s="14">
        <f>ROUND(+K42*H42,0)</f>
        <v>1173</v>
      </c>
      <c r="M42" s="14"/>
      <c r="N42" s="25">
        <f>ROUND(+K42,0)</f>
        <v>2133</v>
      </c>
      <c r="O42" s="14">
        <f>ROUND(+L42,0)</f>
        <v>1173</v>
      </c>
      <c r="P42" s="14"/>
      <c r="Q42" s="24">
        <v>0</v>
      </c>
      <c r="R42" s="14">
        <f>ROUND(+O42,0)</f>
        <v>1173</v>
      </c>
    </row>
    <row r="43" spans="1:20" ht="13.5" thickBot="1" x14ac:dyDescent="0.25">
      <c r="A43">
        <v>67693</v>
      </c>
      <c r="B43" s="1">
        <v>22</v>
      </c>
      <c r="H43" s="8">
        <f>+$B$2</f>
        <v>0.45</v>
      </c>
      <c r="I43" s="1" t="s">
        <v>51</v>
      </c>
      <c r="J43" s="16">
        <f>ROUND(+G42*H43,0)</f>
        <v>1112</v>
      </c>
      <c r="K43" s="19"/>
      <c r="L43" s="16">
        <f>ROUND(+K42*H43,0)</f>
        <v>960</v>
      </c>
      <c r="M43" s="16"/>
      <c r="N43" s="16"/>
      <c r="O43" s="18">
        <f>ROUND(+L43,0)</f>
        <v>960</v>
      </c>
      <c r="P43" s="16"/>
      <c r="Q43" s="19"/>
      <c r="R43" s="23">
        <f>ROUND(+Q42-N42+O43,0)</f>
        <v>-1173</v>
      </c>
      <c r="S43" s="10">
        <f>+R43-O43</f>
        <v>-2133</v>
      </c>
      <c r="T43" t="s">
        <v>47</v>
      </c>
    </row>
    <row r="44" spans="1:20" x14ac:dyDescent="0.2">
      <c r="J44" s="10">
        <f>SUM(J42:J43)</f>
        <v>2470</v>
      </c>
      <c r="K44" s="13"/>
      <c r="L44" s="10">
        <f>SUM(L42:L43)</f>
        <v>2133</v>
      </c>
      <c r="O44" s="10">
        <f>ROUND(+L44,0)</f>
        <v>2133</v>
      </c>
      <c r="Q44" s="13"/>
      <c r="R44" s="10">
        <f>SUM(R42:R43)</f>
        <v>0</v>
      </c>
      <c r="S44" s="10">
        <f>+R44-Q42</f>
        <v>0</v>
      </c>
      <c r="T44" t="s">
        <v>46</v>
      </c>
    </row>
    <row r="46" spans="1:20" s="32" customFormat="1" x14ac:dyDescent="0.2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0.55000000000000004</v>
      </c>
      <c r="I46" s="33">
        <v>36907</v>
      </c>
      <c r="J46" s="10">
        <f>ROUND(+G46*H46,0)</f>
        <v>702</v>
      </c>
      <c r="K46" s="22">
        <v>987</v>
      </c>
      <c r="L46" s="36">
        <f>ROUND(+K46*H46,0)</f>
        <v>543</v>
      </c>
      <c r="M46" s="36"/>
      <c r="N46" s="25">
        <f>ROUND(+K46,0)</f>
        <v>987</v>
      </c>
      <c r="O46" s="36">
        <f>ROUND(+L46,0)</f>
        <v>543</v>
      </c>
      <c r="P46" s="36"/>
      <c r="Q46" s="24">
        <v>0</v>
      </c>
      <c r="R46" s="36">
        <f>ROUND(+O46,0)</f>
        <v>543</v>
      </c>
    </row>
    <row r="47" spans="1:20" s="32" customFormat="1" ht="13.5" thickBot="1" x14ac:dyDescent="0.25">
      <c r="A47">
        <v>67693</v>
      </c>
      <c r="B47" s="33">
        <v>23</v>
      </c>
      <c r="E47" s="33"/>
      <c r="F47" s="52"/>
      <c r="H47" s="8">
        <f>+$B$2</f>
        <v>0.45</v>
      </c>
      <c r="I47" s="33" t="s">
        <v>52</v>
      </c>
      <c r="J47" s="37">
        <f>ROUND(+G46*H47,0)</f>
        <v>574</v>
      </c>
      <c r="K47" s="38"/>
      <c r="L47" s="37">
        <f>ROUND(+K46*H47,0)</f>
        <v>444</v>
      </c>
      <c r="M47" s="37"/>
      <c r="N47" s="37"/>
      <c r="O47" s="39">
        <f>ROUND(+L47,0)</f>
        <v>444</v>
      </c>
      <c r="P47" s="37"/>
      <c r="Q47" s="38"/>
      <c r="R47" s="23">
        <f>ROUND(+Q46-N46+O47,0)</f>
        <v>-543</v>
      </c>
      <c r="S47" s="35">
        <f>+R47-O47</f>
        <v>-987</v>
      </c>
      <c r="T47" s="32" t="s">
        <v>47</v>
      </c>
    </row>
    <row r="48" spans="1:20" s="32" customFormat="1" x14ac:dyDescent="0.2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987</v>
      </c>
      <c r="M48" s="40"/>
      <c r="N48" s="35"/>
      <c r="O48" s="35">
        <f>ROUND(+L48,0)</f>
        <v>987</v>
      </c>
      <c r="P48" s="40"/>
      <c r="Q48" s="41"/>
      <c r="R48" s="35">
        <f>SUM(R46:R47)</f>
        <v>0</v>
      </c>
      <c r="S48" s="35">
        <f>+R48-Q46</f>
        <v>0</v>
      </c>
      <c r="T48" s="32" t="s">
        <v>46</v>
      </c>
    </row>
    <row r="50" spans="1:21" s="32" customFormat="1" x14ac:dyDescent="0.2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0.55000000000000004</v>
      </c>
      <c r="I50" s="33">
        <v>36907</v>
      </c>
      <c r="J50" s="35">
        <f>ROUND(+G50*H50,0)</f>
        <v>14</v>
      </c>
      <c r="K50" s="22">
        <v>26</v>
      </c>
      <c r="L50" s="36">
        <f>ROUND(+K50*H50,0)</f>
        <v>14</v>
      </c>
      <c r="M50" s="36"/>
      <c r="N50" s="25">
        <f>ROUND(+K50,0)</f>
        <v>26</v>
      </c>
      <c r="O50" s="36">
        <f>ROUND(+L50,0)</f>
        <v>14</v>
      </c>
      <c r="P50" s="36"/>
      <c r="Q50" s="24">
        <v>0</v>
      </c>
      <c r="R50" s="36">
        <f>ROUND(+O50,0)</f>
        <v>14</v>
      </c>
    </row>
    <row r="51" spans="1:21" s="32" customFormat="1" ht="13.5" thickBot="1" x14ac:dyDescent="0.25">
      <c r="A51">
        <v>67693</v>
      </c>
      <c r="B51" s="33">
        <v>24</v>
      </c>
      <c r="E51" s="33"/>
      <c r="F51" s="52"/>
      <c r="H51" s="8">
        <f>+$B$2</f>
        <v>0.45</v>
      </c>
      <c r="I51" s="33" t="s">
        <v>52</v>
      </c>
      <c r="J51" s="37">
        <f>ROUND(+G50*H51,0)</f>
        <v>11</v>
      </c>
      <c r="K51" s="37"/>
      <c r="L51" s="37">
        <f>ROUND(+K50*H51,0)</f>
        <v>12</v>
      </c>
      <c r="M51" s="37"/>
      <c r="N51" s="37"/>
      <c r="O51" s="39">
        <f>ROUND(+L51,0)</f>
        <v>12</v>
      </c>
      <c r="P51" s="37"/>
      <c r="Q51" s="37"/>
      <c r="R51" s="23">
        <f>ROUND(+Q50-N50+O51,0)</f>
        <v>-14</v>
      </c>
      <c r="S51" s="35">
        <f>+R51-O51</f>
        <v>-26</v>
      </c>
      <c r="T51" s="32" t="s">
        <v>47</v>
      </c>
    </row>
    <row r="52" spans="1:21" s="32" customFormat="1" x14ac:dyDescent="0.2">
      <c r="B52" s="33"/>
      <c r="E52" s="33"/>
      <c r="F52" s="52"/>
      <c r="H52" s="34" t="s">
        <v>79</v>
      </c>
      <c r="I52" s="33"/>
      <c r="J52" s="35">
        <f>SUM(J50:J51)</f>
        <v>25</v>
      </c>
      <c r="K52" s="35"/>
      <c r="L52" s="35">
        <f>SUM(L50:L51)</f>
        <v>26</v>
      </c>
      <c r="M52" s="35"/>
      <c r="N52" s="35"/>
      <c r="O52" s="35">
        <f>ROUND(+L52,0)</f>
        <v>26</v>
      </c>
      <c r="P52" s="35"/>
      <c r="Q52" s="35"/>
      <c r="R52" s="35">
        <f>SUM(R50:R51)</f>
        <v>0</v>
      </c>
      <c r="S52" s="35">
        <f>+R52-Q50</f>
        <v>0</v>
      </c>
      <c r="T52" s="32" t="s">
        <v>46</v>
      </c>
    </row>
    <row r="53" spans="1:21" ht="13.5" thickBot="1" x14ac:dyDescent="0.25"/>
    <row r="54" spans="1:21" ht="13.5" thickBot="1" x14ac:dyDescent="0.25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43625</v>
      </c>
      <c r="K54" s="10">
        <f>SUM(K6:K52)</f>
        <v>41897</v>
      </c>
      <c r="L54" s="28">
        <f>SUM(L8+L12+L16+L20+L24+L28+L32+L36+L40+L44+L48+L52)</f>
        <v>41897</v>
      </c>
      <c r="N54" s="10">
        <f>SUM(N6:N52)</f>
        <v>41897</v>
      </c>
      <c r="O54" s="28">
        <f>SUM(O8+O12+O16+O20+O24+O28+O32+O36+O40+O44+O48+O52)</f>
        <v>41897</v>
      </c>
      <c r="Q54" s="10">
        <f>SUM(Q6:Q52)</f>
        <v>0</v>
      </c>
      <c r="R54" s="28">
        <f>SUM(R8+R12+R16+R20+R24+R28+R32+R36+R40+R44+R48+R52)</f>
        <v>0</v>
      </c>
      <c r="S54" s="29">
        <f>S8+S12+S16+S20+S24+S28+S32+S36+S40+S44+S48+S52</f>
        <v>0</v>
      </c>
      <c r="T54" s="30" t="s">
        <v>55</v>
      </c>
      <c r="U54" s="31"/>
    </row>
    <row r="57" spans="1:21" x14ac:dyDescent="0.2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221</v>
      </c>
      <c r="L57" s="10">
        <f>SUMIF($I$6:$I$51,"22STOW",$L$6:$L$51)</f>
        <v>237</v>
      </c>
      <c r="O57" s="10">
        <f>SUMIF($I$6:$I$51,"22STOW",$O$6:$O$51)</f>
        <v>237</v>
      </c>
      <c r="R57" s="10">
        <f>SUMIF($I$6:$I$51,"22STOW",$R$6:$R$51)</f>
        <v>-289</v>
      </c>
    </row>
    <row r="58" spans="1:21" x14ac:dyDescent="0.2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4046</v>
      </c>
      <c r="L58" s="10">
        <f>SUMIF($I$6:$I$51,"23nSTOW",$L$6:$L$51)</f>
        <v>3676</v>
      </c>
      <c r="O58" s="10">
        <f>SUMIF($I$6:$I$51,"23nSTOW",$O$6:$O$51)</f>
        <v>3676</v>
      </c>
      <c r="R58" s="10">
        <f>SUMIF($I$6:$I$51,"23nSTOW",$R$6:$R$51)</f>
        <v>-4493</v>
      </c>
    </row>
    <row r="59" spans="1:21" x14ac:dyDescent="0.2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14780</v>
      </c>
      <c r="L59" s="10">
        <f>SUMIF($I$6:$I$51,"23STOW",$L$6:$L$51)</f>
        <v>14485</v>
      </c>
      <c r="O59" s="10">
        <f>SUMIF($I$6:$I$51,"23STOW",$O$6:$O$51)</f>
        <v>14485</v>
      </c>
      <c r="R59" s="10">
        <f>SUMIF($I$6:$I$51,"23STOW",$R$6:$R$51)</f>
        <v>-17704</v>
      </c>
    </row>
    <row r="60" spans="1:21" x14ac:dyDescent="0.2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585</v>
      </c>
      <c r="L60" s="10">
        <f>SUMIF($I$6:$I$51,"24STOW",$L$6:$L$51)</f>
        <v>456</v>
      </c>
      <c r="O60" s="10">
        <f>SUMIF($I$6:$I$51,"24STOW",$O$6:$O$51)</f>
        <v>456</v>
      </c>
      <c r="R60" s="10">
        <f>SUMIF($I$6:$I$51,"24STOW",$R$6:$R$51)</f>
        <v>-557</v>
      </c>
    </row>
    <row r="62" spans="1:21" x14ac:dyDescent="0.2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20070.33614132657</v>
      </c>
      <c r="I62" t="s">
        <v>33</v>
      </c>
      <c r="J62" s="10">
        <f>SUM(J57:J60)</f>
        <v>19632</v>
      </c>
      <c r="K62" s="10">
        <f>+L62/0.97816</f>
        <v>19274.965240860391</v>
      </c>
      <c r="L62" s="10">
        <f>SUM(L57:L60)</f>
        <v>18854</v>
      </c>
      <c r="N62" s="10">
        <f>+O62/0.97816</f>
        <v>19274.965240860391</v>
      </c>
      <c r="O62" s="10">
        <f>SUM(O57:O60)</f>
        <v>18854</v>
      </c>
      <c r="Q62" s="10">
        <f>+R62/0.97816</f>
        <v>-23557.49570622393</v>
      </c>
      <c r="R62" s="10">
        <f>SUM(R57:R60)</f>
        <v>-23043</v>
      </c>
    </row>
    <row r="64" spans="1:21" x14ac:dyDescent="0.2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U82"/>
  <sheetViews>
    <sheetView topLeftCell="B4" workbookViewId="0">
      <selection activeCell="D1" sqref="D1:F2"/>
    </sheetView>
  </sheetViews>
  <sheetFormatPr defaultRowHeight="12.75" x14ac:dyDescent="0.2"/>
  <cols>
    <col min="2" max="2" width="9.140625" style="1"/>
    <col min="3" max="3" width="9.140625" style="42"/>
    <col min="4" max="4" width="10.5703125" bestFit="1" customWidth="1"/>
    <col min="5" max="5" width="9.140625" style="1"/>
    <col min="6" max="6" width="9.140625" style="48"/>
    <col min="8" max="8" width="9.140625" style="8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1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43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63281</v>
      </c>
      <c r="B6" s="1">
        <v>258</v>
      </c>
      <c r="C6" s="42" t="s">
        <v>0</v>
      </c>
      <c r="D6" t="s">
        <v>34</v>
      </c>
      <c r="E6" s="1">
        <v>22</v>
      </c>
      <c r="F6" s="48">
        <v>2121</v>
      </c>
      <c r="G6">
        <v>1271</v>
      </c>
      <c r="H6" s="8">
        <f>+$B$1</f>
        <v>0</v>
      </c>
      <c r="I6" s="1">
        <v>36907</v>
      </c>
      <c r="J6" s="10">
        <f>ROUND(+G6*H6,0)</f>
        <v>0</v>
      </c>
      <c r="K6" s="22"/>
      <c r="L6" s="14">
        <f>ROUND(+K6*H6,0)</f>
        <v>0</v>
      </c>
      <c r="M6" s="14"/>
      <c r="N6" s="25">
        <f>ROUND(+K6,0)</f>
        <v>0</v>
      </c>
      <c r="O6" s="14">
        <f>ROUND(+L6,0)</f>
        <v>0</v>
      </c>
      <c r="P6" s="14"/>
      <c r="Q6" s="24">
        <v>0</v>
      </c>
      <c r="R6" s="14">
        <f>+O6</f>
        <v>0</v>
      </c>
    </row>
    <row r="7" spans="1:20" x14ac:dyDescent="0.2">
      <c r="A7">
        <v>64231</v>
      </c>
      <c r="C7" s="44" t="s">
        <v>59</v>
      </c>
      <c r="K7" s="22"/>
      <c r="L7" s="14">
        <v>0</v>
      </c>
      <c r="M7" s="14"/>
      <c r="N7" s="25"/>
      <c r="O7" s="14">
        <f>+L7</f>
        <v>0</v>
      </c>
      <c r="P7" s="14"/>
      <c r="Q7" s="24"/>
      <c r="R7" s="14">
        <f>+L7</f>
        <v>0</v>
      </c>
    </row>
    <row r="8" spans="1:20" ht="13.5" thickBot="1" x14ac:dyDescent="0.25">
      <c r="A8">
        <v>63281</v>
      </c>
      <c r="B8" s="1">
        <v>287</v>
      </c>
      <c r="H8" s="8">
        <f>+$B$2</f>
        <v>1</v>
      </c>
      <c r="I8" s="1" t="s">
        <v>49</v>
      </c>
      <c r="J8" s="16">
        <f>ROUND(+G6*H8,0)</f>
        <v>1271</v>
      </c>
      <c r="K8" s="16"/>
      <c r="L8" s="16">
        <f>ROUND(+K6*H8,0)-L7</f>
        <v>0</v>
      </c>
      <c r="M8" s="16"/>
      <c r="N8" s="16"/>
      <c r="O8" s="18">
        <f>ROUND(+L8,0)</f>
        <v>0</v>
      </c>
      <c r="P8" s="14"/>
      <c r="R8" s="23">
        <f>ROUND(+Q6-N6+O8,0)</f>
        <v>0</v>
      </c>
      <c r="S8" s="10">
        <f>+R8-O8</f>
        <v>0</v>
      </c>
      <c r="T8" t="s">
        <v>47</v>
      </c>
    </row>
    <row r="9" spans="1:20" x14ac:dyDescent="0.2">
      <c r="J9" s="10">
        <f>SUM(J6:J8)</f>
        <v>1271</v>
      </c>
      <c r="L9" s="10">
        <f>SUM(L6:L8)</f>
        <v>0</v>
      </c>
      <c r="O9" s="10">
        <f>ROUND(+L9,0)</f>
        <v>0</v>
      </c>
      <c r="R9" s="10">
        <f>SUM(R6:R8)</f>
        <v>0</v>
      </c>
      <c r="S9" s="10">
        <f>+R9-Q6</f>
        <v>0</v>
      </c>
      <c r="T9" t="s">
        <v>46</v>
      </c>
    </row>
    <row r="11" spans="1:20" x14ac:dyDescent="0.2">
      <c r="A11">
        <v>63281</v>
      </c>
      <c r="B11" s="1">
        <v>270</v>
      </c>
      <c r="C11" s="42" t="s">
        <v>7</v>
      </c>
      <c r="D11" t="s">
        <v>35</v>
      </c>
      <c r="E11" s="1" t="s">
        <v>20</v>
      </c>
      <c r="F11" s="48">
        <v>17484</v>
      </c>
      <c r="G11">
        <v>12330</v>
      </c>
      <c r="H11" s="8">
        <f>+$B$1</f>
        <v>0</v>
      </c>
      <c r="I11" s="1">
        <v>36907</v>
      </c>
      <c r="J11" s="10">
        <f>ROUND(+G11*H11,0)</f>
        <v>0</v>
      </c>
      <c r="K11" s="22"/>
      <c r="L11" s="14">
        <f>ROUND(+K11*H11,0)</f>
        <v>0</v>
      </c>
      <c r="M11" s="14"/>
      <c r="N11" s="25">
        <f>ROUND(+K11,0)</f>
        <v>0</v>
      </c>
      <c r="O11" s="14">
        <f>ROUND(+L11,0)</f>
        <v>0</v>
      </c>
      <c r="P11" s="14"/>
      <c r="Q11" s="24">
        <v>0</v>
      </c>
      <c r="R11" s="14">
        <f>ROUND(+O11,0)</f>
        <v>0</v>
      </c>
    </row>
    <row r="12" spans="1:20" x14ac:dyDescent="0.2">
      <c r="A12">
        <v>38295</v>
      </c>
      <c r="B12" s="1">
        <v>974</v>
      </c>
      <c r="C12" s="44" t="s">
        <v>61</v>
      </c>
      <c r="G12" s="50" t="s">
        <v>75</v>
      </c>
      <c r="H12" s="13">
        <f>+L13+L14</f>
        <v>0</v>
      </c>
      <c r="K12" s="22"/>
      <c r="L12" s="14">
        <v>0</v>
      </c>
      <c r="M12" s="14"/>
      <c r="N12" s="25"/>
      <c r="O12" s="14">
        <f>+L12</f>
        <v>0</v>
      </c>
      <c r="P12" s="14"/>
      <c r="Q12" s="24"/>
      <c r="R12" s="14">
        <f>+L12</f>
        <v>0</v>
      </c>
    </row>
    <row r="13" spans="1:20" x14ac:dyDescent="0.2">
      <c r="A13">
        <v>63281</v>
      </c>
      <c r="B13" s="1">
        <v>237</v>
      </c>
      <c r="C13" s="44" t="s">
        <v>61</v>
      </c>
      <c r="G13" s="48"/>
      <c r="K13" s="22"/>
      <c r="L13" s="14">
        <v>0</v>
      </c>
      <c r="M13" s="14"/>
      <c r="N13" s="25"/>
      <c r="O13" s="14">
        <f>+L13</f>
        <v>0</v>
      </c>
      <c r="P13" s="14"/>
      <c r="Q13" s="24"/>
      <c r="R13" s="14">
        <f>+L13</f>
        <v>0</v>
      </c>
    </row>
    <row r="14" spans="1:20" ht="13.5" thickBot="1" x14ac:dyDescent="0.25">
      <c r="A14">
        <v>63281</v>
      </c>
      <c r="B14" s="1">
        <v>288</v>
      </c>
      <c r="H14" s="8">
        <f>+$B$2</f>
        <v>1</v>
      </c>
      <c r="I14" s="1" t="s">
        <v>50</v>
      </c>
      <c r="J14" s="16">
        <f>ROUND(+G11*H14,0)</f>
        <v>12330</v>
      </c>
      <c r="K14" s="19"/>
      <c r="L14" s="16">
        <f>ROUND(+K11*H14,0)-L12-L13</f>
        <v>0</v>
      </c>
      <c r="M14" s="16"/>
      <c r="N14" s="16"/>
      <c r="O14" s="18">
        <f>ROUND(+L14,0)</f>
        <v>0</v>
      </c>
      <c r="P14" s="16"/>
      <c r="Q14" s="19"/>
      <c r="R14" s="23">
        <f>ROUND(+Q11-N11+O14,0)</f>
        <v>0</v>
      </c>
      <c r="S14" s="10">
        <f>+R14-O14</f>
        <v>0</v>
      </c>
      <c r="T14" t="s">
        <v>47</v>
      </c>
    </row>
    <row r="15" spans="1:20" x14ac:dyDescent="0.2">
      <c r="J15" s="10">
        <f>SUM(J11:J14)</f>
        <v>12330</v>
      </c>
      <c r="K15" s="13"/>
      <c r="L15" s="10">
        <f>SUM(L11:L14)</f>
        <v>0</v>
      </c>
      <c r="M15" s="14"/>
      <c r="O15" s="10">
        <f>ROUND(+L15,0)</f>
        <v>0</v>
      </c>
      <c r="P15" s="14"/>
      <c r="Q15" s="13"/>
      <c r="R15" s="10">
        <f>SUM(R11:R14)</f>
        <v>0</v>
      </c>
      <c r="S15" s="10">
        <f>+R15-Q11</f>
        <v>0</v>
      </c>
      <c r="T15" t="s">
        <v>46</v>
      </c>
    </row>
    <row r="17" spans="1:20" x14ac:dyDescent="0.2">
      <c r="A17">
        <v>63281</v>
      </c>
      <c r="B17" s="1">
        <v>271</v>
      </c>
      <c r="C17" s="42" t="s">
        <v>10</v>
      </c>
      <c r="D17" t="s">
        <v>36</v>
      </c>
      <c r="E17" s="1" t="s">
        <v>21</v>
      </c>
      <c r="F17" s="48">
        <v>8046</v>
      </c>
      <c r="G17">
        <v>5016</v>
      </c>
      <c r="H17" s="8">
        <f>+$B$1</f>
        <v>0</v>
      </c>
      <c r="I17" s="1">
        <v>36907</v>
      </c>
      <c r="J17" s="10">
        <f>ROUND(+G17*H17,0)</f>
        <v>0</v>
      </c>
      <c r="K17" s="22"/>
      <c r="L17" s="14">
        <f>ROUND(+K17*H17,0)</f>
        <v>0</v>
      </c>
      <c r="M17" s="14"/>
      <c r="N17" s="25">
        <f>ROUND(+K17,0)</f>
        <v>0</v>
      </c>
      <c r="O17" s="14">
        <f>ROUND(+L17,0)</f>
        <v>0</v>
      </c>
      <c r="P17" s="14"/>
      <c r="Q17" s="24">
        <v>0</v>
      </c>
      <c r="R17" s="14">
        <f>ROUND(+O17,0)</f>
        <v>0</v>
      </c>
    </row>
    <row r="18" spans="1:20" x14ac:dyDescent="0.2">
      <c r="A18">
        <v>65418</v>
      </c>
      <c r="C18" s="44" t="s">
        <v>59</v>
      </c>
      <c r="K18" s="22"/>
      <c r="L18" s="14">
        <v>0</v>
      </c>
      <c r="M18" s="14"/>
      <c r="N18" s="25"/>
      <c r="O18" s="14">
        <f>+L18</f>
        <v>0</v>
      </c>
      <c r="P18" s="14"/>
      <c r="Q18" s="24"/>
      <c r="R18" s="14">
        <f>+L18</f>
        <v>0</v>
      </c>
    </row>
    <row r="19" spans="1:20" x14ac:dyDescent="0.2">
      <c r="A19">
        <v>61822</v>
      </c>
      <c r="C19" s="44" t="s">
        <v>59</v>
      </c>
      <c r="K19" s="22"/>
      <c r="L19" s="14">
        <v>0</v>
      </c>
      <c r="M19" s="14"/>
      <c r="N19" s="25"/>
      <c r="O19" s="14">
        <f>+L19</f>
        <v>0</v>
      </c>
      <c r="P19" s="14"/>
      <c r="Q19" s="24"/>
      <c r="R19" s="14">
        <f>+L19</f>
        <v>0</v>
      </c>
    </row>
    <row r="20" spans="1:20" ht="13.5" thickBot="1" x14ac:dyDescent="0.25">
      <c r="A20">
        <v>63281</v>
      </c>
      <c r="B20" s="1">
        <v>289</v>
      </c>
      <c r="H20" s="8">
        <f>+$B$2</f>
        <v>1</v>
      </c>
      <c r="I20" s="1" t="s">
        <v>50</v>
      </c>
      <c r="J20" s="16">
        <f>ROUND(+G17*H20,0)</f>
        <v>5016</v>
      </c>
      <c r="K20" s="19"/>
      <c r="L20" s="16">
        <f>ROUND(+K17*H20,0)-L18-L19</f>
        <v>0</v>
      </c>
      <c r="M20" s="16"/>
      <c r="N20" s="16"/>
      <c r="O20" s="18">
        <f>ROUND(+L20,0)</f>
        <v>0</v>
      </c>
      <c r="P20" s="16"/>
      <c r="Q20" s="19"/>
      <c r="R20" s="23">
        <f>ROUND(+Q17-N17+O20,0)</f>
        <v>0</v>
      </c>
      <c r="S20" s="10">
        <f>+R20-O20</f>
        <v>0</v>
      </c>
      <c r="T20" t="s">
        <v>47</v>
      </c>
    </row>
    <row r="21" spans="1:20" x14ac:dyDescent="0.2">
      <c r="J21" s="10">
        <f>SUM(J17:J20)</f>
        <v>5016</v>
      </c>
      <c r="K21" s="13"/>
      <c r="L21" s="10">
        <f>SUM(L17:L20)</f>
        <v>0</v>
      </c>
      <c r="O21" s="10">
        <f>ROUND(+L21,0)</f>
        <v>0</v>
      </c>
      <c r="Q21" s="13"/>
      <c r="R21" s="10">
        <f>SUM(R17:R20)</f>
        <v>0</v>
      </c>
      <c r="S21" s="10">
        <f>+R21-Q17</f>
        <v>0</v>
      </c>
      <c r="T21" t="s">
        <v>46</v>
      </c>
    </row>
    <row r="23" spans="1:20" x14ac:dyDescent="0.2">
      <c r="A23">
        <v>63281</v>
      </c>
      <c r="B23" s="1">
        <v>259</v>
      </c>
      <c r="C23" s="42" t="s">
        <v>11</v>
      </c>
      <c r="D23" t="s">
        <v>37</v>
      </c>
      <c r="E23" s="1" t="s">
        <v>22</v>
      </c>
      <c r="F23" s="48">
        <v>30340</v>
      </c>
      <c r="G23" s="6">
        <v>25307</v>
      </c>
      <c r="H23" s="8">
        <f>+$B$1</f>
        <v>0</v>
      </c>
      <c r="I23" s="1">
        <v>36907</v>
      </c>
      <c r="J23" s="10">
        <f>ROUND(+G23*H23,0)</f>
        <v>0</v>
      </c>
      <c r="K23" s="22"/>
      <c r="L23" s="14">
        <f>ROUND(+K23*H23,0)</f>
        <v>0</v>
      </c>
      <c r="M23" s="14"/>
      <c r="N23" s="25">
        <f>ROUND(+K23,0)</f>
        <v>0</v>
      </c>
      <c r="O23" s="14">
        <f>ROUND(+L23,0)</f>
        <v>0</v>
      </c>
      <c r="P23" s="14"/>
      <c r="Q23" s="24">
        <v>0</v>
      </c>
      <c r="R23" s="14">
        <f>ROUND(+O23,0)</f>
        <v>0</v>
      </c>
    </row>
    <row r="24" spans="1:20" x14ac:dyDescent="0.2">
      <c r="A24">
        <v>38295</v>
      </c>
      <c r="B24" s="1">
        <v>975</v>
      </c>
      <c r="C24" s="44" t="s">
        <v>69</v>
      </c>
      <c r="E24"/>
      <c r="F24" s="50"/>
      <c r="G24" s="49" t="s">
        <v>74</v>
      </c>
      <c r="H24" s="13">
        <f>+L25+L27</f>
        <v>0</v>
      </c>
      <c r="K24" s="22"/>
      <c r="L24" s="14">
        <v>0</v>
      </c>
      <c r="M24" s="14"/>
      <c r="N24" s="25"/>
      <c r="O24" s="14">
        <f>+L24</f>
        <v>0</v>
      </c>
      <c r="P24" s="14"/>
      <c r="Q24" s="24"/>
      <c r="R24" s="14">
        <f>+L24</f>
        <v>0</v>
      </c>
    </row>
    <row r="25" spans="1:20" x14ac:dyDescent="0.2">
      <c r="A25">
        <v>63281</v>
      </c>
      <c r="B25" s="1">
        <v>302</v>
      </c>
      <c r="C25" s="44" t="s">
        <v>69</v>
      </c>
      <c r="E25" t="s">
        <v>78</v>
      </c>
      <c r="F25" s="50"/>
      <c r="G25" s="6"/>
      <c r="K25" s="22"/>
      <c r="L25" s="14">
        <v>4894</v>
      </c>
      <c r="M25" s="14"/>
      <c r="N25" s="25"/>
      <c r="O25" s="14">
        <f>+L25</f>
        <v>4894</v>
      </c>
      <c r="P25" s="14"/>
      <c r="Q25" s="24"/>
      <c r="R25" s="14">
        <f>+L25</f>
        <v>4894</v>
      </c>
    </row>
    <row r="26" spans="1:20" x14ac:dyDescent="0.2">
      <c r="A26">
        <v>63281</v>
      </c>
      <c r="B26" s="1">
        <v>241</v>
      </c>
      <c r="C26" s="44" t="s">
        <v>77</v>
      </c>
      <c r="E26"/>
      <c r="F26" s="50"/>
      <c r="G26" s="6"/>
      <c r="K26" s="22"/>
      <c r="L26" s="14">
        <v>0</v>
      </c>
      <c r="M26" s="14"/>
      <c r="N26" s="25"/>
      <c r="O26" s="14">
        <f>+L26</f>
        <v>0</v>
      </c>
      <c r="P26" s="14"/>
      <c r="Q26" s="24"/>
      <c r="R26" s="14">
        <f>+L26</f>
        <v>0</v>
      </c>
    </row>
    <row r="27" spans="1:20" ht="13.5" thickBot="1" x14ac:dyDescent="0.25">
      <c r="A27">
        <v>63281</v>
      </c>
      <c r="B27" s="1">
        <v>290</v>
      </c>
      <c r="H27" s="8">
        <f>+$B$2</f>
        <v>1</v>
      </c>
      <c r="I27" s="1" t="s">
        <v>51</v>
      </c>
      <c r="J27" s="16">
        <f>ROUND(+G23*H27,0)</f>
        <v>25307</v>
      </c>
      <c r="K27" s="19"/>
      <c r="L27" s="16">
        <f>ROUND(+K23*H27,0)-L24-L25-L26</f>
        <v>-4894</v>
      </c>
      <c r="M27" s="16"/>
      <c r="N27" s="16"/>
      <c r="O27" s="18">
        <f>ROUND(+L27,0)</f>
        <v>-4894</v>
      </c>
      <c r="P27" s="16"/>
      <c r="Q27" s="19"/>
      <c r="R27" s="23">
        <f>ROUND(+Q23-N23+O27,0)</f>
        <v>-4894</v>
      </c>
      <c r="S27" s="10">
        <f>+R27-O27</f>
        <v>0</v>
      </c>
      <c r="T27" t="s">
        <v>47</v>
      </c>
    </row>
    <row r="28" spans="1:20" x14ac:dyDescent="0.2">
      <c r="J28" s="14">
        <f>SUM(J23:J27)</f>
        <v>25307</v>
      </c>
      <c r="K28" s="13"/>
      <c r="L28" s="10">
        <f>SUM(L23:L27)</f>
        <v>0</v>
      </c>
      <c r="M28" s="14"/>
      <c r="O28" s="10">
        <f>ROUND(+L28,0)</f>
        <v>0</v>
      </c>
      <c r="P28" s="14"/>
      <c r="Q28" s="13"/>
      <c r="R28" s="10">
        <f>SUM(R23:R27)</f>
        <v>0</v>
      </c>
      <c r="S28" s="10">
        <f>+R28-Q23</f>
        <v>0</v>
      </c>
      <c r="T28" t="s">
        <v>46</v>
      </c>
    </row>
    <row r="30" spans="1:20" x14ac:dyDescent="0.2">
      <c r="A30">
        <v>63281</v>
      </c>
      <c r="B30" s="1">
        <v>260</v>
      </c>
      <c r="C30" s="42" t="s">
        <v>12</v>
      </c>
      <c r="D30" t="s">
        <v>38</v>
      </c>
      <c r="E30" s="1" t="s">
        <v>23</v>
      </c>
      <c r="F30" s="48">
        <v>6104</v>
      </c>
      <c r="G30">
        <v>3778</v>
      </c>
      <c r="H30" s="8">
        <f>+$B$1</f>
        <v>0</v>
      </c>
      <c r="I30" s="1">
        <v>36907</v>
      </c>
      <c r="J30" s="10">
        <f>ROUND(+G30*H30,0)</f>
        <v>0</v>
      </c>
      <c r="K30" s="22"/>
      <c r="L30" s="14">
        <f>ROUND(+K30*H30,0)</f>
        <v>0</v>
      </c>
      <c r="M30" s="14"/>
      <c r="N30" s="25">
        <f>ROUND(+K30,0)</f>
        <v>0</v>
      </c>
      <c r="O30" s="14">
        <f>ROUND(+L30,0)</f>
        <v>0</v>
      </c>
      <c r="P30" s="14"/>
      <c r="Q30" s="24">
        <v>0</v>
      </c>
      <c r="R30" s="14">
        <f>ROUND(+O30,0)</f>
        <v>0</v>
      </c>
    </row>
    <row r="31" spans="1:20" x14ac:dyDescent="0.2">
      <c r="A31">
        <v>38295</v>
      </c>
      <c r="B31" s="1">
        <v>989</v>
      </c>
      <c r="C31" s="44" t="s">
        <v>65</v>
      </c>
      <c r="E31" t="s">
        <v>73</v>
      </c>
      <c r="F31" s="50"/>
      <c r="K31" s="22"/>
      <c r="L31" s="14">
        <v>0</v>
      </c>
      <c r="M31" s="14"/>
      <c r="N31" s="25"/>
      <c r="O31" s="14">
        <f>+L31</f>
        <v>0</v>
      </c>
      <c r="P31" s="14"/>
      <c r="Q31" s="24"/>
      <c r="R31" s="14">
        <f>+L31</f>
        <v>0</v>
      </c>
    </row>
    <row r="32" spans="1:20" ht="13.5" thickBot="1" x14ac:dyDescent="0.25">
      <c r="A32">
        <v>63281</v>
      </c>
      <c r="B32" s="1">
        <v>291</v>
      </c>
      <c r="H32" s="8">
        <f>+$B$2</f>
        <v>1</v>
      </c>
      <c r="I32" s="1" t="s">
        <v>51</v>
      </c>
      <c r="J32" s="16">
        <f>ROUND(+G30*H32,0)</f>
        <v>3778</v>
      </c>
      <c r="K32" s="19"/>
      <c r="L32" s="18">
        <f>ROUND(+K30*H32,0)-L31</f>
        <v>0</v>
      </c>
      <c r="M32" s="18"/>
      <c r="N32" s="16"/>
      <c r="O32" s="18">
        <f>ROUND(+L32,0)</f>
        <v>0</v>
      </c>
      <c r="P32" s="18"/>
      <c r="Q32" s="19"/>
      <c r="R32" s="23">
        <f>ROUND(+Q30-N30+O32,0)</f>
        <v>0</v>
      </c>
      <c r="S32" s="10">
        <f>+R32-O32</f>
        <v>0</v>
      </c>
      <c r="T32" t="s">
        <v>47</v>
      </c>
    </row>
    <row r="33" spans="1:20" x14ac:dyDescent="0.2">
      <c r="J33" s="10">
        <f>SUM(J30:J32)</f>
        <v>3778</v>
      </c>
      <c r="K33" s="13"/>
      <c r="L33" s="10">
        <f>SUM(L30:L32)</f>
        <v>0</v>
      </c>
      <c r="O33" s="10">
        <f>ROUND(+L33,0)</f>
        <v>0</v>
      </c>
      <c r="Q33" s="13"/>
      <c r="R33" s="10">
        <f>SUM(R30:R32)</f>
        <v>0</v>
      </c>
      <c r="S33" s="10">
        <f>+R33-Q30</f>
        <v>0</v>
      </c>
      <c r="T33" t="s">
        <v>46</v>
      </c>
    </row>
    <row r="35" spans="1:20" x14ac:dyDescent="0.2">
      <c r="A35">
        <v>63281</v>
      </c>
      <c r="B35" s="1">
        <v>261</v>
      </c>
      <c r="C35" s="42" t="s">
        <v>13</v>
      </c>
      <c r="D35" t="s">
        <v>39</v>
      </c>
      <c r="E35" s="1" t="s">
        <v>24</v>
      </c>
      <c r="F35" s="48">
        <v>4833</v>
      </c>
      <c r="G35">
        <v>2992</v>
      </c>
      <c r="H35" s="8">
        <f>+$B$1</f>
        <v>0</v>
      </c>
      <c r="I35" s="1">
        <v>36907</v>
      </c>
      <c r="J35" s="10">
        <f>ROUND(+G35*H35,0)</f>
        <v>0</v>
      </c>
      <c r="K35" s="22"/>
      <c r="L35" s="14">
        <f>ROUND(+K35*H35,0)</f>
        <v>0</v>
      </c>
      <c r="M35" s="14"/>
      <c r="N35" s="25">
        <f>ROUND(+K35,0)</f>
        <v>0</v>
      </c>
      <c r="O35" s="14">
        <f>ROUND(+L35,0)</f>
        <v>0</v>
      </c>
      <c r="P35" s="14"/>
      <c r="Q35" s="24">
        <v>0</v>
      </c>
      <c r="R35" s="14">
        <f>ROUND(+O35,0)</f>
        <v>0</v>
      </c>
    </row>
    <row r="36" spans="1:20" x14ac:dyDescent="0.2">
      <c r="A36">
        <v>38295</v>
      </c>
      <c r="B36" s="1">
        <v>1006</v>
      </c>
      <c r="C36" s="44" t="s">
        <v>76</v>
      </c>
      <c r="E36" t="s">
        <v>60</v>
      </c>
      <c r="F36" s="50"/>
      <c r="K36" s="22"/>
      <c r="L36" s="14">
        <v>0</v>
      </c>
      <c r="M36" s="14"/>
      <c r="N36" s="25"/>
      <c r="O36" s="14">
        <f>+L36</f>
        <v>0</v>
      </c>
      <c r="P36" s="14"/>
      <c r="Q36" s="24"/>
      <c r="R36" s="14">
        <f>+L36</f>
        <v>0</v>
      </c>
    </row>
    <row r="37" spans="1:20" ht="13.5" thickBot="1" x14ac:dyDescent="0.25">
      <c r="A37">
        <v>63281</v>
      </c>
      <c r="B37" s="1">
        <v>292</v>
      </c>
      <c r="H37" s="8">
        <f>+$B$2</f>
        <v>1</v>
      </c>
      <c r="I37" s="1" t="s">
        <v>51</v>
      </c>
      <c r="J37" s="16">
        <f>ROUND(+G35*H37,0)</f>
        <v>2992</v>
      </c>
      <c r="K37" s="19"/>
      <c r="L37" s="16">
        <f>ROUND(+K35*H37,0)-L36</f>
        <v>0</v>
      </c>
      <c r="M37" s="16"/>
      <c r="N37" s="16"/>
      <c r="O37" s="18">
        <f>ROUND(+L37,0)</f>
        <v>0</v>
      </c>
      <c r="P37" s="16"/>
      <c r="Q37" s="19"/>
      <c r="R37" s="23">
        <f>ROUND(+Q35-N35+O37,0)</f>
        <v>0</v>
      </c>
      <c r="S37" s="10">
        <f>+R37-O37</f>
        <v>0</v>
      </c>
      <c r="T37" t="s">
        <v>47</v>
      </c>
    </row>
    <row r="38" spans="1:20" x14ac:dyDescent="0.2">
      <c r="J38" s="10">
        <f>SUM(J35:J37)</f>
        <v>2992</v>
      </c>
      <c r="K38" s="13"/>
      <c r="L38" s="10">
        <f>SUM(L35:L37)</f>
        <v>0</v>
      </c>
      <c r="O38" s="10">
        <f>ROUND(+L38,0)</f>
        <v>0</v>
      </c>
      <c r="Q38" s="13"/>
      <c r="R38" s="10">
        <f>SUM(R35:R37)</f>
        <v>0</v>
      </c>
      <c r="S38" s="10">
        <f>+R38-Q35</f>
        <v>0</v>
      </c>
      <c r="T38" t="s">
        <v>46</v>
      </c>
    </row>
    <row r="40" spans="1:20" x14ac:dyDescent="0.2">
      <c r="A40">
        <v>63281</v>
      </c>
      <c r="B40" s="1">
        <v>262</v>
      </c>
      <c r="C40" s="42" t="s">
        <v>14</v>
      </c>
      <c r="D40" t="s">
        <v>40</v>
      </c>
      <c r="E40" s="1" t="s">
        <v>25</v>
      </c>
      <c r="F40" s="48">
        <v>39070</v>
      </c>
      <c r="G40" s="6">
        <v>23437</v>
      </c>
      <c r="H40" s="8">
        <f>+$B$1</f>
        <v>0</v>
      </c>
      <c r="I40" s="1">
        <v>36907</v>
      </c>
      <c r="J40" s="10">
        <f>ROUND(+G40*H40,0)</f>
        <v>0</v>
      </c>
      <c r="K40" s="22"/>
      <c r="L40" s="14">
        <f>ROUND(+K40*H40,0)</f>
        <v>0</v>
      </c>
      <c r="M40" s="14"/>
      <c r="N40" s="25">
        <f>ROUND(+K40,0)</f>
        <v>0</v>
      </c>
      <c r="O40" s="14">
        <f>ROUND(+L40,0)</f>
        <v>0</v>
      </c>
      <c r="P40" s="14"/>
      <c r="Q40" s="24">
        <v>0</v>
      </c>
      <c r="R40" s="14">
        <f>ROUND(+O40,0)</f>
        <v>0</v>
      </c>
    </row>
    <row r="41" spans="1:20" x14ac:dyDescent="0.2">
      <c r="A41">
        <v>38295</v>
      </c>
      <c r="B41" s="1">
        <v>955</v>
      </c>
      <c r="C41" s="44" t="s">
        <v>66</v>
      </c>
      <c r="D41">
        <v>888849</v>
      </c>
      <c r="G41" s="6"/>
      <c r="K41" s="22"/>
      <c r="L41" s="14">
        <v>0</v>
      </c>
      <c r="M41" s="14"/>
      <c r="N41" s="25"/>
      <c r="O41" s="14">
        <f>+L41</f>
        <v>0</v>
      </c>
      <c r="P41" s="14"/>
      <c r="Q41" s="24"/>
      <c r="R41" s="14">
        <f>+L41</f>
        <v>0</v>
      </c>
    </row>
    <row r="42" spans="1:20" x14ac:dyDescent="0.2">
      <c r="A42">
        <v>38295</v>
      </c>
      <c r="B42" s="1">
        <v>987</v>
      </c>
      <c r="C42" s="44" t="s">
        <v>66</v>
      </c>
      <c r="D42">
        <v>800342</v>
      </c>
      <c r="G42" s="6" t="s">
        <v>70</v>
      </c>
      <c r="K42" s="22"/>
      <c r="L42" s="14">
        <v>0</v>
      </c>
      <c r="M42" s="14"/>
      <c r="N42" s="25"/>
      <c r="O42" s="14">
        <f>+L42</f>
        <v>0</v>
      </c>
      <c r="P42" s="14"/>
      <c r="Q42" s="24"/>
      <c r="R42" s="14">
        <f>+L42</f>
        <v>0</v>
      </c>
    </row>
    <row r="43" spans="1:20" ht="13.5" thickBot="1" x14ac:dyDescent="0.25">
      <c r="A43">
        <v>63281</v>
      </c>
      <c r="B43" s="1">
        <v>293</v>
      </c>
      <c r="H43" s="8">
        <f>+$B$2</f>
        <v>1</v>
      </c>
      <c r="I43" s="1" t="s">
        <v>51</v>
      </c>
      <c r="J43" s="16">
        <f>ROUND(+G40*H43,0)</f>
        <v>23437</v>
      </c>
      <c r="K43" s="19"/>
      <c r="L43" s="16">
        <f>ROUND(+K40*H43,0)-L41-L42</f>
        <v>0</v>
      </c>
      <c r="M43" s="16"/>
      <c r="N43" s="16"/>
      <c r="O43" s="18">
        <f>ROUND(+L43,0)</f>
        <v>0</v>
      </c>
      <c r="P43" s="16"/>
      <c r="Q43" s="19"/>
      <c r="R43" s="23">
        <f>ROUND(+Q40-N40+O43,0)</f>
        <v>0</v>
      </c>
      <c r="S43" s="10">
        <f>+R43-O43</f>
        <v>0</v>
      </c>
      <c r="T43" t="s">
        <v>47</v>
      </c>
    </row>
    <row r="44" spans="1:20" x14ac:dyDescent="0.2">
      <c r="J44" s="10">
        <f>SUM(J40:J43)</f>
        <v>23437</v>
      </c>
      <c r="K44" s="13"/>
      <c r="L44" s="10">
        <f>SUM(L40:L43)</f>
        <v>0</v>
      </c>
      <c r="O44" s="10">
        <f>ROUND(+L44,0)</f>
        <v>0</v>
      </c>
      <c r="Q44" s="13"/>
      <c r="R44" s="10">
        <f>SUM(R40:R43)</f>
        <v>0</v>
      </c>
      <c r="S44" s="10">
        <f>+R44-Q40</f>
        <v>0</v>
      </c>
      <c r="T44" t="s">
        <v>46</v>
      </c>
    </row>
    <row r="46" spans="1:20" ht="12" customHeight="1" x14ac:dyDescent="0.2">
      <c r="A46">
        <v>63281</v>
      </c>
      <c r="B46" s="1">
        <v>263</v>
      </c>
      <c r="C46" s="42" t="s">
        <v>15</v>
      </c>
      <c r="D46" t="s">
        <v>41</v>
      </c>
      <c r="E46" s="1" t="s">
        <v>26</v>
      </c>
      <c r="F46" s="48">
        <v>6580</v>
      </c>
      <c r="G46">
        <v>3952</v>
      </c>
      <c r="H46" s="8">
        <f>+$B$1</f>
        <v>0</v>
      </c>
      <c r="I46" s="1">
        <v>36907</v>
      </c>
      <c r="J46" s="10">
        <f>ROUND(+G46*H46,0)</f>
        <v>0</v>
      </c>
      <c r="K46" s="22"/>
      <c r="L46" s="14">
        <f>ROUND(+K46*H46,0)</f>
        <v>0</v>
      </c>
      <c r="M46" s="14"/>
      <c r="N46" s="25">
        <f>ROUND(+K46,0)</f>
        <v>0</v>
      </c>
      <c r="O46" s="14">
        <f>ROUND(+L46,0)</f>
        <v>0</v>
      </c>
      <c r="P46" s="14"/>
      <c r="Q46" s="24">
        <v>0</v>
      </c>
      <c r="R46" s="14">
        <f>ROUND(+O46,0)</f>
        <v>0</v>
      </c>
    </row>
    <row r="47" spans="1:20" ht="12" customHeight="1" x14ac:dyDescent="0.2">
      <c r="A47">
        <v>38295</v>
      </c>
      <c r="C47" s="42" t="s">
        <v>67</v>
      </c>
      <c r="K47" s="22"/>
      <c r="L47" s="14">
        <v>0</v>
      </c>
      <c r="M47" s="14"/>
      <c r="N47" s="25"/>
      <c r="O47" s="14">
        <f>+L47</f>
        <v>0</v>
      </c>
      <c r="P47" s="14"/>
      <c r="Q47" s="24"/>
      <c r="R47" s="14">
        <f>+L47</f>
        <v>0</v>
      </c>
    </row>
    <row r="48" spans="1:20" ht="12" customHeight="1" x14ac:dyDescent="0.2">
      <c r="A48">
        <v>38295</v>
      </c>
      <c r="C48" s="42" t="s">
        <v>68</v>
      </c>
      <c r="K48" s="22"/>
      <c r="L48" s="14">
        <v>0</v>
      </c>
      <c r="M48" s="14"/>
      <c r="N48" s="25"/>
      <c r="O48" s="14">
        <f>+L48</f>
        <v>0</v>
      </c>
      <c r="P48" s="14"/>
      <c r="Q48" s="24"/>
      <c r="R48" s="14">
        <f>+L48</f>
        <v>0</v>
      </c>
    </row>
    <row r="49" spans="1:20" ht="12" customHeight="1" thickBot="1" x14ac:dyDescent="0.25">
      <c r="A49">
        <v>63281</v>
      </c>
      <c r="B49" s="1">
        <v>294</v>
      </c>
      <c r="H49" s="8">
        <f>+$B$2</f>
        <v>1</v>
      </c>
      <c r="I49" s="1" t="s">
        <v>51</v>
      </c>
      <c r="J49" s="16">
        <f>ROUND(+G46*H49,0)</f>
        <v>3952</v>
      </c>
      <c r="K49" s="19"/>
      <c r="L49" s="16">
        <f>ROUND(+K46*H49,0)-L47-L48</f>
        <v>0</v>
      </c>
      <c r="M49" s="16"/>
      <c r="N49" s="16"/>
      <c r="O49" s="18">
        <f>ROUND(+L49,0)</f>
        <v>0</v>
      </c>
      <c r="P49" s="16"/>
      <c r="Q49" s="19"/>
      <c r="R49" s="23">
        <f>ROUND(+Q46-N46+O49,0)</f>
        <v>0</v>
      </c>
      <c r="S49" s="10">
        <f>+R49-O49</f>
        <v>0</v>
      </c>
      <c r="T49" t="s">
        <v>47</v>
      </c>
    </row>
    <row r="50" spans="1:20" ht="12" customHeight="1" x14ac:dyDescent="0.2">
      <c r="J50" s="10">
        <f>SUM(J46:J49)</f>
        <v>3952</v>
      </c>
      <c r="K50" s="13"/>
      <c r="L50" s="10">
        <f>SUM(L46:L49)</f>
        <v>0</v>
      </c>
      <c r="O50" s="10">
        <f>ROUND(+L50,0)</f>
        <v>0</v>
      </c>
      <c r="Q50" s="13"/>
      <c r="R50" s="10">
        <f>SUM(R46:R49)</f>
        <v>0</v>
      </c>
      <c r="S50" s="10">
        <f>+R50-Q46</f>
        <v>0</v>
      </c>
      <c r="T50" t="s">
        <v>46</v>
      </c>
    </row>
    <row r="51" spans="1:20" ht="12" customHeight="1" x14ac:dyDescent="0.2"/>
    <row r="52" spans="1:20" x14ac:dyDescent="0.2">
      <c r="A52">
        <v>63281</v>
      </c>
      <c r="B52" s="1">
        <v>264</v>
      </c>
      <c r="C52" s="42" t="s">
        <v>16</v>
      </c>
      <c r="D52" t="s">
        <v>42</v>
      </c>
      <c r="E52" s="1" t="s">
        <v>27</v>
      </c>
      <c r="F52" s="48">
        <v>7317</v>
      </c>
      <c r="G52">
        <v>4368</v>
      </c>
      <c r="H52" s="8">
        <f>+$B$1</f>
        <v>0</v>
      </c>
      <c r="I52" s="1">
        <v>36907</v>
      </c>
      <c r="J52" s="10">
        <f>ROUND(+G52*H52,0)</f>
        <v>0</v>
      </c>
      <c r="K52" s="22"/>
      <c r="L52" s="14">
        <f>ROUND(+K52*H52,0)</f>
        <v>0</v>
      </c>
      <c r="M52" s="14"/>
      <c r="N52" s="25">
        <f>ROUND(+K52,0)</f>
        <v>0</v>
      </c>
      <c r="O52" s="14">
        <f>ROUND(+L52,0)</f>
        <v>0</v>
      </c>
      <c r="P52" s="14"/>
      <c r="Q52" s="24">
        <v>0</v>
      </c>
      <c r="R52" s="14">
        <f>ROUND(+O52,0)</f>
        <v>0</v>
      </c>
    </row>
    <row r="53" spans="1:20" x14ac:dyDescent="0.2">
      <c r="A53">
        <v>65402</v>
      </c>
      <c r="C53" s="44" t="s">
        <v>59</v>
      </c>
      <c r="K53" s="22"/>
      <c r="L53" s="14">
        <v>0</v>
      </c>
      <c r="M53" s="14"/>
      <c r="N53" s="25"/>
      <c r="O53" s="14">
        <f>+L53</f>
        <v>0</v>
      </c>
      <c r="P53" s="14"/>
      <c r="Q53" s="24"/>
      <c r="R53" s="14">
        <f>+L53</f>
        <v>0</v>
      </c>
    </row>
    <row r="54" spans="1:20" ht="13.5" thickBot="1" x14ac:dyDescent="0.25">
      <c r="A54">
        <v>63281</v>
      </c>
      <c r="B54" s="1">
        <v>298</v>
      </c>
      <c r="H54" s="8">
        <f>+$B$2</f>
        <v>1</v>
      </c>
      <c r="I54" s="1" t="s">
        <v>51</v>
      </c>
      <c r="J54" s="16">
        <f>ROUND(+G52*H54,0)</f>
        <v>4368</v>
      </c>
      <c r="K54" s="19"/>
      <c r="L54" s="16">
        <f>ROUND(+K52*H54,0)-L53</f>
        <v>0</v>
      </c>
      <c r="M54" s="16"/>
      <c r="N54" s="16"/>
      <c r="O54" s="18">
        <f>ROUND(+L54,0)</f>
        <v>0</v>
      </c>
      <c r="P54" s="16"/>
      <c r="Q54" s="19"/>
      <c r="R54" s="23">
        <f>ROUND(+Q52-N52+O54,0)</f>
        <v>0</v>
      </c>
      <c r="S54" s="10">
        <f>+R54-O54</f>
        <v>0</v>
      </c>
      <c r="T54" t="s">
        <v>47</v>
      </c>
    </row>
    <row r="55" spans="1:20" x14ac:dyDescent="0.2">
      <c r="J55" s="10">
        <f>SUM(J52:J54)</f>
        <v>4368</v>
      </c>
      <c r="L55" s="10">
        <f>SUM(L52:L54)</f>
        <v>0</v>
      </c>
      <c r="O55" s="10">
        <f>ROUND(+L55,0)</f>
        <v>0</v>
      </c>
      <c r="R55" s="10">
        <f>SUM(R52:R54)</f>
        <v>0</v>
      </c>
      <c r="S55" s="10">
        <f>+R55-Q52</f>
        <v>0</v>
      </c>
      <c r="T55" t="s">
        <v>46</v>
      </c>
    </row>
    <row r="57" spans="1:20" x14ac:dyDescent="0.2">
      <c r="A57">
        <v>63281</v>
      </c>
      <c r="B57" s="1">
        <v>272</v>
      </c>
      <c r="C57" s="42" t="s">
        <v>17</v>
      </c>
      <c r="D57" t="s">
        <v>43</v>
      </c>
      <c r="E57" s="1" t="s">
        <v>28</v>
      </c>
      <c r="F57" s="48">
        <v>8691</v>
      </c>
      <c r="G57">
        <v>5299</v>
      </c>
      <c r="H57" s="8">
        <f>+$B$1</f>
        <v>0</v>
      </c>
      <c r="I57" s="1">
        <v>36907</v>
      </c>
      <c r="J57" s="10">
        <f>ROUND(+G57*H57,0)</f>
        <v>0</v>
      </c>
      <c r="K57" s="22"/>
      <c r="L57" s="14">
        <f>ROUND(+K57*H57,0)</f>
        <v>0</v>
      </c>
      <c r="M57" s="14"/>
      <c r="N57" s="25">
        <f>ROUND(+K57,0)</f>
        <v>0</v>
      </c>
      <c r="O57" s="14">
        <f>ROUND(+L57,0)</f>
        <v>0</v>
      </c>
      <c r="P57" s="14"/>
      <c r="Q57" s="24">
        <v>0</v>
      </c>
      <c r="R57" s="14">
        <f>ROUND(+O57,0)</f>
        <v>0</v>
      </c>
    </row>
    <row r="58" spans="1:20" x14ac:dyDescent="0.2">
      <c r="A58">
        <v>38295</v>
      </c>
      <c r="B58" s="1">
        <v>984</v>
      </c>
      <c r="C58" s="42" t="s">
        <v>62</v>
      </c>
      <c r="K58" s="22"/>
      <c r="L58" s="14">
        <v>0</v>
      </c>
      <c r="M58" s="14"/>
      <c r="N58" s="25"/>
      <c r="O58" s="14">
        <f>+L58</f>
        <v>0</v>
      </c>
      <c r="P58" s="14"/>
      <c r="Q58" s="24"/>
      <c r="R58" s="14">
        <f>+L58</f>
        <v>0</v>
      </c>
    </row>
    <row r="59" spans="1:20" ht="13.5" thickBot="1" x14ac:dyDescent="0.25">
      <c r="A59">
        <v>63281</v>
      </c>
      <c r="B59" s="1">
        <v>295</v>
      </c>
      <c r="H59" s="8">
        <f>+$B$2</f>
        <v>1</v>
      </c>
      <c r="I59" s="1" t="s">
        <v>51</v>
      </c>
      <c r="J59" s="16">
        <f>ROUND(+G57*H59,0)</f>
        <v>5299</v>
      </c>
      <c r="K59" s="19"/>
      <c r="L59" s="16">
        <f>ROUND(+K57*H59,0)-L58</f>
        <v>0</v>
      </c>
      <c r="M59" s="16"/>
      <c r="N59" s="16"/>
      <c r="O59" s="18">
        <f>ROUND(+L59,0)</f>
        <v>0</v>
      </c>
      <c r="P59" s="16"/>
      <c r="Q59" s="19"/>
      <c r="R59" s="23">
        <f>ROUND(+Q57-N57+O59,0)</f>
        <v>0</v>
      </c>
      <c r="S59" s="10">
        <f>+R59-O59</f>
        <v>0</v>
      </c>
      <c r="T59" t="s">
        <v>47</v>
      </c>
    </row>
    <row r="60" spans="1:20" x14ac:dyDescent="0.2">
      <c r="J60" s="10">
        <f>SUM(J57:J59)</f>
        <v>5299</v>
      </c>
      <c r="K60" s="13"/>
      <c r="L60" s="10">
        <f>SUM(L57:L59)</f>
        <v>0</v>
      </c>
      <c r="O60" s="10">
        <f>ROUND(+L60,0)</f>
        <v>0</v>
      </c>
      <c r="Q60" s="13"/>
      <c r="R60" s="10">
        <f>SUM(R57:R59)</f>
        <v>0</v>
      </c>
      <c r="S60" s="10">
        <f>+R60-Q57</f>
        <v>0</v>
      </c>
      <c r="T60" t="s">
        <v>46</v>
      </c>
    </row>
    <row r="62" spans="1:20" s="32" customFormat="1" x14ac:dyDescent="0.2">
      <c r="A62" s="32">
        <v>63281</v>
      </c>
      <c r="B62" s="33">
        <v>276</v>
      </c>
      <c r="C62" s="45" t="s">
        <v>18</v>
      </c>
      <c r="D62" s="32" t="s">
        <v>44</v>
      </c>
      <c r="E62" s="33" t="s">
        <v>29</v>
      </c>
      <c r="F62" s="52">
        <v>4044</v>
      </c>
      <c r="G62" s="32">
        <v>2622</v>
      </c>
      <c r="H62" s="34">
        <v>0</v>
      </c>
      <c r="I62" s="33">
        <v>36907</v>
      </c>
      <c r="J62" s="35">
        <f>ROUND(+G62*H62,0)</f>
        <v>0</v>
      </c>
      <c r="K62" s="22"/>
      <c r="L62" s="36">
        <f>ROUND(+K62*H62,0)</f>
        <v>0</v>
      </c>
      <c r="M62" s="36"/>
      <c r="N62" s="25">
        <f>ROUND(+K62,0)</f>
        <v>0</v>
      </c>
      <c r="O62" s="36">
        <f>ROUND(+L62,0)</f>
        <v>0</v>
      </c>
      <c r="P62" s="36"/>
      <c r="Q62" s="24">
        <v>0</v>
      </c>
      <c r="R62" s="36">
        <f>ROUND(+O62,0)</f>
        <v>0</v>
      </c>
    </row>
    <row r="63" spans="1:20" s="32" customFormat="1" x14ac:dyDescent="0.2">
      <c r="A63" s="32">
        <v>63764</v>
      </c>
      <c r="B63" s="33">
        <v>73</v>
      </c>
      <c r="C63" s="45" t="s">
        <v>59</v>
      </c>
      <c r="E63" s="33"/>
      <c r="F63" s="52"/>
      <c r="H63" s="34"/>
      <c r="I63" s="33"/>
      <c r="J63" s="35"/>
      <c r="K63" s="22"/>
      <c r="L63" s="36">
        <v>0</v>
      </c>
      <c r="M63" s="36"/>
      <c r="N63" s="25"/>
      <c r="O63" s="36">
        <f>+L63</f>
        <v>0</v>
      </c>
      <c r="P63" s="36"/>
      <c r="Q63" s="24"/>
      <c r="R63" s="36">
        <f>+L63</f>
        <v>0</v>
      </c>
    </row>
    <row r="64" spans="1:20" s="32" customFormat="1" ht="13.5" thickBot="1" x14ac:dyDescent="0.25">
      <c r="A64" s="32">
        <v>63281</v>
      </c>
      <c r="B64" s="33">
        <v>296</v>
      </c>
      <c r="C64" s="45"/>
      <c r="E64" s="33"/>
      <c r="F64" s="52"/>
      <c r="H64" s="34">
        <v>1</v>
      </c>
      <c r="I64" s="33" t="s">
        <v>52</v>
      </c>
      <c r="J64" s="37">
        <f>ROUND(+G62*H64,0)</f>
        <v>2622</v>
      </c>
      <c r="K64" s="38"/>
      <c r="L64" s="37">
        <f>ROUND(+K62*H64,0)-L63</f>
        <v>0</v>
      </c>
      <c r="M64" s="37"/>
      <c r="N64" s="37"/>
      <c r="O64" s="39">
        <f>ROUND(+L64,0)</f>
        <v>0</v>
      </c>
      <c r="P64" s="37"/>
      <c r="Q64" s="38"/>
      <c r="R64" s="23">
        <f>ROUND(+Q62-N62+O64,0)</f>
        <v>0</v>
      </c>
      <c r="S64" s="35">
        <f>+R64-O64</f>
        <v>0</v>
      </c>
      <c r="T64" s="32" t="s">
        <v>47</v>
      </c>
    </row>
    <row r="65" spans="1:21" s="32" customFormat="1" x14ac:dyDescent="0.2">
      <c r="B65" s="33"/>
      <c r="C65" s="45"/>
      <c r="E65" s="33"/>
      <c r="F65" s="52"/>
      <c r="H65" s="34"/>
      <c r="I65" s="33"/>
      <c r="J65" s="40">
        <f>SUM(J62:J64)</f>
        <v>2622</v>
      </c>
      <c r="K65" s="41"/>
      <c r="L65" s="40">
        <f>SUM(L62:L64)</f>
        <v>0</v>
      </c>
      <c r="M65" s="40"/>
      <c r="N65" s="35"/>
      <c r="O65" s="35">
        <f>ROUND(+L65,0)</f>
        <v>0</v>
      </c>
      <c r="P65" s="40"/>
      <c r="Q65" s="41"/>
      <c r="R65" s="35">
        <f>SUM(R62:R64)</f>
        <v>0</v>
      </c>
      <c r="S65" s="35">
        <f>+R65-Q62</f>
        <v>0</v>
      </c>
      <c r="T65" s="32" t="s">
        <v>46</v>
      </c>
    </row>
    <row r="67" spans="1:21" s="32" customFormat="1" x14ac:dyDescent="0.2">
      <c r="A67" s="32">
        <v>63281</v>
      </c>
      <c r="B67" s="33">
        <v>277</v>
      </c>
      <c r="C67" s="45" t="s">
        <v>19</v>
      </c>
      <c r="D67" s="32" t="s">
        <v>45</v>
      </c>
      <c r="E67" s="33" t="s">
        <v>30</v>
      </c>
      <c r="F67" s="52">
        <v>80</v>
      </c>
      <c r="G67" s="32">
        <v>53</v>
      </c>
      <c r="H67" s="34">
        <v>0</v>
      </c>
      <c r="I67" s="33">
        <v>36907</v>
      </c>
      <c r="J67" s="35">
        <f>ROUND(+G67*H67,0)</f>
        <v>0</v>
      </c>
      <c r="K67" s="22"/>
      <c r="L67" s="36">
        <f>ROUND(+K67*H67,0)</f>
        <v>0</v>
      </c>
      <c r="M67" s="36"/>
      <c r="N67" s="25">
        <f>ROUND(+K67,0)</f>
        <v>0</v>
      </c>
      <c r="O67" s="36">
        <f>ROUND(+L67,0)</f>
        <v>0</v>
      </c>
      <c r="P67" s="36"/>
      <c r="Q67" s="24">
        <v>0</v>
      </c>
      <c r="R67" s="36">
        <f>ROUND(+O67,0)</f>
        <v>0</v>
      </c>
    </row>
    <row r="68" spans="1:21" s="32" customFormat="1" x14ac:dyDescent="0.2">
      <c r="A68" s="32">
        <v>38295</v>
      </c>
      <c r="B68" s="33">
        <v>956</v>
      </c>
      <c r="C68" s="45" t="s">
        <v>63</v>
      </c>
      <c r="E68" s="33" t="s">
        <v>64</v>
      </c>
      <c r="F68" s="52"/>
      <c r="H68" s="34"/>
      <c r="I68" s="33"/>
      <c r="J68" s="35"/>
      <c r="K68" s="22"/>
      <c r="L68" s="36">
        <v>0</v>
      </c>
      <c r="M68" s="36"/>
      <c r="N68" s="25"/>
      <c r="O68" s="36">
        <f>+L68</f>
        <v>0</v>
      </c>
      <c r="P68" s="36"/>
      <c r="Q68" s="24"/>
      <c r="R68" s="36">
        <f>+L68</f>
        <v>0</v>
      </c>
    </row>
    <row r="69" spans="1:21" s="32" customFormat="1" ht="13.5" thickBot="1" x14ac:dyDescent="0.25">
      <c r="A69" s="32">
        <v>63281</v>
      </c>
      <c r="B69" s="33">
        <v>297</v>
      </c>
      <c r="C69" s="45"/>
      <c r="E69" s="33"/>
      <c r="F69" s="52"/>
      <c r="H69" s="34">
        <v>1</v>
      </c>
      <c r="I69" s="33" t="s">
        <v>52</v>
      </c>
      <c r="J69" s="37">
        <f>ROUND(+G67*H69,0)</f>
        <v>53</v>
      </c>
      <c r="K69" s="37"/>
      <c r="L69" s="37">
        <f>ROUND(+K67*H69,0)-L68</f>
        <v>0</v>
      </c>
      <c r="M69" s="37"/>
      <c r="N69" s="37"/>
      <c r="O69" s="39">
        <f>ROUND(+L69,0)</f>
        <v>0</v>
      </c>
      <c r="P69" s="37"/>
      <c r="Q69" s="37"/>
      <c r="R69" s="23">
        <f>ROUND(+Q67-N67+O69,0)</f>
        <v>0</v>
      </c>
      <c r="S69" s="35">
        <f>+R69-O69</f>
        <v>0</v>
      </c>
      <c r="T69" s="32" t="s">
        <v>47</v>
      </c>
    </row>
    <row r="70" spans="1:21" s="32" customFormat="1" x14ac:dyDescent="0.2">
      <c r="B70" s="33"/>
      <c r="C70" s="45"/>
      <c r="E70" s="33"/>
      <c r="F70" s="52"/>
      <c r="H70" s="34"/>
      <c r="I70" s="33"/>
      <c r="J70" s="35">
        <f>SUM(J67:J69)</f>
        <v>53</v>
      </c>
      <c r="K70" s="35"/>
      <c r="L70" s="35">
        <f>SUM(L67:L69)</f>
        <v>0</v>
      </c>
      <c r="M70" s="35"/>
      <c r="N70" s="35"/>
      <c r="O70" s="35">
        <f>ROUND(+L70,0)</f>
        <v>0</v>
      </c>
      <c r="P70" s="35"/>
      <c r="Q70" s="35"/>
      <c r="R70" s="35">
        <f>SUM(R67:R69)</f>
        <v>0</v>
      </c>
      <c r="S70" s="35">
        <f>+R70-Q67</f>
        <v>0</v>
      </c>
      <c r="T70" s="32" t="s">
        <v>46</v>
      </c>
    </row>
    <row r="71" spans="1:21" ht="13.5" thickBot="1" x14ac:dyDescent="0.25"/>
    <row r="72" spans="1:21" ht="13.5" thickBot="1" x14ac:dyDescent="0.25">
      <c r="E72" s="46" t="s">
        <v>32</v>
      </c>
      <c r="F72" s="53">
        <f>SUM(F6:F70)</f>
        <v>134710</v>
      </c>
      <c r="G72" s="47">
        <f>SUM(G6:G70)</f>
        <v>90425</v>
      </c>
      <c r="K72" s="10">
        <f>SUM(K6:K70)</f>
        <v>0</v>
      </c>
      <c r="L72" s="28">
        <f>SUM(L9+L15+L21+L28+L33+L38+L44+L50+L55+L60+L65+L70)</f>
        <v>0</v>
      </c>
      <c r="N72" s="10">
        <f>SUM(N6:N70)</f>
        <v>0</v>
      </c>
      <c r="O72" s="28">
        <f>SUM(O9+O15+O21+O28+O33+O38+O44+O50+O55+O60+O65+O70)</f>
        <v>0</v>
      </c>
      <c r="Q72" s="10">
        <f>SUM(Q6:Q70)</f>
        <v>0</v>
      </c>
      <c r="R72" s="28">
        <f>SUM(R9+R15+R21+R28+R33+R38+R44+R50+R55+R60+R65+R70)</f>
        <v>0</v>
      </c>
      <c r="S72" s="29">
        <f>S9+S15+S21+S28+S33+S38+S44+S50+S55+S60+S65+S70</f>
        <v>0</v>
      </c>
      <c r="T72" s="30" t="s">
        <v>55</v>
      </c>
      <c r="U72" s="31"/>
    </row>
    <row r="73" spans="1:21" ht="13.5" thickTop="1" x14ac:dyDescent="0.2"/>
    <row r="75" spans="1:21" x14ac:dyDescent="0.2">
      <c r="A75">
        <v>63281</v>
      </c>
      <c r="B75" s="1">
        <v>40</v>
      </c>
      <c r="H75" s="1">
        <v>22</v>
      </c>
      <c r="I75" t="s">
        <v>33</v>
      </c>
      <c r="J75" s="10">
        <f>SUMIF($I$6:$I$69,"22STOW",$J$6:$J$69)</f>
        <v>1271</v>
      </c>
      <c r="L75" s="10">
        <f>SUMIF($I$6:$I$69,"22STOW",$L$6:$L$69)</f>
        <v>0</v>
      </c>
      <c r="O75" s="10">
        <f>SUMIF($I$6:$I$69,"22STOW",$O$6:$O$69)</f>
        <v>0</v>
      </c>
      <c r="R75" s="10">
        <f>SUMIF($I$6:$I$69,"22STOW",$R$6:$R$69)</f>
        <v>0</v>
      </c>
    </row>
    <row r="76" spans="1:21" x14ac:dyDescent="0.2">
      <c r="A76">
        <v>63281</v>
      </c>
      <c r="B76" s="1">
        <v>53</v>
      </c>
      <c r="C76" s="42" t="s">
        <v>54</v>
      </c>
      <c r="H76" s="1" t="s">
        <v>48</v>
      </c>
      <c r="I76" t="s">
        <v>33</v>
      </c>
      <c r="J76" s="10">
        <f>SUMIF($I$6:$I$69,"23nSTOW",$J$6:$J$69)</f>
        <v>17346</v>
      </c>
      <c r="L76" s="10">
        <f>SUMIF($I$6:$I$69,"23nSTOW",$L$6:$L$69)</f>
        <v>0</v>
      </c>
      <c r="O76" s="10">
        <f>SUMIF($I$6:$I$69,"23nSTOW",$O$6:$O$69)</f>
        <v>0</v>
      </c>
      <c r="R76" s="10">
        <f>SUMIF($I$6:$I$69,"23nSTOW",$R$6:$R$69)</f>
        <v>0</v>
      </c>
    </row>
    <row r="77" spans="1:21" x14ac:dyDescent="0.2">
      <c r="A77">
        <v>63281</v>
      </c>
      <c r="B77" s="1">
        <v>54</v>
      </c>
      <c r="C77" s="42" t="s">
        <v>54</v>
      </c>
      <c r="H77" s="1">
        <v>23</v>
      </c>
      <c r="I77" t="s">
        <v>33</v>
      </c>
      <c r="J77" s="10">
        <f>SUMIF($I$6:$I$69,"23STOW",$J$6:$J$69)</f>
        <v>69133</v>
      </c>
      <c r="L77" s="10">
        <f>SUMIF($I$6:$I$69,"23STOW",$L$6:$L$69)</f>
        <v>-4894</v>
      </c>
      <c r="O77" s="10">
        <f>SUMIF($I$6:$I$69,"23STOW",$O$6:$O$69)</f>
        <v>-4894</v>
      </c>
      <c r="R77" s="10">
        <f>SUMIF($I$6:$I$69,"23STOW",$R$6:$R$69)</f>
        <v>-4894</v>
      </c>
    </row>
    <row r="78" spans="1:21" x14ac:dyDescent="0.2">
      <c r="A78">
        <v>63281</v>
      </c>
      <c r="B78" s="1">
        <v>55</v>
      </c>
      <c r="C78" s="42" t="s">
        <v>54</v>
      </c>
      <c r="H78" s="1">
        <v>24</v>
      </c>
      <c r="I78" t="s">
        <v>33</v>
      </c>
      <c r="J78" s="10">
        <f>SUMIF($I$6:$I$69,"24STOW",$J$6:$J$69)</f>
        <v>2675</v>
      </c>
      <c r="L78" s="10">
        <f>SUMIF($I$6:$I$69,"24STOW",$L$6:$L$69)</f>
        <v>0</v>
      </c>
      <c r="O78" s="10">
        <f>SUMIF($I$6:$I$69,"24STOW",$O$6:$O$69)</f>
        <v>0</v>
      </c>
      <c r="R78" s="10">
        <f>SUMIF($I$6:$I$69,"24STOW",$R$6:$R$69)</f>
        <v>0</v>
      </c>
    </row>
    <row r="80" spans="1:21" x14ac:dyDescent="0.2">
      <c r="A80">
        <v>63281</v>
      </c>
      <c r="B80" s="1">
        <v>52</v>
      </c>
      <c r="E80"/>
      <c r="F80" s="50"/>
      <c r="I80" s="1" t="s">
        <v>53</v>
      </c>
      <c r="J80" s="10">
        <f>SUM(J75:J78)</f>
        <v>90425</v>
      </c>
      <c r="L80" s="10">
        <f>SUM(L75:L78)</f>
        <v>-4894</v>
      </c>
      <c r="O80" s="10">
        <f>SUM(O75:O78)</f>
        <v>-4894</v>
      </c>
      <c r="R80" s="10">
        <f>SUM(R75:R78)</f>
        <v>-4894</v>
      </c>
    </row>
    <row r="82" spans="9:18" x14ac:dyDescent="0.2">
      <c r="I82">
        <v>63281</v>
      </c>
      <c r="J82" s="1" t="s">
        <v>72</v>
      </c>
      <c r="L82" s="42">
        <f>SUMIF($A$6:$A$69,63281,$L$6:$L$69)</f>
        <v>0</v>
      </c>
      <c r="O82" s="42">
        <f>SUMIF($A$6:$A$69,63281,$O$6:$O$69)</f>
        <v>0</v>
      </c>
      <c r="R82" s="42">
        <f>SUMIF($A$6:$A$69,63281,$R$6:$R$69)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T62"/>
  <sheetViews>
    <sheetView workbookViewId="0">
      <selection activeCell="F1" sqref="F1:F65536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37147</v>
      </c>
      <c r="J6" s="10">
        <f>ROUND(+G6*H6,0)</f>
        <v>270</v>
      </c>
      <c r="K6" s="22">
        <v>0</v>
      </c>
      <c r="L6" s="14">
        <f>ROUND(+K6*H6,0)</f>
        <v>0</v>
      </c>
      <c r="M6" s="14"/>
      <c r="N6" s="25">
        <v>0</v>
      </c>
      <c r="O6" s="14">
        <f>ROUND(+H6*N6,0)</f>
        <v>0</v>
      </c>
      <c r="P6" s="14"/>
      <c r="Q6" s="24">
        <v>0</v>
      </c>
      <c r="R6" s="14">
        <f>+O6</f>
        <v>0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0</v>
      </c>
      <c r="M7" s="16"/>
      <c r="N7" s="16"/>
      <c r="O7" s="18">
        <f>ROUND(+H7*N6,0)</f>
        <v>0</v>
      </c>
      <c r="P7" s="14"/>
      <c r="R7" s="23">
        <f>ROUND(+Q6-N6+O7,0)</f>
        <v>0</v>
      </c>
      <c r="S7" s="10">
        <f>+R7-O7</f>
        <v>0</v>
      </c>
      <c r="T7" t="s">
        <v>47</v>
      </c>
    </row>
    <row r="8" spans="1:20" x14ac:dyDescent="0.2">
      <c r="J8" s="10">
        <f>SUM(J6:J7)</f>
        <v>491</v>
      </c>
      <c r="L8" s="10">
        <f>SUM(L6:L7)</f>
        <v>0</v>
      </c>
      <c r="O8" s="10">
        <f>SUM(O6:O7)</f>
        <v>0</v>
      </c>
      <c r="R8" s="10">
        <f>SUM(R6:R7)</f>
        <v>0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37147</v>
      </c>
      <c r="J10" s="10">
        <f>ROUND(+G10*H10,0)</f>
        <v>3524</v>
      </c>
      <c r="K10" s="22">
        <v>0</v>
      </c>
      <c r="L10" s="14">
        <f>ROUND(+K10*H10,0)</f>
        <v>0</v>
      </c>
      <c r="M10" s="14"/>
      <c r="N10" s="25">
        <v>0</v>
      </c>
      <c r="O10" s="14">
        <f>ROUND(+H10*N10,0)</f>
        <v>0</v>
      </c>
      <c r="P10" s="14"/>
      <c r="Q10" s="24">
        <v>0</v>
      </c>
      <c r="R10" s="14">
        <f>ROUND(+O10,0)</f>
        <v>0</v>
      </c>
    </row>
    <row r="11" spans="1:20" ht="13.5" thickBot="1" x14ac:dyDescent="0.25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0</v>
      </c>
      <c r="M11" s="16"/>
      <c r="N11" s="19"/>
      <c r="O11" s="18">
        <f>ROUND(+H11*N10,0)</f>
        <v>0</v>
      </c>
      <c r="P11" s="16"/>
      <c r="Q11" s="19"/>
      <c r="R11" s="23">
        <f>ROUND(+Q10-N10+O11,0)</f>
        <v>0</v>
      </c>
      <c r="S11" s="10">
        <f>+R11-O11</f>
        <v>0</v>
      </c>
      <c r="T11" t="s">
        <v>47</v>
      </c>
    </row>
    <row r="12" spans="1:20" x14ac:dyDescent="0.2">
      <c r="J12" s="10">
        <f>SUM(J10:J11)-1</f>
        <v>6407</v>
      </c>
      <c r="K12" s="13"/>
      <c r="L12" s="14">
        <f>+L10+L11</f>
        <v>0</v>
      </c>
      <c r="M12" s="14"/>
      <c r="N12" s="13"/>
      <c r="O12" s="10">
        <f>SUM(O10:O11)</f>
        <v>0</v>
      </c>
      <c r="P12" s="14"/>
      <c r="Q12" s="13"/>
      <c r="R12" s="10">
        <f>SUM(R10:R11)</f>
        <v>0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37147</v>
      </c>
      <c r="J14" s="10">
        <f>ROUND(+G14*H14,0)</f>
        <v>1420</v>
      </c>
      <c r="K14" s="22">
        <v>0</v>
      </c>
      <c r="L14" s="14">
        <f>ROUND(+K14*H14,0)</f>
        <v>0</v>
      </c>
      <c r="M14" s="14"/>
      <c r="N14" s="25">
        <v>0</v>
      </c>
      <c r="O14" s="14">
        <f>ROUND(+H14*N14,0)</f>
        <v>0</v>
      </c>
      <c r="P14" s="14"/>
      <c r="Q14" s="24">
        <v>0</v>
      </c>
      <c r="R14" s="14">
        <f>ROUND(+O14,0)</f>
        <v>0</v>
      </c>
    </row>
    <row r="15" spans="1:20" ht="13.5" thickBot="1" x14ac:dyDescent="0.25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0</v>
      </c>
      <c r="M15" s="16"/>
      <c r="N15" s="19"/>
      <c r="O15" s="18">
        <f>ROUND(+H15*N14,0)</f>
        <v>0</v>
      </c>
      <c r="P15" s="16"/>
      <c r="Q15" s="19"/>
      <c r="R15" s="23">
        <f>ROUND(+Q14-N14+O15,0)</f>
        <v>0</v>
      </c>
      <c r="S15" s="10">
        <f>+R15-O15</f>
        <v>0</v>
      </c>
      <c r="T15" t="s">
        <v>47</v>
      </c>
    </row>
    <row r="16" spans="1:20" x14ac:dyDescent="0.2">
      <c r="J16" s="10">
        <f>SUM(J14:J15)-1</f>
        <v>2581</v>
      </c>
      <c r="K16" s="13"/>
      <c r="L16" s="10">
        <f>SUM(L14:L15)</f>
        <v>0</v>
      </c>
      <c r="N16" s="13"/>
      <c r="O16" s="10">
        <f>SUM(O14:O15)</f>
        <v>0</v>
      </c>
      <c r="Q16" s="13"/>
      <c r="R16" s="10">
        <f>SUM(R14:R15)</f>
        <v>0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37147</v>
      </c>
      <c r="J18" s="10">
        <f>ROUND(+G18*H18,0)</f>
        <v>6550</v>
      </c>
      <c r="K18" s="22">
        <v>0</v>
      </c>
      <c r="L18" s="14">
        <f>ROUND(+K18*H18,0)</f>
        <v>0</v>
      </c>
      <c r="M18" s="14"/>
      <c r="N18" s="25">
        <v>0</v>
      </c>
      <c r="O18" s="14">
        <f>ROUND(+H18*N18,0)</f>
        <v>0</v>
      </c>
      <c r="P18" s="14"/>
      <c r="Q18" s="24">
        <v>0</v>
      </c>
      <c r="R18" s="14">
        <f>ROUND(+O18,0)</f>
        <v>0</v>
      </c>
    </row>
    <row r="19" spans="1:20" ht="13.5" thickBot="1" x14ac:dyDescent="0.25">
      <c r="A19">
        <v>67693</v>
      </c>
      <c r="B19" s="1">
        <v>16</v>
      </c>
      <c r="H19" s="8">
        <f>+$B$2</f>
        <v>0.45</v>
      </c>
      <c r="I19" s="1" t="s">
        <v>51</v>
      </c>
      <c r="J19" s="16">
        <f>ROUND(+G18*H19,0)</f>
        <v>5359</v>
      </c>
      <c r="K19" s="19"/>
      <c r="L19" s="16">
        <f>ROUND(+K18*H19,0)</f>
        <v>0</v>
      </c>
      <c r="M19" s="16"/>
      <c r="N19" s="19"/>
      <c r="O19" s="18">
        <f>ROUND(+H19*N18,0)</f>
        <v>0</v>
      </c>
      <c r="P19" s="16"/>
      <c r="Q19" s="19"/>
      <c r="R19" s="23">
        <f>ROUND(+Q18-N18+O19,0)</f>
        <v>0</v>
      </c>
      <c r="S19" s="10">
        <f>+R19-O19</f>
        <v>0</v>
      </c>
      <c r="T19" t="s">
        <v>47</v>
      </c>
    </row>
    <row r="20" spans="1:20" x14ac:dyDescent="0.2">
      <c r="J20" s="14">
        <f>SUM(J18:J19)</f>
        <v>11909</v>
      </c>
      <c r="K20" s="13"/>
      <c r="L20" s="10">
        <f>SUM(L18:L19)</f>
        <v>0</v>
      </c>
      <c r="M20" s="14"/>
      <c r="N20" s="13"/>
      <c r="O20" s="10">
        <f>SUM(O18:O19)</f>
        <v>0</v>
      </c>
      <c r="P20" s="14"/>
      <c r="Q20" s="13"/>
      <c r="R20" s="10">
        <f>SUM(R18:R19)</f>
        <v>0</v>
      </c>
      <c r="S20" s="10">
        <f>+R20-Q18</f>
        <v>0</v>
      </c>
      <c r="T20" t="s">
        <v>46</v>
      </c>
    </row>
    <row r="22" spans="1:20" x14ac:dyDescent="0.2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0.55000000000000004</v>
      </c>
      <c r="I22" s="1">
        <v>37147</v>
      </c>
      <c r="J22" s="10">
        <f>ROUND(+G22*H22,0)</f>
        <v>984</v>
      </c>
      <c r="K22" s="22">
        <v>0</v>
      </c>
      <c r="L22" s="14">
        <f>ROUND(+K22*H22,0)</f>
        <v>0</v>
      </c>
      <c r="M22" s="14"/>
      <c r="N22" s="25">
        <v>0</v>
      </c>
      <c r="O22" s="14">
        <f>ROUND(+H22*N22,0)</f>
        <v>0</v>
      </c>
      <c r="P22" s="14"/>
      <c r="Q22" s="24">
        <v>0</v>
      </c>
      <c r="R22" s="14">
        <f>ROUND(+O22,0)</f>
        <v>0</v>
      </c>
    </row>
    <row r="23" spans="1:20" ht="13.5" thickBot="1" x14ac:dyDescent="0.25">
      <c r="A23">
        <v>67693</v>
      </c>
      <c r="B23" s="1">
        <v>17</v>
      </c>
      <c r="H23" s="8">
        <f>+$B$2</f>
        <v>0.45</v>
      </c>
      <c r="I23" s="1" t="s">
        <v>51</v>
      </c>
      <c r="J23" s="16">
        <f>ROUND(+G22*H23,0)</f>
        <v>805</v>
      </c>
      <c r="K23" s="19"/>
      <c r="L23" s="18">
        <f>ROUND(+K22*H23,0)</f>
        <v>0</v>
      </c>
      <c r="M23" s="18"/>
      <c r="N23" s="19"/>
      <c r="O23" s="18">
        <f>ROUND(+H23*N22,0)</f>
        <v>0</v>
      </c>
      <c r="P23" s="18"/>
      <c r="Q23" s="19"/>
      <c r="R23" s="23">
        <f>ROUND(+Q22-N22+O23,0)</f>
        <v>0</v>
      </c>
      <c r="S23" s="10">
        <f>+R23-O23</f>
        <v>0</v>
      </c>
      <c r="T23" t="s">
        <v>47</v>
      </c>
    </row>
    <row r="24" spans="1:20" x14ac:dyDescent="0.2">
      <c r="J24" s="10">
        <f>SUM(J22:J23)</f>
        <v>1789</v>
      </c>
      <c r="K24" s="13"/>
      <c r="L24" s="10">
        <f>SUM(L22:L23)</f>
        <v>0</v>
      </c>
      <c r="N24" s="13"/>
      <c r="O24" s="10">
        <f>SUM(O22:O23)</f>
        <v>0</v>
      </c>
      <c r="Q24" s="13"/>
      <c r="R24" s="10">
        <f>SUM(R22:R23)</f>
        <v>0</v>
      </c>
      <c r="S24" s="10">
        <f>+R24-Q22</f>
        <v>0</v>
      </c>
      <c r="T24" t="s">
        <v>46</v>
      </c>
    </row>
    <row r="26" spans="1:20" x14ac:dyDescent="0.2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0.55000000000000004</v>
      </c>
      <c r="I26" s="1">
        <v>37147</v>
      </c>
      <c r="J26" s="10">
        <f>ROUND(+G26*H26,0)</f>
        <v>784</v>
      </c>
      <c r="K26" s="22">
        <v>0</v>
      </c>
      <c r="L26" s="14">
        <f>ROUND(+K26*H26,0)</f>
        <v>0</v>
      </c>
      <c r="M26" s="14"/>
      <c r="N26" s="25">
        <v>0</v>
      </c>
      <c r="O26" s="14">
        <f>ROUND(+H26*N26,0)</f>
        <v>0</v>
      </c>
      <c r="P26" s="14"/>
      <c r="Q26" s="24">
        <v>0</v>
      </c>
      <c r="R26" s="14">
        <f>ROUND(+O26,0)</f>
        <v>0</v>
      </c>
    </row>
    <row r="27" spans="1:20" ht="13.5" thickBot="1" x14ac:dyDescent="0.25">
      <c r="A27">
        <v>67693</v>
      </c>
      <c r="B27" s="1">
        <v>18</v>
      </c>
      <c r="H27" s="8">
        <f>+$B$2</f>
        <v>0.45</v>
      </c>
      <c r="I27" s="1" t="s">
        <v>51</v>
      </c>
      <c r="J27" s="16">
        <f>ROUND(+G26*H27,0)</f>
        <v>641</v>
      </c>
      <c r="K27" s="19"/>
      <c r="L27" s="16">
        <f>ROUND(+K26*H27,0)</f>
        <v>0</v>
      </c>
      <c r="M27" s="16"/>
      <c r="N27" s="19"/>
      <c r="O27" s="18">
        <f>ROUND(+H27*N26,0)</f>
        <v>0</v>
      </c>
      <c r="P27" s="16"/>
      <c r="Q27" s="19"/>
      <c r="R27" s="23">
        <f>ROUND(+Q26-N26+O27,0)</f>
        <v>0</v>
      </c>
      <c r="S27" s="10">
        <f>+R27-O27</f>
        <v>0</v>
      </c>
      <c r="T27" t="s">
        <v>47</v>
      </c>
    </row>
    <row r="28" spans="1:20" x14ac:dyDescent="0.2">
      <c r="J28" s="10">
        <f>SUM(J26:J27)</f>
        <v>1425</v>
      </c>
      <c r="K28" s="13"/>
      <c r="L28" s="10">
        <f>SUM(L26:L27)</f>
        <v>0</v>
      </c>
      <c r="N28" s="13"/>
      <c r="O28" s="10">
        <f>SUM(O26:O27)</f>
        <v>0</v>
      </c>
      <c r="Q28" s="13"/>
      <c r="R28" s="10">
        <f>SUM(R26:R27)</f>
        <v>0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0.55000000000000004</v>
      </c>
      <c r="I30" s="1">
        <v>37147</v>
      </c>
      <c r="J30" s="10">
        <f>ROUND(+G30*H30,0)</f>
        <v>6247</v>
      </c>
      <c r="K30" s="22">
        <v>0</v>
      </c>
      <c r="L30" s="14">
        <f>ROUND(+K30*H30,0)</f>
        <v>0</v>
      </c>
      <c r="M30" s="14"/>
      <c r="N30" s="25">
        <v>0</v>
      </c>
      <c r="O30" s="14">
        <f>ROUND(+H30*N30,0)</f>
        <v>0</v>
      </c>
      <c r="P30" s="14"/>
      <c r="Q30" s="24">
        <v>0</v>
      </c>
      <c r="R30" s="14">
        <f>ROUND(+O30,0)</f>
        <v>0</v>
      </c>
    </row>
    <row r="31" spans="1:20" ht="13.5" thickBot="1" x14ac:dyDescent="0.25">
      <c r="A31">
        <v>67693</v>
      </c>
      <c r="B31" s="1">
        <v>19</v>
      </c>
      <c r="H31" s="8">
        <f>+$B$2</f>
        <v>0.45</v>
      </c>
      <c r="I31" s="1" t="s">
        <v>51</v>
      </c>
      <c r="J31" s="16">
        <f>ROUND(+G30*H31,0)</f>
        <v>5112</v>
      </c>
      <c r="K31" s="19"/>
      <c r="L31" s="16">
        <f>ROUND(+K30*H31,0)</f>
        <v>0</v>
      </c>
      <c r="M31" s="16"/>
      <c r="N31" s="19"/>
      <c r="O31" s="18">
        <f>ROUND(+H31*N30,0)</f>
        <v>0</v>
      </c>
      <c r="P31" s="16"/>
      <c r="Q31" s="19"/>
      <c r="R31" s="23">
        <f>ROUND(+Q30-N30+O31,0)</f>
        <v>0</v>
      </c>
      <c r="S31" s="10">
        <f>+R31-O31</f>
        <v>0</v>
      </c>
      <c r="T31" t="s">
        <v>47</v>
      </c>
    </row>
    <row r="32" spans="1:20" x14ac:dyDescent="0.2">
      <c r="J32" s="10">
        <f>SUM(J30:J31)</f>
        <v>11359</v>
      </c>
      <c r="K32" s="13"/>
      <c r="L32" s="10">
        <f>SUM(L30:L31)</f>
        <v>0</v>
      </c>
      <c r="N32" s="13"/>
      <c r="O32" s="10">
        <f>SUM(O30:O31)</f>
        <v>0</v>
      </c>
      <c r="Q32" s="13"/>
      <c r="R32" s="10">
        <f>SUM(R30:R31)</f>
        <v>0</v>
      </c>
      <c r="S32" s="10">
        <f>+R32-Q30</f>
        <v>0</v>
      </c>
      <c r="T32" t="s">
        <v>46</v>
      </c>
    </row>
    <row r="34" spans="1:20" ht="12" customHeight="1" x14ac:dyDescent="0.2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0.55000000000000004</v>
      </c>
      <c r="I34" s="1">
        <v>37147</v>
      </c>
      <c r="J34" s="10">
        <f>ROUND(+G34*H34,0)</f>
        <v>1040</v>
      </c>
      <c r="K34" s="22">
        <v>0</v>
      </c>
      <c r="L34" s="14">
        <f>ROUND(+K34*H34,0)</f>
        <v>0</v>
      </c>
      <c r="M34" s="14"/>
      <c r="N34" s="25">
        <v>0</v>
      </c>
      <c r="O34" s="14">
        <f>ROUND(+H34*N34,0)</f>
        <v>0</v>
      </c>
      <c r="P34" s="14"/>
      <c r="Q34" s="24">
        <v>0</v>
      </c>
      <c r="R34" s="14">
        <f>ROUND(+O34,0)</f>
        <v>0</v>
      </c>
    </row>
    <row r="35" spans="1:20" ht="12" customHeight="1" thickBot="1" x14ac:dyDescent="0.25">
      <c r="A35">
        <v>67693</v>
      </c>
      <c r="B35" s="1">
        <v>20</v>
      </c>
      <c r="H35" s="8">
        <f>+$B$2</f>
        <v>0.45</v>
      </c>
      <c r="I35" s="1" t="s">
        <v>51</v>
      </c>
      <c r="J35" s="16">
        <f>ROUND(+G34*H35,0)</f>
        <v>851</v>
      </c>
      <c r="K35" s="19"/>
      <c r="L35" s="16">
        <f>ROUND(+K34*H35,0)</f>
        <v>0</v>
      </c>
      <c r="M35" s="16"/>
      <c r="N35" s="19"/>
      <c r="O35" s="18">
        <f>ROUND(+H35*N34,0)</f>
        <v>0</v>
      </c>
      <c r="P35" s="16"/>
      <c r="Q35" s="19"/>
      <c r="R35" s="23">
        <f>ROUND(+Q34-N34+O35,0)</f>
        <v>0</v>
      </c>
      <c r="S35" s="10">
        <f>+R35-O35</f>
        <v>0</v>
      </c>
      <c r="T35" t="s">
        <v>47</v>
      </c>
    </row>
    <row r="36" spans="1:20" ht="12" customHeight="1" x14ac:dyDescent="0.2">
      <c r="J36" s="10">
        <f>SUM(J34:J35)</f>
        <v>1891</v>
      </c>
      <c r="K36" s="13"/>
      <c r="L36" s="10">
        <f>SUM(L34:L35)</f>
        <v>0</v>
      </c>
      <c r="N36" s="13"/>
      <c r="O36" s="10">
        <f>SUM(O34:O35)</f>
        <v>0</v>
      </c>
      <c r="Q36" s="13"/>
      <c r="R36" s="10">
        <f>SUM(R34:R35)</f>
        <v>0</v>
      </c>
      <c r="S36" s="10">
        <f>+R36-Q34</f>
        <v>0</v>
      </c>
      <c r="T36" t="s">
        <v>46</v>
      </c>
    </row>
    <row r="37" spans="1:20" ht="12" customHeight="1" x14ac:dyDescent="0.2"/>
    <row r="38" spans="1:20" x14ac:dyDescent="0.2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0.55000000000000004</v>
      </c>
      <c r="I38" s="1">
        <v>37147</v>
      </c>
      <c r="J38" s="10">
        <f>ROUND(+G38*H38,0)</f>
        <v>1100</v>
      </c>
      <c r="K38" s="22">
        <v>0</v>
      </c>
      <c r="L38" s="14">
        <f>ROUND(+K38*H38,0)</f>
        <v>0</v>
      </c>
      <c r="M38" s="14"/>
      <c r="N38" s="25">
        <v>0</v>
      </c>
      <c r="O38" s="14">
        <f>ROUND(+H38*N38,0)</f>
        <v>0</v>
      </c>
      <c r="P38" s="14"/>
      <c r="Q38" s="24">
        <v>0</v>
      </c>
      <c r="R38" s="14">
        <f>ROUND(+O38,0)</f>
        <v>0</v>
      </c>
    </row>
    <row r="39" spans="1:20" ht="13.5" thickBot="1" x14ac:dyDescent="0.25">
      <c r="A39">
        <v>67693</v>
      </c>
      <c r="B39" s="1">
        <v>21</v>
      </c>
      <c r="H39" s="8">
        <f>+$B$2</f>
        <v>0.45</v>
      </c>
      <c r="I39" s="1" t="s">
        <v>51</v>
      </c>
      <c r="J39" s="16">
        <f>ROUND(+G38*H39,0)-1</f>
        <v>899</v>
      </c>
      <c r="K39" s="19"/>
      <c r="L39" s="16">
        <f>ROUND(+K38*H39,0)</f>
        <v>0</v>
      </c>
      <c r="M39" s="16"/>
      <c r="N39" s="19"/>
      <c r="O39" s="18">
        <f>ROUND(+H39*N38,0)</f>
        <v>0</v>
      </c>
      <c r="P39" s="16"/>
      <c r="Q39" s="19"/>
      <c r="R39" s="23">
        <f>ROUND(+Q38-N38+O39,0)</f>
        <v>0</v>
      </c>
      <c r="S39" s="10">
        <f>+R39-O39</f>
        <v>0</v>
      </c>
      <c r="T39" t="s">
        <v>47</v>
      </c>
    </row>
    <row r="40" spans="1:20" x14ac:dyDescent="0.2">
      <c r="J40" s="10">
        <f>SUM(J38:J39)</f>
        <v>1999</v>
      </c>
      <c r="L40" s="10">
        <f>SUM(L38:L39)</f>
        <v>0</v>
      </c>
      <c r="O40" s="10">
        <f>SUM(O38:O39)</f>
        <v>0</v>
      </c>
      <c r="R40" s="10">
        <f>SUM(R38:R39)</f>
        <v>0</v>
      </c>
      <c r="S40" s="10">
        <f>+R40-Q38</f>
        <v>0</v>
      </c>
      <c r="T40" t="s">
        <v>46</v>
      </c>
    </row>
    <row r="42" spans="1:20" x14ac:dyDescent="0.2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0.55000000000000004</v>
      </c>
      <c r="I42" s="1">
        <v>37147</v>
      </c>
      <c r="J42" s="10">
        <f>ROUND(+G42*H42,0)</f>
        <v>1359</v>
      </c>
      <c r="K42" s="22">
        <v>0</v>
      </c>
      <c r="L42" s="14">
        <f>ROUND(+K42*H42,0)</f>
        <v>0</v>
      </c>
      <c r="M42" s="14"/>
      <c r="N42" s="25">
        <v>0</v>
      </c>
      <c r="O42" s="14">
        <f>ROUND(+H42*N42,0)</f>
        <v>0</v>
      </c>
      <c r="P42" s="14"/>
      <c r="Q42" s="24">
        <v>0</v>
      </c>
      <c r="R42" s="14">
        <f>ROUND(+O42,0)</f>
        <v>0</v>
      </c>
    </row>
    <row r="43" spans="1:20" ht="13.5" thickBot="1" x14ac:dyDescent="0.25">
      <c r="A43">
        <v>67693</v>
      </c>
      <c r="B43" s="1">
        <v>22</v>
      </c>
      <c r="H43" s="8">
        <f>+$B$2</f>
        <v>0.45</v>
      </c>
      <c r="I43" s="1" t="s">
        <v>51</v>
      </c>
      <c r="J43" s="16">
        <f>ROUND(+G42*H43,0)</f>
        <v>1112</v>
      </c>
      <c r="K43" s="19"/>
      <c r="L43" s="16">
        <f>ROUND(+K42*H43,0)</f>
        <v>0</v>
      </c>
      <c r="M43" s="16"/>
      <c r="N43" s="19"/>
      <c r="O43" s="18">
        <f>ROUND(+H43*N42,0)</f>
        <v>0</v>
      </c>
      <c r="P43" s="16"/>
      <c r="Q43" s="19"/>
      <c r="R43" s="23">
        <f>ROUND(+Q42-N42+O43,0)</f>
        <v>0</v>
      </c>
      <c r="S43" s="10">
        <f>+R43-O43</f>
        <v>0</v>
      </c>
      <c r="T43" t="s">
        <v>47</v>
      </c>
    </row>
    <row r="44" spans="1:20" x14ac:dyDescent="0.2">
      <c r="J44" s="10">
        <f>SUM(J42:J43)</f>
        <v>2471</v>
      </c>
      <c r="K44" s="13"/>
      <c r="L44" s="10">
        <f>SUM(L42:L43)</f>
        <v>0</v>
      </c>
      <c r="N44" s="13"/>
      <c r="O44" s="10">
        <f>SUM(O42:O43)</f>
        <v>0</v>
      </c>
      <c r="Q44" s="13"/>
      <c r="R44" s="10">
        <f>SUM(R42:R43)</f>
        <v>0</v>
      </c>
      <c r="S44" s="10">
        <f>+R44-Q42</f>
        <v>0</v>
      </c>
      <c r="T44" t="s">
        <v>46</v>
      </c>
    </row>
    <row r="46" spans="1:20" x14ac:dyDescent="0.2">
      <c r="A46">
        <v>67693</v>
      </c>
      <c r="B46" s="33">
        <v>12</v>
      </c>
      <c r="C46" t="s">
        <v>18</v>
      </c>
      <c r="D46" t="s">
        <v>44</v>
      </c>
      <c r="E46" s="1" t="s">
        <v>29</v>
      </c>
      <c r="F46" s="48">
        <v>1654</v>
      </c>
      <c r="G46" s="32">
        <v>1276</v>
      </c>
      <c r="H46" s="8">
        <f>+$B$1</f>
        <v>0.55000000000000004</v>
      </c>
      <c r="I46" s="1">
        <v>37147</v>
      </c>
      <c r="J46" s="10">
        <f>ROUND(+G46*H46,0)</f>
        <v>702</v>
      </c>
      <c r="K46" s="22">
        <v>0</v>
      </c>
      <c r="L46" s="14">
        <f>ROUND(+K46*H46,0)</f>
        <v>0</v>
      </c>
      <c r="M46" s="14"/>
      <c r="N46" s="25">
        <v>0</v>
      </c>
      <c r="O46" s="14">
        <f>ROUND(+H46*N46,0)</f>
        <v>0</v>
      </c>
      <c r="P46" s="14"/>
      <c r="Q46" s="24">
        <v>0</v>
      </c>
      <c r="R46" s="14">
        <f>ROUND(+O46,0)</f>
        <v>0</v>
      </c>
    </row>
    <row r="47" spans="1:20" ht="13.5" thickBot="1" x14ac:dyDescent="0.25">
      <c r="A47">
        <v>67693</v>
      </c>
      <c r="B47" s="33">
        <v>23</v>
      </c>
      <c r="G47" s="32"/>
      <c r="H47" s="8">
        <f>+$B$2</f>
        <v>0.45</v>
      </c>
      <c r="I47" s="1" t="s">
        <v>52</v>
      </c>
      <c r="J47" s="16">
        <f>ROUND(+G46*H47,0)</f>
        <v>574</v>
      </c>
      <c r="K47" s="19"/>
      <c r="L47" s="16">
        <f>ROUND(+K46*H47,0)</f>
        <v>0</v>
      </c>
      <c r="M47" s="16"/>
      <c r="N47" s="19"/>
      <c r="O47" s="18">
        <f>ROUND(+H47*N46,0)</f>
        <v>0</v>
      </c>
      <c r="P47" s="16"/>
      <c r="Q47" s="19"/>
      <c r="R47" s="23">
        <f>ROUND(+Q46-N46+O47,0)</f>
        <v>0</v>
      </c>
      <c r="S47" s="10">
        <f>+R47-O47</f>
        <v>0</v>
      </c>
      <c r="T47" t="s">
        <v>47</v>
      </c>
    </row>
    <row r="48" spans="1:20" x14ac:dyDescent="0.2">
      <c r="B48" s="33"/>
      <c r="G48" s="32"/>
      <c r="J48" s="15">
        <f>SUM(J46:J47)</f>
        <v>1276</v>
      </c>
      <c r="K48" s="20"/>
      <c r="L48" s="15">
        <f>SUM(L46:L47)</f>
        <v>0</v>
      </c>
      <c r="M48" s="15"/>
      <c r="N48" s="20"/>
      <c r="O48" s="10">
        <f>SUM(O46:O47)</f>
        <v>0</v>
      </c>
      <c r="P48" s="15"/>
      <c r="Q48" s="20"/>
      <c r="R48" s="10">
        <f>SUM(R46:R47)</f>
        <v>0</v>
      </c>
      <c r="S48" s="10">
        <f>+R48-Q46</f>
        <v>0</v>
      </c>
      <c r="T48" t="s">
        <v>46</v>
      </c>
    </row>
    <row r="50" spans="1:20" x14ac:dyDescent="0.2">
      <c r="A50">
        <v>67693</v>
      </c>
      <c r="B50" s="33">
        <v>14</v>
      </c>
      <c r="C50" t="s">
        <v>19</v>
      </c>
      <c r="D50" t="s">
        <v>45</v>
      </c>
      <c r="E50" s="1" t="s">
        <v>30</v>
      </c>
      <c r="F50" s="48">
        <v>33</v>
      </c>
      <c r="G50" s="32">
        <v>25</v>
      </c>
      <c r="H50" s="8">
        <f>+$B$1</f>
        <v>0.55000000000000004</v>
      </c>
      <c r="I50" s="1">
        <v>37147</v>
      </c>
      <c r="J50" s="10">
        <f>ROUND(+G50*H50,0)</f>
        <v>14</v>
      </c>
      <c r="K50" s="22">
        <v>0</v>
      </c>
      <c r="L50" s="14">
        <f>ROUND(+K50*H50,0)</f>
        <v>0</v>
      </c>
      <c r="M50" s="14"/>
      <c r="N50" s="25">
        <v>0</v>
      </c>
      <c r="O50" s="14">
        <f>ROUND(+H50*N50,0)</f>
        <v>0</v>
      </c>
      <c r="P50" s="14"/>
      <c r="Q50" s="24">
        <v>0</v>
      </c>
      <c r="R50" s="14">
        <f>ROUND(+O50,0)</f>
        <v>0</v>
      </c>
    </row>
    <row r="51" spans="1:20" ht="13.5" thickBot="1" x14ac:dyDescent="0.25">
      <c r="A51">
        <v>67693</v>
      </c>
      <c r="B51" s="33">
        <v>24</v>
      </c>
      <c r="H51" s="8">
        <f>+$B$2</f>
        <v>0.45</v>
      </c>
      <c r="I51" s="1" t="s">
        <v>52</v>
      </c>
      <c r="J51" s="16">
        <f>ROUND(+G50*H51,0)</f>
        <v>11</v>
      </c>
      <c r="K51" s="16"/>
      <c r="L51" s="16">
        <f>ROUND(+K50*H51,0)</f>
        <v>0</v>
      </c>
      <c r="M51" s="16"/>
      <c r="N51" s="16"/>
      <c r="O51" s="18">
        <f>ROUND(+H51*N50,0)</f>
        <v>0</v>
      </c>
      <c r="P51" s="16"/>
      <c r="Q51" s="16"/>
      <c r="R51" s="23">
        <f>ROUND(+Q50-N50+O51,0)</f>
        <v>0</v>
      </c>
      <c r="S51" s="10">
        <f>+R51-O51</f>
        <v>0</v>
      </c>
      <c r="T51" t="s">
        <v>47</v>
      </c>
    </row>
    <row r="52" spans="1:20" x14ac:dyDescent="0.2">
      <c r="B52" s="33"/>
      <c r="J52" s="10">
        <f>SUM(J50:J51)</f>
        <v>25</v>
      </c>
      <c r="L52" s="10">
        <f>SUM(L50:L51)</f>
        <v>0</v>
      </c>
      <c r="O52" s="10">
        <f>SUM(O50:O51)</f>
        <v>0</v>
      </c>
      <c r="R52" s="10">
        <f>SUM(R50:R51)</f>
        <v>0</v>
      </c>
      <c r="S52" s="10">
        <f>+R52-Q50</f>
        <v>0</v>
      </c>
      <c r="T52" t="s">
        <v>46</v>
      </c>
    </row>
    <row r="54" spans="1:20" x14ac:dyDescent="0.2">
      <c r="E54" t="s">
        <v>32</v>
      </c>
      <c r="F54" s="50">
        <f>SUM(F6:F52)</f>
        <v>54327</v>
      </c>
      <c r="G54">
        <f>SUM(G6:G52)</f>
        <v>43625</v>
      </c>
      <c r="K54" s="10">
        <f>SUM(K6:K52)</f>
        <v>0</v>
      </c>
      <c r="L54" s="28">
        <f>SUM(L8+L12+L16+L20+L24+L28+L32+L36+L40+L44+L48+L52)</f>
        <v>0</v>
      </c>
      <c r="N54" s="10">
        <f>SUM(N6:N52)</f>
        <v>0</v>
      </c>
      <c r="O54" s="28">
        <f>SUM(O8+O12+O16+O20+O24+O28+O32+O36+O40+O44+O48+O52)</f>
        <v>0</v>
      </c>
      <c r="Q54" s="10">
        <f>SUM(Q6:Q52)</f>
        <v>0</v>
      </c>
      <c r="R54" s="28">
        <f>SUM(R8+R12+R16+R20+R24+R28+R32+R36+R40+R44+R48+R52)</f>
        <v>0</v>
      </c>
    </row>
    <row r="57" spans="1:20" x14ac:dyDescent="0.2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221</v>
      </c>
      <c r="L57" s="10">
        <f>SUMIF($I$6:$I$51,"22STOW",$L$6:$L$51)</f>
        <v>0</v>
      </c>
      <c r="O57" s="10">
        <f>SUMIF($I$6:$I$51,"22STOW",$O$6:$O$51)</f>
        <v>0</v>
      </c>
      <c r="R57" s="10">
        <f>SUMIF($I$6:$I$51,"22STOW",$R$6:$R$51)</f>
        <v>0</v>
      </c>
    </row>
    <row r="58" spans="1:20" x14ac:dyDescent="0.2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4046</v>
      </c>
      <c r="L58" s="10">
        <f>SUMIF($I$6:$I$51,"23nSTOW",$L$6:$L$51)</f>
        <v>0</v>
      </c>
      <c r="O58" s="10">
        <f>SUMIF($I$6:$I$51,"23nSTOW",$O$6:$O$51)</f>
        <v>0</v>
      </c>
      <c r="R58" s="10">
        <f>SUMIF($I$6:$I$51,"23nSTOW",$R$6:$R$51)</f>
        <v>0</v>
      </c>
    </row>
    <row r="59" spans="1:20" x14ac:dyDescent="0.2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14779</v>
      </c>
      <c r="L59" s="10">
        <f>SUMIF($I$6:$I$51,"23STOW",$L$6:$L$51)</f>
        <v>0</v>
      </c>
      <c r="O59" s="10">
        <f>SUMIF($I$6:$I$51,"23STOW",$O$6:$O$51)</f>
        <v>0</v>
      </c>
      <c r="R59" s="10">
        <f>SUMIF($I$6:$I$51,"23STOW",$R$6:$R$51)</f>
        <v>0</v>
      </c>
    </row>
    <row r="60" spans="1:20" x14ac:dyDescent="0.2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585</v>
      </c>
      <c r="L60" s="10">
        <f>SUMIF($I$6:$I$51,"24STOW",$L$6:$L$51)</f>
        <v>0</v>
      </c>
      <c r="O60" s="10">
        <f>SUMIF($I$6:$I$51,"24STOW",$O$6:$O$51)</f>
        <v>0</v>
      </c>
      <c r="R60" s="10">
        <f>SUMIF($I$6:$I$51,"24STOW",$R$6:$R$51)</f>
        <v>0</v>
      </c>
    </row>
    <row r="62" spans="1:20" x14ac:dyDescent="0.2">
      <c r="A62">
        <v>63281</v>
      </c>
      <c r="B62" s="1">
        <v>52</v>
      </c>
      <c r="E62"/>
      <c r="F62" s="50"/>
      <c r="I62" s="1" t="s">
        <v>53</v>
      </c>
      <c r="J62" s="10">
        <f>SUM(J57:J60)</f>
        <v>19631</v>
      </c>
      <c r="L62" s="10">
        <f>SUM(L57:L60)</f>
        <v>0</v>
      </c>
      <c r="O62" s="10">
        <f>SUM(O57:O60)</f>
        <v>0</v>
      </c>
      <c r="R62" s="10">
        <f>SUM(R57:R60)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pageSetUpPr fitToPage="1"/>
  </sheetPr>
  <dimension ref="A1:AI42"/>
  <sheetViews>
    <sheetView tabSelected="1" workbookViewId="0">
      <pane xSplit="1" ySplit="3" topLeftCell="Q15" activePane="bottomRight" state="frozen"/>
      <selection pane="topRight" activeCell="B1" sqref="B1"/>
      <selection pane="bottomLeft" activeCell="A3" sqref="A3"/>
      <selection pane="bottomRight" activeCell="AA44" sqref="AA44"/>
    </sheetView>
  </sheetViews>
  <sheetFormatPr defaultRowHeight="12.75" x14ac:dyDescent="0.2"/>
  <cols>
    <col min="1" max="1" width="9.28515625" bestFit="1" customWidth="1"/>
    <col min="2" max="2" width="11" bestFit="1" customWidth="1"/>
    <col min="5" max="9" width="9.28515625" bestFit="1" customWidth="1"/>
    <col min="10" max="10" width="2" style="77" customWidth="1"/>
    <col min="11" max="15" width="9.28515625" bestFit="1" customWidth="1"/>
    <col min="16" max="16" width="1.7109375" style="77" customWidth="1"/>
    <col min="17" max="17" width="9.28515625" bestFit="1" customWidth="1"/>
    <col min="19" max="20" width="9.28515625" bestFit="1" customWidth="1"/>
    <col min="21" max="21" width="2" style="77" customWidth="1"/>
    <col min="22" max="23" width="9.28515625" bestFit="1" customWidth="1"/>
    <col min="25" max="25" width="9.28515625" bestFit="1" customWidth="1"/>
    <col min="26" max="26" width="1.5703125" style="77" customWidth="1"/>
    <col min="27" max="27" width="9.28515625" bestFit="1" customWidth="1"/>
    <col min="28" max="28" width="10.140625" bestFit="1" customWidth="1"/>
    <col min="29" max="29" width="2.28515625" style="77" customWidth="1"/>
    <col min="33" max="33" width="2.28515625" style="77" customWidth="1"/>
    <col min="35" max="35" width="9.5703125" bestFit="1" customWidth="1"/>
  </cols>
  <sheetData>
    <row r="1" spans="1:35" ht="13.5" thickBot="1" x14ac:dyDescent="0.25">
      <c r="P1" s="74"/>
      <c r="Q1" s="93" t="s">
        <v>117</v>
      </c>
      <c r="R1" s="94"/>
      <c r="S1" s="94"/>
      <c r="T1" s="93"/>
      <c r="U1" s="74"/>
      <c r="V1" s="93" t="s">
        <v>118</v>
      </c>
      <c r="W1" s="94"/>
      <c r="X1" s="94"/>
      <c r="Y1" s="94"/>
      <c r="Z1" s="88"/>
      <c r="AA1" s="95" t="s">
        <v>119</v>
      </c>
      <c r="AB1" s="94"/>
      <c r="AC1" s="74"/>
      <c r="AG1" s="74"/>
    </row>
    <row r="2" spans="1:35" x14ac:dyDescent="0.2">
      <c r="B2" s="92" t="s">
        <v>104</v>
      </c>
      <c r="C2" s="92"/>
      <c r="D2" s="92"/>
      <c r="E2" s="92"/>
      <c r="F2" s="92"/>
      <c r="G2" s="92"/>
      <c r="H2" s="92"/>
      <c r="I2" s="71"/>
      <c r="J2" s="78"/>
      <c r="K2" s="46" t="s">
        <v>105</v>
      </c>
      <c r="L2" s="46" t="s">
        <v>106</v>
      </c>
      <c r="M2" s="46" t="s">
        <v>32</v>
      </c>
      <c r="N2" s="73" t="s">
        <v>92</v>
      </c>
      <c r="Q2" s="46" t="s">
        <v>94</v>
      </c>
      <c r="R2" s="46" t="s">
        <v>95</v>
      </c>
      <c r="S2" s="46" t="s">
        <v>96</v>
      </c>
      <c r="T2" s="46" t="s">
        <v>32</v>
      </c>
      <c r="U2" s="89"/>
      <c r="V2" s="46" t="s">
        <v>96</v>
      </c>
      <c r="W2" s="46" t="s">
        <v>100</v>
      </c>
      <c r="X2" s="46" t="s">
        <v>101</v>
      </c>
      <c r="Y2" s="46" t="s">
        <v>32</v>
      </c>
      <c r="Z2" s="89"/>
      <c r="AA2" s="46" t="s">
        <v>102</v>
      </c>
      <c r="AB2" s="46" t="s">
        <v>111</v>
      </c>
      <c r="AD2" s="46" t="s">
        <v>95</v>
      </c>
      <c r="AE2" s="46" t="s">
        <v>95</v>
      </c>
      <c r="AF2" s="46" t="s">
        <v>95</v>
      </c>
      <c r="AH2" s="46" t="s">
        <v>96</v>
      </c>
      <c r="AI2" s="46" t="s">
        <v>96</v>
      </c>
    </row>
    <row r="3" spans="1:35" s="70" customFormat="1" x14ac:dyDescent="0.2">
      <c r="A3" s="70" t="s">
        <v>88</v>
      </c>
      <c r="B3" s="72" t="s">
        <v>89</v>
      </c>
      <c r="C3" s="72" t="s">
        <v>41</v>
      </c>
      <c r="D3" s="72" t="s">
        <v>129</v>
      </c>
      <c r="E3" s="72" t="s">
        <v>107</v>
      </c>
      <c r="F3" s="72" t="s">
        <v>90</v>
      </c>
      <c r="G3" s="72" t="s">
        <v>97</v>
      </c>
      <c r="H3" s="72" t="s">
        <v>98</v>
      </c>
      <c r="I3" s="72" t="s">
        <v>99</v>
      </c>
      <c r="J3" s="79"/>
      <c r="K3" s="70" t="s">
        <v>89</v>
      </c>
      <c r="L3" s="70" t="s">
        <v>89</v>
      </c>
      <c r="M3" s="70" t="s">
        <v>89</v>
      </c>
      <c r="N3" s="70" t="s">
        <v>89</v>
      </c>
      <c r="O3" s="70" t="s">
        <v>91</v>
      </c>
      <c r="P3" s="75"/>
      <c r="Q3" s="70" t="s">
        <v>33</v>
      </c>
      <c r="R3" s="70" t="s">
        <v>33</v>
      </c>
      <c r="S3" s="70" t="s">
        <v>33</v>
      </c>
      <c r="T3" s="70" t="s">
        <v>33</v>
      </c>
      <c r="U3" s="75"/>
      <c r="V3" s="70" t="s">
        <v>53</v>
      </c>
      <c r="W3" s="70" t="s">
        <v>53</v>
      </c>
      <c r="X3" s="70" t="s">
        <v>53</v>
      </c>
      <c r="Y3" s="70" t="s">
        <v>53</v>
      </c>
      <c r="Z3" s="75"/>
      <c r="AA3" s="70" t="s">
        <v>103</v>
      </c>
      <c r="AB3" s="70" t="s">
        <v>103</v>
      </c>
      <c r="AC3" s="75"/>
      <c r="AD3" s="70" t="s">
        <v>33</v>
      </c>
      <c r="AE3" s="70" t="s">
        <v>120</v>
      </c>
      <c r="AF3" s="70" t="s">
        <v>122</v>
      </c>
      <c r="AG3" s="75"/>
      <c r="AH3" s="70" t="s">
        <v>121</v>
      </c>
      <c r="AI3" s="70" t="s">
        <v>111</v>
      </c>
    </row>
    <row r="4" spans="1:35" x14ac:dyDescent="0.2">
      <c r="A4" s="69">
        <v>36617</v>
      </c>
      <c r="B4" s="10">
        <f>+'Apr 1'!R54+89</f>
        <v>30299</v>
      </c>
      <c r="C4" s="10">
        <v>0</v>
      </c>
      <c r="D4" s="10"/>
      <c r="E4" s="10">
        <v>0</v>
      </c>
      <c r="F4" s="10">
        <v>0</v>
      </c>
      <c r="G4" s="10">
        <f t="shared" ref="G4:G15" si="0">SUM(B4:F4)</f>
        <v>30299</v>
      </c>
      <c r="H4" s="10">
        <f>+'Apr 1'!L54</f>
        <v>38986</v>
      </c>
      <c r="I4" s="10">
        <f>+H4-G4</f>
        <v>8687</v>
      </c>
      <c r="J4" s="76"/>
      <c r="K4" s="10">
        <f>110+89+307+558</f>
        <v>1064</v>
      </c>
      <c r="L4" s="10">
        <f>3381+3000</f>
        <v>6381</v>
      </c>
      <c r="M4" s="10">
        <f>+B4+K4+L4</f>
        <v>37744</v>
      </c>
      <c r="N4" s="10">
        <v>54327</v>
      </c>
      <c r="O4" s="10">
        <v>0</v>
      </c>
      <c r="P4" s="76"/>
      <c r="Q4" s="13">
        <f>+'Apr 1'!Q62+92</f>
        <v>11052.37458084567</v>
      </c>
      <c r="R4" s="13"/>
      <c r="S4" s="13"/>
      <c r="T4" s="10">
        <f>SUM(Q4:S4)</f>
        <v>11052.37458084567</v>
      </c>
      <c r="U4" s="76"/>
      <c r="V4" s="13">
        <v>33340</v>
      </c>
      <c r="W4" s="13">
        <v>22902</v>
      </c>
      <c r="X4" s="13">
        <v>0</v>
      </c>
      <c r="Y4" s="10">
        <f>SUM(V4:X4)</f>
        <v>56242</v>
      </c>
      <c r="Z4" s="76"/>
      <c r="AA4" s="10">
        <f>(+Y4-T4)*0.9983</f>
        <v>45112.80305594176</v>
      </c>
      <c r="AB4" s="10">
        <f>+AA4</f>
        <v>45112.80305594176</v>
      </c>
      <c r="AD4" s="10">
        <f>+Q4+R4</f>
        <v>11052.37458084567</v>
      </c>
      <c r="AE4" s="10">
        <v>20520</v>
      </c>
      <c r="AF4" s="10">
        <f>+AD4+AE4</f>
        <v>31572.37458084567</v>
      </c>
      <c r="AH4" s="10">
        <f>+AA4-AE4</f>
        <v>24592.80305594176</v>
      </c>
      <c r="AI4" s="10">
        <f>+AH4</f>
        <v>24592.80305594176</v>
      </c>
    </row>
    <row r="5" spans="1:35" x14ac:dyDescent="0.2">
      <c r="A5" s="69">
        <v>36618</v>
      </c>
      <c r="B5" s="10">
        <f>+'Apr 2'!R54</f>
        <v>37204</v>
      </c>
      <c r="C5" s="10">
        <v>0</v>
      </c>
      <c r="D5" s="10"/>
      <c r="E5" s="10">
        <v>0</v>
      </c>
      <c r="F5" s="10">
        <v>0</v>
      </c>
      <c r="G5" s="10">
        <f t="shared" si="0"/>
        <v>37204</v>
      </c>
      <c r="H5" s="10">
        <f>+'Apr 2'!L54</f>
        <v>37908</v>
      </c>
      <c r="I5" s="10">
        <f t="shared" ref="I5:I33" si="1">+H5-G5</f>
        <v>704</v>
      </c>
      <c r="J5" s="76"/>
      <c r="K5" s="10">
        <f>110+89+307+587</f>
        <v>1093</v>
      </c>
      <c r="L5" s="10">
        <f>6281+3000</f>
        <v>9281</v>
      </c>
      <c r="M5" s="10">
        <f t="shared" ref="M5:M30" si="2">+B5+K5+L5</f>
        <v>47578</v>
      </c>
      <c r="N5" s="10">
        <v>54327</v>
      </c>
      <c r="O5" s="10">
        <v>0</v>
      </c>
      <c r="P5" s="76"/>
      <c r="Q5" s="13">
        <f>+'Apr 2'!Q62</f>
        <v>16720.16847959434</v>
      </c>
      <c r="R5" s="13"/>
      <c r="S5" s="13"/>
      <c r="T5" s="10">
        <f t="shared" ref="T5:T33" si="3">SUM(Q5:S5)</f>
        <v>16720.16847959434</v>
      </c>
      <c r="U5" s="76"/>
      <c r="V5" s="13">
        <v>33262</v>
      </c>
      <c r="W5" s="13">
        <v>22902</v>
      </c>
      <c r="X5" s="13">
        <v>0</v>
      </c>
      <c r="Y5" s="10">
        <f t="shared" ref="Y5:Y33" si="4">SUM(V5:X5)</f>
        <v>56164</v>
      </c>
      <c r="Z5" s="76"/>
      <c r="AA5" s="10">
        <f t="shared" ref="AA5:AA30" si="5">(+Y5-T5)*0.9983</f>
        <v>39376.777006820965</v>
      </c>
      <c r="AB5" s="10">
        <f>+AB4+AA5</f>
        <v>84489.580062762718</v>
      </c>
      <c r="AD5" s="10">
        <f t="shared" ref="AD5:AD30" si="6">+Q5+R5</f>
        <v>16720.16847959434</v>
      </c>
      <c r="AE5" s="10">
        <v>20520</v>
      </c>
      <c r="AF5" s="10">
        <f t="shared" ref="AF5:AF30" si="7">+AD5+AE5</f>
        <v>37240.168479594344</v>
      </c>
      <c r="AH5" s="10">
        <f t="shared" ref="AH5:AH30" si="8">+AA5-AE5</f>
        <v>18856.777006820965</v>
      </c>
      <c r="AI5" s="10">
        <f>+AI4+AH5</f>
        <v>43449.580062762725</v>
      </c>
    </row>
    <row r="6" spans="1:35" x14ac:dyDescent="0.2">
      <c r="A6" s="69">
        <v>36619</v>
      </c>
      <c r="B6" s="10">
        <f>+'Apr 3 intra-day'!R66</f>
        <v>21096</v>
      </c>
      <c r="C6" s="10">
        <f>+'Apr 3 intra-day'!R67</f>
        <v>20000</v>
      </c>
      <c r="D6" s="10"/>
      <c r="E6" s="10">
        <v>0</v>
      </c>
      <c r="F6" s="10">
        <v>0</v>
      </c>
      <c r="G6" s="10">
        <f t="shared" si="0"/>
        <v>41096</v>
      </c>
      <c r="H6" s="10">
        <f>+'Apr 3 intra-day'!L56</f>
        <v>41897</v>
      </c>
      <c r="I6" s="10">
        <f t="shared" si="1"/>
        <v>801</v>
      </c>
      <c r="J6" s="76"/>
      <c r="K6" s="10">
        <f>110+89+307+554</f>
        <v>1060</v>
      </c>
      <c r="L6" s="10">
        <f>3000</f>
        <v>3000</v>
      </c>
      <c r="M6" s="10">
        <f t="shared" si="2"/>
        <v>25156</v>
      </c>
      <c r="N6" s="10">
        <v>54327</v>
      </c>
      <c r="O6" s="10">
        <v>0</v>
      </c>
      <c r="P6" s="76"/>
      <c r="Q6" s="13">
        <f>+'Apr 3 intra-day'!Q64-2</f>
        <v>2414.7825304653634</v>
      </c>
      <c r="R6" s="13"/>
      <c r="S6" s="13"/>
      <c r="T6" s="10">
        <f t="shared" si="3"/>
        <v>2414.7825304653634</v>
      </c>
      <c r="U6" s="76"/>
      <c r="V6" s="13">
        <v>52436</v>
      </c>
      <c r="W6" s="13">
        <v>2902</v>
      </c>
      <c r="X6" s="13">
        <v>0</v>
      </c>
      <c r="Y6" s="10">
        <f t="shared" si="4"/>
        <v>55338</v>
      </c>
      <c r="Z6" s="76"/>
      <c r="AA6" s="10">
        <f t="shared" si="5"/>
        <v>52833.247999836422</v>
      </c>
      <c r="AB6" s="10">
        <f t="shared" ref="AB6:AB33" si="9">+AB5+AA6</f>
        <v>137322.82806259915</v>
      </c>
      <c r="AD6" s="10">
        <f t="shared" si="6"/>
        <v>2414.7825304653634</v>
      </c>
      <c r="AE6" s="10">
        <v>20520</v>
      </c>
      <c r="AF6" s="10">
        <f t="shared" si="7"/>
        <v>22934.782530465363</v>
      </c>
      <c r="AH6" s="10">
        <f t="shared" si="8"/>
        <v>32313.247999836422</v>
      </c>
      <c r="AI6" s="10">
        <f t="shared" ref="AI6:AI30" si="10">+AI5+AH6</f>
        <v>75762.828062599147</v>
      </c>
    </row>
    <row r="7" spans="1:35" x14ac:dyDescent="0.2">
      <c r="A7" s="69">
        <v>36620</v>
      </c>
      <c r="B7" s="10">
        <f>+'April 4'!R68</f>
        <v>57981</v>
      </c>
      <c r="C7" s="10">
        <f>+'April 4'!R69</f>
        <v>0</v>
      </c>
      <c r="D7" s="10"/>
      <c r="E7" s="10">
        <f>+'April 4'!R70</f>
        <v>25589</v>
      </c>
      <c r="F7" s="10">
        <v>0</v>
      </c>
      <c r="G7" s="10">
        <f t="shared" si="0"/>
        <v>83570</v>
      </c>
      <c r="H7" s="10">
        <f>+'April 4'!L56</f>
        <v>76971</v>
      </c>
      <c r="I7" s="10">
        <f t="shared" si="1"/>
        <v>-6599</v>
      </c>
      <c r="J7" s="76"/>
      <c r="K7" s="10">
        <f>110+89+307+554</f>
        <v>1060</v>
      </c>
      <c r="L7" s="10">
        <v>0</v>
      </c>
      <c r="M7" s="10">
        <f t="shared" si="2"/>
        <v>59041</v>
      </c>
      <c r="N7" s="10">
        <v>54327</v>
      </c>
      <c r="O7" s="10">
        <f>+N7-M7</f>
        <v>-4714</v>
      </c>
      <c r="P7" s="76"/>
      <c r="Q7" s="13">
        <f>+'April 4'!Q64-1</f>
        <v>38218.718655434692</v>
      </c>
      <c r="R7" s="13"/>
      <c r="S7" s="13"/>
      <c r="T7" s="10">
        <f t="shared" si="3"/>
        <v>38218.718655434692</v>
      </c>
      <c r="U7" s="76"/>
      <c r="V7" s="13">
        <v>46449</v>
      </c>
      <c r="W7" s="13">
        <v>0</v>
      </c>
      <c r="X7" s="13">
        <v>0</v>
      </c>
      <c r="Y7" s="10">
        <f t="shared" si="4"/>
        <v>46449</v>
      </c>
      <c r="Z7" s="76"/>
      <c r="AA7" s="10">
        <f t="shared" si="5"/>
        <v>8216.2898662795469</v>
      </c>
      <c r="AB7" s="10">
        <f t="shared" si="9"/>
        <v>145539.1179288787</v>
      </c>
      <c r="AD7" s="10">
        <f t="shared" si="6"/>
        <v>38218.718655434692</v>
      </c>
      <c r="AE7" s="10">
        <v>20520</v>
      </c>
      <c r="AF7" s="10">
        <f t="shared" si="7"/>
        <v>58738.718655434692</v>
      </c>
      <c r="AH7" s="10">
        <f t="shared" si="8"/>
        <v>-12303.710133720453</v>
      </c>
      <c r="AI7" s="10">
        <f t="shared" si="10"/>
        <v>63459.117928878695</v>
      </c>
    </row>
    <row r="8" spans="1:35" x14ac:dyDescent="0.2">
      <c r="A8" s="69">
        <v>36621</v>
      </c>
      <c r="B8" s="10">
        <f>+'April 5'!R69</f>
        <v>41566</v>
      </c>
      <c r="C8" s="10">
        <f>+'April 5'!R70</f>
        <v>0</v>
      </c>
      <c r="D8" s="10"/>
      <c r="E8" s="10">
        <f>+'April 5'!R71</f>
        <v>0</v>
      </c>
      <c r="F8" s="10">
        <f>+'April 5'!R19+'April 5'!R32</f>
        <v>8000</v>
      </c>
      <c r="G8" s="10">
        <f t="shared" si="0"/>
        <v>49566</v>
      </c>
      <c r="H8" s="10">
        <f>+'April 5'!L56</f>
        <v>55556</v>
      </c>
      <c r="I8" s="10">
        <f t="shared" si="1"/>
        <v>5990</v>
      </c>
      <c r="J8" s="76"/>
      <c r="K8" s="10">
        <f>110+89+307+548</f>
        <v>1054</v>
      </c>
      <c r="L8" s="10">
        <v>6281</v>
      </c>
      <c r="M8" s="10">
        <f t="shared" si="2"/>
        <v>48901</v>
      </c>
      <c r="N8" s="10">
        <v>54327</v>
      </c>
      <c r="O8" s="10">
        <v>0</v>
      </c>
      <c r="P8" s="76"/>
      <c r="Q8" s="13">
        <f>+'April 5'!Q64+1</f>
        <v>19434.426024372289</v>
      </c>
      <c r="R8" s="13"/>
      <c r="S8" s="13">
        <f>15171+431</f>
        <v>15602</v>
      </c>
      <c r="T8" s="10">
        <f t="shared" si="3"/>
        <v>35036.426024372289</v>
      </c>
      <c r="U8" s="76"/>
      <c r="V8" s="13">
        <v>34455</v>
      </c>
      <c r="W8" s="13">
        <v>21843</v>
      </c>
      <c r="X8" s="13">
        <v>0</v>
      </c>
      <c r="Y8" s="10">
        <f t="shared" si="4"/>
        <v>56298</v>
      </c>
      <c r="Z8" s="76"/>
      <c r="AA8" s="10">
        <f t="shared" si="5"/>
        <v>21225.429299869142</v>
      </c>
      <c r="AB8" s="10">
        <f t="shared" si="9"/>
        <v>166764.54722874783</v>
      </c>
      <c r="AD8" s="10">
        <f t="shared" si="6"/>
        <v>19434.426024372289</v>
      </c>
      <c r="AE8" s="10">
        <v>20520</v>
      </c>
      <c r="AF8" s="10">
        <f t="shared" si="7"/>
        <v>39954.426024372289</v>
      </c>
      <c r="AH8" s="10">
        <f t="shared" si="8"/>
        <v>705.42929986914169</v>
      </c>
      <c r="AI8" s="10">
        <f t="shared" si="10"/>
        <v>64164.547228747833</v>
      </c>
    </row>
    <row r="9" spans="1:35" x14ac:dyDescent="0.2">
      <c r="A9" s="69">
        <v>36622</v>
      </c>
      <c r="B9" s="10">
        <f>+'April 6'!R67</f>
        <v>42494</v>
      </c>
      <c r="C9" s="10">
        <f>+'April 6'!R68</f>
        <v>0</v>
      </c>
      <c r="D9" s="10"/>
      <c r="E9" s="10">
        <f>+'April 6'!R69</f>
        <v>0</v>
      </c>
      <c r="F9" s="10">
        <v>0</v>
      </c>
      <c r="G9" s="10">
        <f t="shared" si="0"/>
        <v>42494</v>
      </c>
      <c r="H9" s="10">
        <f>+'April 6'!L54</f>
        <v>43990</v>
      </c>
      <c r="I9" s="10">
        <f t="shared" si="1"/>
        <v>1496</v>
      </c>
      <c r="J9" s="76"/>
      <c r="K9" s="10">
        <f>110+89+307+548</f>
        <v>1054</v>
      </c>
      <c r="L9" s="10">
        <v>6281</v>
      </c>
      <c r="M9" s="10">
        <f t="shared" si="2"/>
        <v>49829</v>
      </c>
      <c r="N9" s="10">
        <v>54327</v>
      </c>
      <c r="O9" s="10">
        <v>0</v>
      </c>
      <c r="P9" s="76"/>
      <c r="Q9" s="13">
        <f>+'April 6'!Q62-2</f>
        <v>20950.604890815408</v>
      </c>
      <c r="R9" s="13"/>
      <c r="S9" s="13"/>
      <c r="T9" s="10">
        <f t="shared" si="3"/>
        <v>20950.604890815408</v>
      </c>
      <c r="U9" s="76"/>
      <c r="V9" s="13">
        <f>41374</f>
        <v>41374</v>
      </c>
      <c r="W9" s="13">
        <v>22519</v>
      </c>
      <c r="X9" s="13">
        <v>0</v>
      </c>
      <c r="Y9" s="10">
        <f t="shared" si="4"/>
        <v>63893</v>
      </c>
      <c r="Z9" s="76"/>
      <c r="AA9" s="10">
        <f t="shared" si="5"/>
        <v>42869.39303749898</v>
      </c>
      <c r="AB9" s="10">
        <f t="shared" si="9"/>
        <v>209633.94026624682</v>
      </c>
      <c r="AD9" s="10">
        <f t="shared" si="6"/>
        <v>20950.604890815408</v>
      </c>
      <c r="AE9" s="10">
        <v>20520</v>
      </c>
      <c r="AF9" s="10">
        <f t="shared" si="7"/>
        <v>41470.604890815404</v>
      </c>
      <c r="AH9" s="10">
        <f t="shared" si="8"/>
        <v>22349.39303749898</v>
      </c>
      <c r="AI9" s="10">
        <f t="shared" si="10"/>
        <v>86513.94026624682</v>
      </c>
    </row>
    <row r="10" spans="1:35" x14ac:dyDescent="0.2">
      <c r="A10" s="69">
        <v>36623</v>
      </c>
      <c r="B10" s="10">
        <f>+'April 7'!R68</f>
        <v>52536</v>
      </c>
      <c r="C10" s="10">
        <f>+'April 7'!R69</f>
        <v>0</v>
      </c>
      <c r="D10" s="10"/>
      <c r="E10" s="10">
        <f>+'April 7'!R70</f>
        <v>0</v>
      </c>
      <c r="F10" s="10">
        <v>0</v>
      </c>
      <c r="G10" s="10">
        <f t="shared" si="0"/>
        <v>52536</v>
      </c>
      <c r="H10" s="10">
        <f>+'April 7'!L55</f>
        <v>43244</v>
      </c>
      <c r="I10" s="10">
        <f t="shared" si="1"/>
        <v>-9292</v>
      </c>
      <c r="J10" s="76"/>
      <c r="K10" s="10">
        <f>110+89+307+548</f>
        <v>1054</v>
      </c>
      <c r="L10" s="10">
        <v>0</v>
      </c>
      <c r="M10" s="10">
        <f t="shared" si="2"/>
        <v>53590</v>
      </c>
      <c r="N10" s="10">
        <v>54327</v>
      </c>
      <c r="O10" s="10">
        <v>0</v>
      </c>
      <c r="P10" s="76"/>
      <c r="Q10" s="13">
        <f>+'April 7'!Q63+1</f>
        <v>31674.754804939887</v>
      </c>
      <c r="R10" s="13"/>
      <c r="S10" s="13"/>
      <c r="T10" s="10">
        <f t="shared" si="3"/>
        <v>31674.754804939887</v>
      </c>
      <c r="U10" s="76"/>
      <c r="V10" s="13">
        <v>27435</v>
      </c>
      <c r="W10" s="13">
        <v>23568</v>
      </c>
      <c r="X10" s="13">
        <v>0</v>
      </c>
      <c r="Y10" s="10">
        <f t="shared" si="4"/>
        <v>51003</v>
      </c>
      <c r="Z10" s="76"/>
      <c r="AA10" s="10">
        <f t="shared" si="5"/>
        <v>19295.38717822851</v>
      </c>
      <c r="AB10" s="10">
        <f t="shared" si="9"/>
        <v>228929.32744447532</v>
      </c>
      <c r="AD10" s="10">
        <f t="shared" si="6"/>
        <v>31674.754804939887</v>
      </c>
      <c r="AE10" s="10">
        <v>20520</v>
      </c>
      <c r="AF10" s="10">
        <f t="shared" si="7"/>
        <v>52194.75480493989</v>
      </c>
      <c r="AH10" s="10">
        <f t="shared" si="8"/>
        <v>-1224.6128217714904</v>
      </c>
      <c r="AI10" s="10">
        <f t="shared" si="10"/>
        <v>85289.327444475333</v>
      </c>
    </row>
    <row r="11" spans="1:35" x14ac:dyDescent="0.2">
      <c r="A11" s="69">
        <v>36624</v>
      </c>
      <c r="B11" s="10">
        <f>+'April 8'!R72</f>
        <v>60283</v>
      </c>
      <c r="C11" s="10">
        <f>+'April 8'!R73</f>
        <v>0</v>
      </c>
      <c r="D11" s="10"/>
      <c r="E11" s="10">
        <f>+'April 8'!R74</f>
        <v>22226</v>
      </c>
      <c r="F11" s="10">
        <f>+'April 8'!R21+'April 8'!R35</f>
        <v>8000</v>
      </c>
      <c r="G11" s="10">
        <f t="shared" si="0"/>
        <v>90509</v>
      </c>
      <c r="H11" s="10">
        <f>+'April 8'!L59</f>
        <v>83062</v>
      </c>
      <c r="I11" s="10">
        <f t="shared" si="1"/>
        <v>-7447</v>
      </c>
      <c r="J11" s="76"/>
      <c r="K11" s="10">
        <f>110+89+307+548</f>
        <v>1054</v>
      </c>
      <c r="L11" s="10">
        <v>0</v>
      </c>
      <c r="M11" s="10">
        <f t="shared" si="2"/>
        <v>61337</v>
      </c>
      <c r="N11" s="10">
        <v>54327</v>
      </c>
      <c r="O11" s="10">
        <f>+N11-M11</f>
        <v>-7010</v>
      </c>
      <c r="P11" s="76"/>
      <c r="Q11" s="13">
        <f>+'April 8'!Q67</f>
        <v>41840.803140590499</v>
      </c>
      <c r="R11" s="13"/>
      <c r="S11" s="13"/>
      <c r="T11" s="10">
        <f t="shared" si="3"/>
        <v>41840.803140590499</v>
      </c>
      <c r="U11" s="76"/>
      <c r="V11" s="13">
        <f>27970</f>
        <v>27970</v>
      </c>
      <c r="W11" s="13">
        <v>0</v>
      </c>
      <c r="X11" s="13">
        <v>32973</v>
      </c>
      <c r="Y11" s="10">
        <f t="shared" si="4"/>
        <v>60943</v>
      </c>
      <c r="Z11" s="76"/>
      <c r="AA11" s="10">
        <f>(+Y11-T11)*0.9983-1</f>
        <v>19068.723124748503</v>
      </c>
      <c r="AB11" s="10">
        <f t="shared" si="9"/>
        <v>247998.05056922382</v>
      </c>
      <c r="AD11" s="10">
        <f t="shared" si="6"/>
        <v>41840.803140590499</v>
      </c>
      <c r="AE11" s="10">
        <v>20520</v>
      </c>
      <c r="AF11" s="10">
        <f t="shared" si="7"/>
        <v>62360.803140590499</v>
      </c>
      <c r="AH11" s="10">
        <f t="shared" si="8"/>
        <v>-1451.2768752514967</v>
      </c>
      <c r="AI11" s="10">
        <f t="shared" si="10"/>
        <v>83838.050569223837</v>
      </c>
    </row>
    <row r="12" spans="1:35" x14ac:dyDescent="0.2">
      <c r="A12" s="69">
        <v>36625</v>
      </c>
      <c r="B12" s="10">
        <f>+'April 9'!R72</f>
        <v>53355</v>
      </c>
      <c r="C12" s="10">
        <f>+'April 9'!R73</f>
        <v>0</v>
      </c>
      <c r="D12" s="10"/>
      <c r="E12" s="10">
        <f>+'April 9'!R74</f>
        <v>12404</v>
      </c>
      <c r="F12" s="10">
        <f>+'April 9'!R21+'April 9'!R35</f>
        <v>8000</v>
      </c>
      <c r="G12" s="10">
        <f t="shared" si="0"/>
        <v>73759</v>
      </c>
      <c r="H12" s="10">
        <f>+'April 9'!L59</f>
        <v>71875</v>
      </c>
      <c r="I12" s="10">
        <f t="shared" si="1"/>
        <v>-1884</v>
      </c>
      <c r="J12" s="76"/>
      <c r="K12" s="10">
        <f>110+89+307+732</f>
        <v>1238</v>
      </c>
      <c r="L12" s="10">
        <v>0</v>
      </c>
      <c r="M12" s="10">
        <f t="shared" si="2"/>
        <v>54593</v>
      </c>
      <c r="N12" s="10">
        <v>54327</v>
      </c>
      <c r="O12" s="10">
        <f>+N12-M12</f>
        <v>-266</v>
      </c>
      <c r="P12" s="76"/>
      <c r="Q12" s="13">
        <f>+'April 9'!Q67+1</f>
        <v>31320.007115400342</v>
      </c>
      <c r="R12" s="13"/>
      <c r="S12" s="13">
        <v>10251</v>
      </c>
      <c r="T12" s="10">
        <f t="shared" si="3"/>
        <v>41571.007115400338</v>
      </c>
      <c r="U12" s="76"/>
      <c r="V12" s="13">
        <f>28047</f>
        <v>28047</v>
      </c>
      <c r="W12" s="13">
        <v>0</v>
      </c>
      <c r="X12" s="13">
        <v>23000</v>
      </c>
      <c r="Y12" s="10">
        <f t="shared" si="4"/>
        <v>51047</v>
      </c>
      <c r="Z12" s="76"/>
      <c r="AA12" s="10">
        <f t="shared" si="5"/>
        <v>9459.8836966958424</v>
      </c>
      <c r="AB12" s="10">
        <f t="shared" si="9"/>
        <v>257457.93426591967</v>
      </c>
      <c r="AD12" s="10">
        <f t="shared" si="6"/>
        <v>31320.007115400342</v>
      </c>
      <c r="AE12" s="10">
        <v>20520</v>
      </c>
      <c r="AF12" s="10">
        <f t="shared" si="7"/>
        <v>51840.007115400338</v>
      </c>
      <c r="AH12" s="10">
        <f t="shared" si="8"/>
        <v>-11060.116303304158</v>
      </c>
      <c r="AI12" s="10">
        <f t="shared" si="10"/>
        <v>72777.934265919685</v>
      </c>
    </row>
    <row r="13" spans="1:35" x14ac:dyDescent="0.2">
      <c r="A13" s="69">
        <v>36626</v>
      </c>
      <c r="B13" s="10">
        <f>+'April  10'!R72</f>
        <v>49527</v>
      </c>
      <c r="C13" s="10">
        <f>+'April  10'!R73</f>
        <v>0</v>
      </c>
      <c r="D13" s="10"/>
      <c r="E13" s="10">
        <f>+'April  10'!R74</f>
        <v>8200</v>
      </c>
      <c r="F13" s="10">
        <f>+'April  10'!R21+'April  10'!R35</f>
        <v>8000</v>
      </c>
      <c r="G13" s="10">
        <f t="shared" si="0"/>
        <v>65727</v>
      </c>
      <c r="H13" s="10">
        <f>+'April  10'!L59</f>
        <v>69462</v>
      </c>
      <c r="I13" s="10">
        <f t="shared" si="1"/>
        <v>3735</v>
      </c>
      <c r="J13" s="76"/>
      <c r="K13" s="10">
        <f>110+89+307+615</f>
        <v>1121</v>
      </c>
      <c r="L13" s="10">
        <v>0</v>
      </c>
      <c r="M13" s="10">
        <f t="shared" si="2"/>
        <v>50648</v>
      </c>
      <c r="N13" s="10">
        <v>54327</v>
      </c>
      <c r="O13" s="10">
        <v>0</v>
      </c>
      <c r="P13" s="76"/>
      <c r="Q13" s="13">
        <v>24585</v>
      </c>
      <c r="R13" s="13"/>
      <c r="S13" s="13"/>
      <c r="T13" s="10">
        <f t="shared" si="3"/>
        <v>24585</v>
      </c>
      <c r="U13" s="76"/>
      <c r="V13" s="13">
        <v>26556</v>
      </c>
      <c r="W13" s="13">
        <v>24475</v>
      </c>
      <c r="X13" s="13">
        <v>0</v>
      </c>
      <c r="Y13" s="10">
        <f t="shared" si="4"/>
        <v>51031</v>
      </c>
      <c r="Z13" s="76"/>
      <c r="AA13" s="10">
        <f t="shared" si="5"/>
        <v>26401.041799999999</v>
      </c>
      <c r="AB13" s="10">
        <f t="shared" si="9"/>
        <v>283858.97606591968</v>
      </c>
      <c r="AD13" s="10">
        <f t="shared" si="6"/>
        <v>24585</v>
      </c>
      <c r="AE13" s="10">
        <v>20520</v>
      </c>
      <c r="AF13" s="10">
        <f t="shared" si="7"/>
        <v>45105</v>
      </c>
      <c r="AH13" s="10">
        <f t="shared" si="8"/>
        <v>5881.0417999999991</v>
      </c>
      <c r="AI13" s="10">
        <f t="shared" si="10"/>
        <v>78658.976065919676</v>
      </c>
    </row>
    <row r="14" spans="1:35" x14ac:dyDescent="0.2">
      <c r="A14" s="69">
        <v>36627</v>
      </c>
      <c r="B14" s="10">
        <f>+'April  11'!R72</f>
        <v>50724</v>
      </c>
      <c r="C14" s="10">
        <f>+'April  11'!R73</f>
        <v>0</v>
      </c>
      <c r="D14" s="10"/>
      <c r="E14" s="10">
        <f>+'April  11'!R74</f>
        <v>17198</v>
      </c>
      <c r="F14" s="10">
        <f>+'April  11'!R21+'April  11'!R35</f>
        <v>8000</v>
      </c>
      <c r="G14" s="10">
        <f t="shared" si="0"/>
        <v>75922</v>
      </c>
      <c r="H14" s="10">
        <f>+'April  11'!L59</f>
        <v>77523</v>
      </c>
      <c r="I14" s="10">
        <f t="shared" si="1"/>
        <v>1601</v>
      </c>
      <c r="J14" s="76"/>
      <c r="K14" s="10">
        <f>110+89+307+615</f>
        <v>1121</v>
      </c>
      <c r="L14" s="10">
        <v>0</v>
      </c>
      <c r="M14" s="10">
        <f t="shared" si="2"/>
        <v>51845</v>
      </c>
      <c r="N14" s="10">
        <v>54327</v>
      </c>
      <c r="O14" s="10">
        <v>0</v>
      </c>
      <c r="P14" s="76"/>
      <c r="Q14" s="13">
        <v>30064</v>
      </c>
      <c r="R14" s="13"/>
      <c r="S14" s="13"/>
      <c r="T14" s="10">
        <f t="shared" si="3"/>
        <v>30064</v>
      </c>
      <c r="U14" s="76"/>
      <c r="V14" s="13">
        <v>36676</v>
      </c>
      <c r="W14" s="13">
        <v>27262</v>
      </c>
      <c r="X14" s="13">
        <v>0</v>
      </c>
      <c r="Y14" s="10">
        <f t="shared" si="4"/>
        <v>63938</v>
      </c>
      <c r="Z14" s="76"/>
      <c r="AA14" s="10">
        <f>(+Y14-T14)*0.9983-61</f>
        <v>33755.414199999999</v>
      </c>
      <c r="AB14" s="10">
        <f t="shared" si="9"/>
        <v>317614.39026591968</v>
      </c>
      <c r="AD14" s="10">
        <f t="shared" si="6"/>
        <v>30064</v>
      </c>
      <c r="AE14" s="10">
        <v>20520</v>
      </c>
      <c r="AF14" s="10">
        <f t="shared" si="7"/>
        <v>50584</v>
      </c>
      <c r="AH14" s="10">
        <f t="shared" si="8"/>
        <v>13235.414199999999</v>
      </c>
      <c r="AI14" s="10">
        <f t="shared" si="10"/>
        <v>91894.390265919676</v>
      </c>
    </row>
    <row r="15" spans="1:35" x14ac:dyDescent="0.2">
      <c r="A15" s="69">
        <v>36628</v>
      </c>
      <c r="B15" s="10">
        <f>+'April  12'!R72</f>
        <v>63765</v>
      </c>
      <c r="C15" s="10">
        <f>+'April  12'!R73</f>
        <v>0</v>
      </c>
      <c r="D15" s="10"/>
      <c r="E15" s="10">
        <f>+'April  12'!R74</f>
        <v>6000</v>
      </c>
      <c r="F15" s="10">
        <f>+'April  12'!R35+'April  12'!R21</f>
        <v>8000</v>
      </c>
      <c r="G15" s="10">
        <f t="shared" si="0"/>
        <v>77765</v>
      </c>
      <c r="H15" s="10">
        <f>+'April  12'!L59</f>
        <v>66248</v>
      </c>
      <c r="I15" s="10">
        <f t="shared" si="1"/>
        <v>-11517</v>
      </c>
      <c r="J15" s="76"/>
      <c r="K15" s="10">
        <f>110+89+307+610</f>
        <v>1116</v>
      </c>
      <c r="L15" s="10">
        <v>0</v>
      </c>
      <c r="M15" s="10">
        <f t="shared" si="2"/>
        <v>64881</v>
      </c>
      <c r="N15" s="10">
        <v>54327</v>
      </c>
      <c r="O15" s="10">
        <f>+N15-M15</f>
        <v>-10554</v>
      </c>
      <c r="P15" s="76"/>
      <c r="Q15" s="13">
        <v>38864</v>
      </c>
      <c r="R15" s="13"/>
      <c r="S15" s="13"/>
      <c r="T15" s="10">
        <f t="shared" si="3"/>
        <v>38864</v>
      </c>
      <c r="U15" s="76"/>
      <c r="V15" s="13">
        <v>29703</v>
      </c>
      <c r="W15" s="13">
        <v>27262</v>
      </c>
      <c r="X15" s="13">
        <v>0</v>
      </c>
      <c r="Y15" s="10">
        <f t="shared" si="4"/>
        <v>56965</v>
      </c>
      <c r="Z15" s="76"/>
      <c r="AA15" s="10">
        <f t="shared" si="5"/>
        <v>18070.228299999999</v>
      </c>
      <c r="AB15" s="10">
        <f t="shared" si="9"/>
        <v>335684.61856591969</v>
      </c>
      <c r="AD15" s="10">
        <f t="shared" si="6"/>
        <v>38864</v>
      </c>
      <c r="AE15" s="10">
        <v>20520</v>
      </c>
      <c r="AF15" s="10">
        <f t="shared" si="7"/>
        <v>59384</v>
      </c>
      <c r="AH15" s="10">
        <f t="shared" si="8"/>
        <v>-2449.7717000000011</v>
      </c>
      <c r="AI15" s="10">
        <f t="shared" si="10"/>
        <v>89444.618565919678</v>
      </c>
    </row>
    <row r="16" spans="1:35" x14ac:dyDescent="0.2">
      <c r="A16" s="69">
        <v>36629</v>
      </c>
      <c r="B16" s="10">
        <f>+'April  13'!R72</f>
        <v>53890</v>
      </c>
      <c r="C16" s="10">
        <f>+'April  13'!R73</f>
        <v>0</v>
      </c>
      <c r="D16" s="10"/>
      <c r="E16" s="10">
        <f>+'April  13'!R74</f>
        <v>0</v>
      </c>
      <c r="F16" s="10">
        <v>0</v>
      </c>
      <c r="G16" s="10">
        <f t="shared" ref="G16:G33" si="11">SUM(B16:F16)</f>
        <v>53890</v>
      </c>
      <c r="H16" s="10">
        <f>+'April  13'!L59</f>
        <v>51061</v>
      </c>
      <c r="I16" s="10">
        <f t="shared" si="1"/>
        <v>-2829</v>
      </c>
      <c r="J16" s="76"/>
      <c r="K16" s="10">
        <f>110+89+307+576</f>
        <v>1082</v>
      </c>
      <c r="L16" s="10">
        <v>0</v>
      </c>
      <c r="M16" s="10">
        <f t="shared" si="2"/>
        <v>54972</v>
      </c>
      <c r="N16" s="10">
        <v>54327</v>
      </c>
      <c r="O16" s="10">
        <f>+N16-M16</f>
        <v>-645</v>
      </c>
      <c r="P16" s="76"/>
      <c r="Q16" s="13">
        <f>42696-18925</f>
        <v>23771</v>
      </c>
      <c r="R16" s="13"/>
      <c r="S16" s="13">
        <v>18925</v>
      </c>
      <c r="T16" s="10">
        <f t="shared" si="3"/>
        <v>42696</v>
      </c>
      <c r="U16" s="76"/>
      <c r="V16" s="13">
        <v>31935</v>
      </c>
      <c r="W16" s="13">
        <v>22569</v>
      </c>
      <c r="X16" s="13">
        <v>0</v>
      </c>
      <c r="Y16" s="10">
        <f t="shared" si="4"/>
        <v>54504</v>
      </c>
      <c r="Z16" s="76"/>
      <c r="AA16" s="10">
        <f t="shared" si="5"/>
        <v>11787.9264</v>
      </c>
      <c r="AB16" s="10">
        <f t="shared" si="9"/>
        <v>347472.54496591969</v>
      </c>
      <c r="AD16" s="10">
        <f t="shared" si="6"/>
        <v>23771</v>
      </c>
      <c r="AE16" s="10">
        <v>20520</v>
      </c>
      <c r="AF16" s="10">
        <f t="shared" si="7"/>
        <v>44291</v>
      </c>
      <c r="AH16" s="10">
        <f t="shared" si="8"/>
        <v>-8732.0735999999997</v>
      </c>
      <c r="AI16" s="10">
        <f t="shared" si="10"/>
        <v>80712.544965919675</v>
      </c>
    </row>
    <row r="17" spans="1:35" x14ac:dyDescent="0.2">
      <c r="A17" s="69">
        <v>36630</v>
      </c>
      <c r="B17" s="10">
        <f>+'April 14'!R72</f>
        <v>19796</v>
      </c>
      <c r="C17" s="10">
        <f>+'April 14'!R73</f>
        <v>0</v>
      </c>
      <c r="D17" s="10"/>
      <c r="E17" s="10">
        <f>+'April 14'!R74</f>
        <v>0</v>
      </c>
      <c r="F17" s="10">
        <v>0</v>
      </c>
      <c r="G17" s="10">
        <f t="shared" si="11"/>
        <v>19796</v>
      </c>
      <c r="H17" s="10">
        <f>+'April 14'!L59</f>
        <v>34541</v>
      </c>
      <c r="I17" s="10">
        <f t="shared" si="1"/>
        <v>14745</v>
      </c>
      <c r="J17" s="76"/>
      <c r="K17" s="10">
        <f>110+89+307+565</f>
        <v>1071</v>
      </c>
      <c r="L17" s="10">
        <v>0</v>
      </c>
      <c r="M17" s="10">
        <f t="shared" si="2"/>
        <v>20867</v>
      </c>
      <c r="N17" s="10">
        <v>54327</v>
      </c>
      <c r="O17" s="10">
        <v>0</v>
      </c>
      <c r="P17" s="76"/>
      <c r="Q17" s="13">
        <v>75</v>
      </c>
      <c r="R17" s="13"/>
      <c r="S17" s="13"/>
      <c r="T17" s="10">
        <f t="shared" si="3"/>
        <v>75</v>
      </c>
      <c r="U17" s="76"/>
      <c r="V17" s="13">
        <v>29316</v>
      </c>
      <c r="W17" s="13">
        <v>12000</v>
      </c>
      <c r="X17" s="13">
        <v>0</v>
      </c>
      <c r="Y17" s="10">
        <f t="shared" si="4"/>
        <v>41316</v>
      </c>
      <c r="Z17" s="76"/>
      <c r="AA17" s="10">
        <f t="shared" si="5"/>
        <v>41170.890299999999</v>
      </c>
      <c r="AB17" s="10">
        <f t="shared" si="9"/>
        <v>388643.43526591966</v>
      </c>
      <c r="AD17" s="10">
        <f t="shared" si="6"/>
        <v>75</v>
      </c>
      <c r="AE17" s="10">
        <v>20520</v>
      </c>
      <c r="AF17" s="10">
        <f t="shared" si="7"/>
        <v>20595</v>
      </c>
      <c r="AH17" s="10">
        <f t="shared" si="8"/>
        <v>20650.890299999999</v>
      </c>
      <c r="AI17" s="10">
        <f t="shared" si="10"/>
        <v>101363.43526591967</v>
      </c>
    </row>
    <row r="18" spans="1:35" x14ac:dyDescent="0.2">
      <c r="A18" s="69">
        <v>36631</v>
      </c>
      <c r="B18" s="10">
        <f>+'April 15'!R72</f>
        <v>11560</v>
      </c>
      <c r="C18" s="10">
        <f>+'April 15'!R73</f>
        <v>0</v>
      </c>
      <c r="D18" s="10"/>
      <c r="E18" s="10">
        <f>+'April 15'!R74</f>
        <v>0</v>
      </c>
      <c r="F18" s="10">
        <v>0</v>
      </c>
      <c r="G18" s="10">
        <f t="shared" si="11"/>
        <v>11560</v>
      </c>
      <c r="H18" s="10">
        <f>+'April 15'!L59</f>
        <v>21912</v>
      </c>
      <c r="I18" s="10">
        <f t="shared" si="1"/>
        <v>10352</v>
      </c>
      <c r="J18" s="76"/>
      <c r="K18" s="10">
        <f>110+89+307+358</f>
        <v>864</v>
      </c>
      <c r="L18" s="10">
        <v>0</v>
      </c>
      <c r="M18" s="10">
        <f t="shared" si="2"/>
        <v>12424</v>
      </c>
      <c r="N18" s="10">
        <v>54327</v>
      </c>
      <c r="O18" s="10">
        <v>0</v>
      </c>
      <c r="P18" s="76"/>
      <c r="Q18" s="13">
        <v>1737</v>
      </c>
      <c r="R18" s="13"/>
      <c r="S18" s="13"/>
      <c r="T18" s="10">
        <f t="shared" si="3"/>
        <v>1737</v>
      </c>
      <c r="U18" s="76"/>
      <c r="V18" s="13">
        <v>25481</v>
      </c>
      <c r="W18" s="13">
        <v>12000</v>
      </c>
      <c r="X18" s="13">
        <v>0</v>
      </c>
      <c r="Y18" s="10">
        <f t="shared" si="4"/>
        <v>37481</v>
      </c>
      <c r="Z18" s="76"/>
      <c r="AA18" s="10">
        <f t="shared" si="5"/>
        <v>35683.235199999996</v>
      </c>
      <c r="AB18" s="10">
        <f t="shared" si="9"/>
        <v>424326.67046591965</v>
      </c>
      <c r="AD18" s="10">
        <f t="shared" si="6"/>
        <v>1737</v>
      </c>
      <c r="AE18" s="10">
        <v>20520</v>
      </c>
      <c r="AF18" s="10">
        <f t="shared" si="7"/>
        <v>22257</v>
      </c>
      <c r="AH18" s="10">
        <f t="shared" si="8"/>
        <v>15163.235199999996</v>
      </c>
      <c r="AI18" s="10">
        <f t="shared" si="10"/>
        <v>116526.67046591967</v>
      </c>
    </row>
    <row r="19" spans="1:35" x14ac:dyDescent="0.2">
      <c r="A19" s="69">
        <v>36632</v>
      </c>
      <c r="B19" s="10">
        <f>+'April 16'!R72</f>
        <v>26960</v>
      </c>
      <c r="C19" s="10">
        <f>+'April 16'!R73</f>
        <v>0</v>
      </c>
      <c r="D19" s="10"/>
      <c r="E19" s="10">
        <f>+'April 16'!R74</f>
        <v>0</v>
      </c>
      <c r="F19" s="10">
        <v>0</v>
      </c>
      <c r="G19" s="10">
        <f t="shared" si="11"/>
        <v>26960</v>
      </c>
      <c r="H19" s="10">
        <f>+'April 16'!L59</f>
        <v>26960</v>
      </c>
      <c r="I19" s="10">
        <f t="shared" si="1"/>
        <v>0</v>
      </c>
      <c r="J19" s="76"/>
      <c r="K19" s="10">
        <f>110+89+307+358</f>
        <v>864</v>
      </c>
      <c r="L19" s="10">
        <v>0</v>
      </c>
      <c r="M19" s="10">
        <f t="shared" si="2"/>
        <v>27824</v>
      </c>
      <c r="N19" s="10">
        <v>54327</v>
      </c>
      <c r="O19" s="10">
        <v>0</v>
      </c>
      <c r="P19" s="76"/>
      <c r="Q19" s="13">
        <v>12406</v>
      </c>
      <c r="R19" s="13"/>
      <c r="S19" s="13"/>
      <c r="T19" s="10">
        <f t="shared" si="3"/>
        <v>12406</v>
      </c>
      <c r="U19" s="76"/>
      <c r="V19" s="13">
        <v>25503</v>
      </c>
      <c r="W19" s="13">
        <v>12000</v>
      </c>
      <c r="X19" s="13">
        <v>0</v>
      </c>
      <c r="Y19" s="10">
        <f t="shared" si="4"/>
        <v>37503</v>
      </c>
      <c r="Z19" s="76"/>
      <c r="AA19" s="10">
        <f t="shared" si="5"/>
        <v>25054.3351</v>
      </c>
      <c r="AB19" s="10">
        <f t="shared" si="9"/>
        <v>449381.00556591968</v>
      </c>
      <c r="AD19" s="10">
        <f t="shared" si="6"/>
        <v>12406</v>
      </c>
      <c r="AE19" s="10">
        <v>20520</v>
      </c>
      <c r="AF19" s="10">
        <f t="shared" si="7"/>
        <v>32926</v>
      </c>
      <c r="AH19" s="10">
        <f t="shared" si="8"/>
        <v>4534.3351000000002</v>
      </c>
      <c r="AI19" s="10">
        <f t="shared" si="10"/>
        <v>121061.00556591967</v>
      </c>
    </row>
    <row r="20" spans="1:35" s="82" customFormat="1" x14ac:dyDescent="0.2">
      <c r="A20" s="80">
        <v>36633</v>
      </c>
      <c r="B20" s="14">
        <f>+'April 17'!R72</f>
        <v>52923</v>
      </c>
      <c r="C20" s="14">
        <f>+'April 17'!R73</f>
        <v>0</v>
      </c>
      <c r="D20" s="14"/>
      <c r="E20" s="14">
        <f>+'April 17'!R74</f>
        <v>0</v>
      </c>
      <c r="F20" s="14">
        <v>0</v>
      </c>
      <c r="G20" s="14">
        <f t="shared" si="11"/>
        <v>52923</v>
      </c>
      <c r="H20" s="14">
        <f>+'April 17'!L59</f>
        <v>48694</v>
      </c>
      <c r="I20" s="14">
        <f t="shared" si="1"/>
        <v>-4229</v>
      </c>
      <c r="J20" s="81"/>
      <c r="K20" s="14">
        <f>110+89+307+358</f>
        <v>864</v>
      </c>
      <c r="L20" s="14">
        <v>0</v>
      </c>
      <c r="M20" s="14">
        <f t="shared" si="2"/>
        <v>53787</v>
      </c>
      <c r="N20" s="14">
        <v>54327</v>
      </c>
      <c r="O20" s="10">
        <v>0</v>
      </c>
      <c r="P20" s="81"/>
      <c r="Q20" s="13">
        <f>42881-18637</f>
        <v>24244</v>
      </c>
      <c r="R20" s="13"/>
      <c r="S20" s="13">
        <v>18637</v>
      </c>
      <c r="T20" s="14">
        <f t="shared" si="3"/>
        <v>42881</v>
      </c>
      <c r="U20" s="81"/>
      <c r="V20" s="13">
        <v>25420</v>
      </c>
      <c r="W20" s="13">
        <v>32000</v>
      </c>
      <c r="X20" s="13">
        <v>0</v>
      </c>
      <c r="Y20" s="14">
        <f t="shared" si="4"/>
        <v>57420</v>
      </c>
      <c r="Z20" s="81"/>
      <c r="AA20" s="10">
        <f t="shared" si="5"/>
        <v>14514.2837</v>
      </c>
      <c r="AB20" s="10">
        <f t="shared" si="9"/>
        <v>463895.28926591971</v>
      </c>
      <c r="AC20" s="90"/>
      <c r="AD20" s="10">
        <f t="shared" si="6"/>
        <v>24244</v>
      </c>
      <c r="AE20" s="10">
        <v>20520</v>
      </c>
      <c r="AF20" s="10">
        <f t="shared" si="7"/>
        <v>44764</v>
      </c>
      <c r="AG20" s="90"/>
      <c r="AH20" s="10">
        <f t="shared" si="8"/>
        <v>-6005.7163</v>
      </c>
      <c r="AI20" s="10">
        <f t="shared" si="10"/>
        <v>115055.28926591967</v>
      </c>
    </row>
    <row r="21" spans="1:35" s="82" customFormat="1" x14ac:dyDescent="0.2">
      <c r="A21" s="80">
        <v>36634</v>
      </c>
      <c r="B21" s="14">
        <f>+'April 18'!R72</f>
        <v>49905</v>
      </c>
      <c r="C21" s="14">
        <f>+'April 18'!R73</f>
        <v>0</v>
      </c>
      <c r="D21" s="14"/>
      <c r="E21" s="14">
        <f>+'April 18'!R74</f>
        <v>0</v>
      </c>
      <c r="F21" s="14">
        <v>0</v>
      </c>
      <c r="G21" s="14">
        <f t="shared" si="11"/>
        <v>49905</v>
      </c>
      <c r="H21" s="14">
        <f>+'April 18'!L59</f>
        <v>45529</v>
      </c>
      <c r="I21" s="14">
        <f t="shared" si="1"/>
        <v>-4376</v>
      </c>
      <c r="J21" s="81"/>
      <c r="K21" s="14">
        <f>110+89+307+358</f>
        <v>864</v>
      </c>
      <c r="L21" s="14">
        <v>0</v>
      </c>
      <c r="M21" s="14">
        <f t="shared" si="2"/>
        <v>50769</v>
      </c>
      <c r="N21" s="14">
        <v>54327</v>
      </c>
      <c r="O21" s="10">
        <v>0</v>
      </c>
      <c r="P21" s="81"/>
      <c r="Q21" s="14">
        <f>42941-S21</f>
        <v>23097</v>
      </c>
      <c r="R21" s="14"/>
      <c r="S21" s="14">
        <v>19844</v>
      </c>
      <c r="T21" s="14">
        <f t="shared" si="3"/>
        <v>42941</v>
      </c>
      <c r="U21" s="81"/>
      <c r="V21" s="14">
        <v>27503</v>
      </c>
      <c r="W21" s="14">
        <v>27000</v>
      </c>
      <c r="X21" s="14">
        <v>0</v>
      </c>
      <c r="Y21" s="14">
        <f t="shared" si="4"/>
        <v>54503</v>
      </c>
      <c r="Z21" s="81"/>
      <c r="AA21" s="14">
        <f t="shared" si="5"/>
        <v>11542.3446</v>
      </c>
      <c r="AB21" s="14">
        <f t="shared" si="9"/>
        <v>475437.63386591972</v>
      </c>
      <c r="AC21" s="90"/>
      <c r="AD21" s="14">
        <f t="shared" si="6"/>
        <v>23097</v>
      </c>
      <c r="AE21" s="14">
        <v>20520</v>
      </c>
      <c r="AF21" s="14">
        <f t="shared" si="7"/>
        <v>43617</v>
      </c>
      <c r="AG21" s="90"/>
      <c r="AH21" s="14">
        <f t="shared" si="8"/>
        <v>-8977.6553999999996</v>
      </c>
      <c r="AI21" s="14">
        <f t="shared" si="10"/>
        <v>106077.63386591966</v>
      </c>
    </row>
    <row r="22" spans="1:35" x14ac:dyDescent="0.2">
      <c r="A22" s="69">
        <v>36635</v>
      </c>
      <c r="B22" s="10">
        <f>+'April 19'!R72</f>
        <v>35302</v>
      </c>
      <c r="C22" s="10">
        <f>+'April 19'!R73</f>
        <v>0</v>
      </c>
      <c r="D22" s="10"/>
      <c r="E22" s="10">
        <f>+'April 19'!R74</f>
        <v>0</v>
      </c>
      <c r="F22" s="10">
        <v>0</v>
      </c>
      <c r="G22" s="10">
        <f t="shared" si="11"/>
        <v>35302</v>
      </c>
      <c r="H22" s="10">
        <f>+'April 19'!L59</f>
        <v>29636</v>
      </c>
      <c r="I22" s="10">
        <f t="shared" si="1"/>
        <v>-5666</v>
      </c>
      <c r="J22" s="76"/>
      <c r="K22" s="10">
        <f>110+89+307+358</f>
        <v>864</v>
      </c>
      <c r="L22" s="10">
        <v>2402</v>
      </c>
      <c r="M22" s="10">
        <f t="shared" si="2"/>
        <v>38568</v>
      </c>
      <c r="N22" s="10">
        <v>54327</v>
      </c>
      <c r="O22" s="10">
        <v>0</v>
      </c>
      <c r="P22" s="76"/>
      <c r="Q22" s="14">
        <f>38329-S22</f>
        <v>17914</v>
      </c>
      <c r="R22" s="13"/>
      <c r="S22" s="13">
        <v>20415</v>
      </c>
      <c r="T22" s="10">
        <f t="shared" si="3"/>
        <v>38329</v>
      </c>
      <c r="U22" s="76"/>
      <c r="V22" s="13">
        <v>27386</v>
      </c>
      <c r="W22" s="13">
        <v>12000</v>
      </c>
      <c r="X22" s="13">
        <v>0</v>
      </c>
      <c r="Y22" s="10">
        <f t="shared" si="4"/>
        <v>39386</v>
      </c>
      <c r="Z22" s="76"/>
      <c r="AA22" s="10">
        <f t="shared" si="5"/>
        <v>1055.2030999999999</v>
      </c>
      <c r="AB22" s="10">
        <f t="shared" si="9"/>
        <v>476492.83696591971</v>
      </c>
      <c r="AD22" s="10">
        <f t="shared" si="6"/>
        <v>17914</v>
      </c>
      <c r="AE22" s="10">
        <v>20520</v>
      </c>
      <c r="AF22" s="10">
        <f t="shared" si="7"/>
        <v>38434</v>
      </c>
      <c r="AH22" s="10">
        <f t="shared" si="8"/>
        <v>-19464.796900000001</v>
      </c>
      <c r="AI22" s="10">
        <f t="shared" si="10"/>
        <v>86612.836965919661</v>
      </c>
    </row>
    <row r="23" spans="1:35" x14ac:dyDescent="0.2">
      <c r="A23" s="69">
        <v>36636</v>
      </c>
      <c r="B23" s="10">
        <f>+'April 20'!R72</f>
        <v>24311</v>
      </c>
      <c r="C23" s="10">
        <f>+'April 20'!R73</f>
        <v>0</v>
      </c>
      <c r="D23" s="10"/>
      <c r="E23" s="10">
        <f>+'April 20'!R74</f>
        <v>0</v>
      </c>
      <c r="F23" s="10">
        <v>0</v>
      </c>
      <c r="G23" s="10">
        <f t="shared" si="11"/>
        <v>24311</v>
      </c>
      <c r="H23" s="10">
        <f>+'April 20'!L59</f>
        <v>31386</v>
      </c>
      <c r="I23" s="10">
        <f t="shared" si="1"/>
        <v>7075</v>
      </c>
      <c r="J23" s="76"/>
      <c r="K23" s="10">
        <f>307+30</f>
        <v>337</v>
      </c>
      <c r="L23" s="10">
        <v>0</v>
      </c>
      <c r="M23" s="10">
        <f t="shared" si="2"/>
        <v>24648</v>
      </c>
      <c r="N23" s="10">
        <v>54327</v>
      </c>
      <c r="O23" s="10">
        <v>0</v>
      </c>
      <c r="P23" s="76"/>
      <c r="Q23" s="14">
        <f>5607-S23</f>
        <v>5607</v>
      </c>
      <c r="R23" s="13"/>
      <c r="S23" s="13">
        <v>0</v>
      </c>
      <c r="T23" s="10">
        <f t="shared" si="3"/>
        <v>5607</v>
      </c>
      <c r="U23" s="76"/>
      <c r="V23" s="13">
        <v>29608</v>
      </c>
      <c r="W23" s="13">
        <v>0</v>
      </c>
      <c r="X23" s="13">
        <v>0</v>
      </c>
      <c r="Y23" s="10">
        <f t="shared" si="4"/>
        <v>29608</v>
      </c>
      <c r="Z23" s="76"/>
      <c r="AA23" s="10">
        <f t="shared" si="5"/>
        <v>23960.1983</v>
      </c>
      <c r="AB23" s="10">
        <f t="shared" si="9"/>
        <v>500453.03526591969</v>
      </c>
      <c r="AD23" s="10">
        <f t="shared" si="6"/>
        <v>5607</v>
      </c>
      <c r="AE23" s="10">
        <v>20520</v>
      </c>
      <c r="AF23" s="10">
        <f t="shared" si="7"/>
        <v>26127</v>
      </c>
      <c r="AH23" s="10">
        <f t="shared" si="8"/>
        <v>3440.1983</v>
      </c>
      <c r="AI23" s="10">
        <f t="shared" si="10"/>
        <v>90053.035265919665</v>
      </c>
    </row>
    <row r="24" spans="1:35" x14ac:dyDescent="0.2">
      <c r="A24" s="69">
        <v>36637</v>
      </c>
      <c r="B24" s="10">
        <f>+'April 21'!R74</f>
        <v>53102</v>
      </c>
      <c r="C24" s="10">
        <f>+'April 21'!R75</f>
        <v>0</v>
      </c>
      <c r="D24" s="10">
        <f>+'April 21'!R22+'April 21'!R37</f>
        <v>8527</v>
      </c>
      <c r="E24" s="10">
        <f>+'April 21'!R76</f>
        <v>0</v>
      </c>
      <c r="F24" s="10">
        <v>0</v>
      </c>
      <c r="G24" s="10">
        <f t="shared" si="11"/>
        <v>61629</v>
      </c>
      <c r="H24" s="10">
        <v>53908</v>
      </c>
      <c r="I24" s="10">
        <f t="shared" si="1"/>
        <v>-7721</v>
      </c>
      <c r="J24" s="76"/>
      <c r="K24" s="10">
        <f>307+30</f>
        <v>337</v>
      </c>
      <c r="L24" s="10">
        <v>0</v>
      </c>
      <c r="M24" s="10">
        <f t="shared" si="2"/>
        <v>53439</v>
      </c>
      <c r="N24" s="10">
        <v>54327</v>
      </c>
      <c r="O24" s="10">
        <v>0</v>
      </c>
      <c r="P24" s="76"/>
      <c r="Q24" s="14">
        <f>35459-S24</f>
        <v>35459</v>
      </c>
      <c r="R24" s="13"/>
      <c r="S24" s="13">
        <v>0</v>
      </c>
      <c r="T24" s="10">
        <f t="shared" si="3"/>
        <v>35459</v>
      </c>
      <c r="U24" s="76"/>
      <c r="V24" s="13">
        <v>38728</v>
      </c>
      <c r="W24" s="13">
        <v>0</v>
      </c>
      <c r="X24" s="13">
        <v>0</v>
      </c>
      <c r="Y24" s="10">
        <f t="shared" si="4"/>
        <v>38728</v>
      </c>
      <c r="Z24" s="76"/>
      <c r="AA24" s="10">
        <f t="shared" si="5"/>
        <v>3263.4427000000001</v>
      </c>
      <c r="AB24" s="10">
        <f t="shared" si="9"/>
        <v>503716.47796591971</v>
      </c>
      <c r="AD24" s="10">
        <f t="shared" si="6"/>
        <v>35459</v>
      </c>
      <c r="AE24" s="10">
        <v>20520</v>
      </c>
      <c r="AF24" s="10">
        <f t="shared" si="7"/>
        <v>55979</v>
      </c>
      <c r="AH24" s="10">
        <f t="shared" si="8"/>
        <v>-17256.5573</v>
      </c>
      <c r="AI24" s="10">
        <f t="shared" si="10"/>
        <v>72796.477965919665</v>
      </c>
    </row>
    <row r="25" spans="1:35" x14ac:dyDescent="0.2">
      <c r="A25" s="69">
        <v>36638</v>
      </c>
      <c r="B25" s="10">
        <f>+'Apr 22'!R78</f>
        <v>53354</v>
      </c>
      <c r="C25" s="10">
        <f>+'Apr 22'!R79</f>
        <v>0</v>
      </c>
      <c r="D25" s="10">
        <f>+'Apr 22'!R22+'Apr 22'!R39</f>
        <v>8527</v>
      </c>
      <c r="E25" s="10">
        <f>+'Apr 22'!R80</f>
        <v>0</v>
      </c>
      <c r="F25" s="10">
        <v>0</v>
      </c>
      <c r="G25" s="10">
        <f t="shared" si="11"/>
        <v>61881</v>
      </c>
      <c r="H25" s="10">
        <v>55263</v>
      </c>
      <c r="I25" s="10">
        <f t="shared" si="1"/>
        <v>-6618</v>
      </c>
      <c r="J25" s="76"/>
      <c r="K25" s="10">
        <f>307+30</f>
        <v>337</v>
      </c>
      <c r="L25" s="10">
        <v>0</v>
      </c>
      <c r="M25" s="10">
        <f t="shared" si="2"/>
        <v>53691</v>
      </c>
      <c r="N25" s="10">
        <v>54327</v>
      </c>
      <c r="O25" s="10">
        <v>0</v>
      </c>
      <c r="P25" s="76"/>
      <c r="Q25" s="14">
        <f>35016-S25</f>
        <v>35016</v>
      </c>
      <c r="R25" s="13"/>
      <c r="S25" s="13">
        <v>0</v>
      </c>
      <c r="T25" s="10">
        <f t="shared" si="3"/>
        <v>35016</v>
      </c>
      <c r="U25" s="76"/>
      <c r="V25" s="13">
        <v>35762</v>
      </c>
      <c r="W25" s="13">
        <v>0</v>
      </c>
      <c r="X25" s="13">
        <v>0</v>
      </c>
      <c r="Y25" s="10">
        <f t="shared" si="4"/>
        <v>35762</v>
      </c>
      <c r="Z25" s="76"/>
      <c r="AA25" s="10">
        <f t="shared" si="5"/>
        <v>744.73180000000002</v>
      </c>
      <c r="AB25" s="10">
        <f t="shared" si="9"/>
        <v>504461.20976591972</v>
      </c>
      <c r="AD25" s="10">
        <f t="shared" si="6"/>
        <v>35016</v>
      </c>
      <c r="AE25" s="10">
        <v>20520</v>
      </c>
      <c r="AF25" s="10">
        <f t="shared" si="7"/>
        <v>55536</v>
      </c>
      <c r="AH25" s="10">
        <f t="shared" si="8"/>
        <v>-19775.268199999999</v>
      </c>
      <c r="AI25" s="10">
        <f t="shared" si="10"/>
        <v>53021.209765919666</v>
      </c>
    </row>
    <row r="26" spans="1:35" x14ac:dyDescent="0.2">
      <c r="A26" s="69">
        <v>36639</v>
      </c>
      <c r="B26" s="10">
        <f>+'Apr 23'!R78</f>
        <v>31276</v>
      </c>
      <c r="C26" s="10">
        <f>+'Apr 23'!R79</f>
        <v>0</v>
      </c>
      <c r="D26" s="10">
        <f>+'Apr 23'!R22+'Apr 23'!R39</f>
        <v>8527</v>
      </c>
      <c r="E26" s="10">
        <f>+'Apr 23'!R80</f>
        <v>0</v>
      </c>
      <c r="F26" s="10">
        <v>0</v>
      </c>
      <c r="G26" s="10">
        <f t="shared" si="11"/>
        <v>39803</v>
      </c>
      <c r="H26" s="10">
        <v>51436</v>
      </c>
      <c r="I26" s="10">
        <f t="shared" si="1"/>
        <v>11633</v>
      </c>
      <c r="J26" s="76"/>
      <c r="K26" s="10">
        <f>307+206</f>
        <v>513</v>
      </c>
      <c r="L26" s="10">
        <v>0</v>
      </c>
      <c r="M26" s="10">
        <f t="shared" si="2"/>
        <v>31789</v>
      </c>
      <c r="N26" s="10">
        <v>54327</v>
      </c>
      <c r="O26" s="10">
        <v>0</v>
      </c>
      <c r="P26" s="76"/>
      <c r="Q26" s="14">
        <f>14403-S26</f>
        <v>14403</v>
      </c>
      <c r="R26" s="13"/>
      <c r="S26" s="13">
        <v>0</v>
      </c>
      <c r="T26" s="10">
        <f t="shared" si="3"/>
        <v>14403</v>
      </c>
      <c r="U26" s="76"/>
      <c r="V26" s="13">
        <v>34704</v>
      </c>
      <c r="W26" s="13">
        <v>0</v>
      </c>
      <c r="X26" s="13">
        <v>0</v>
      </c>
      <c r="Y26" s="10">
        <f t="shared" si="4"/>
        <v>34704</v>
      </c>
      <c r="Z26" s="76"/>
      <c r="AA26" s="10">
        <f t="shared" si="5"/>
        <v>20266.488300000001</v>
      </c>
      <c r="AB26" s="10">
        <f t="shared" si="9"/>
        <v>524727.69806591969</v>
      </c>
      <c r="AD26" s="10">
        <f t="shared" si="6"/>
        <v>14403</v>
      </c>
      <c r="AE26" s="10">
        <v>20520</v>
      </c>
      <c r="AF26" s="10">
        <f t="shared" si="7"/>
        <v>34923</v>
      </c>
      <c r="AH26" s="10">
        <f t="shared" si="8"/>
        <v>-253.51169999999911</v>
      </c>
      <c r="AI26" s="10">
        <f t="shared" si="10"/>
        <v>52767.698065919671</v>
      </c>
    </row>
    <row r="27" spans="1:35" x14ac:dyDescent="0.2">
      <c r="A27" s="69">
        <v>36640</v>
      </c>
      <c r="B27" s="10">
        <f>+'Apr 24'!R78</f>
        <v>30092</v>
      </c>
      <c r="C27" s="10">
        <f>+'Apr 24'!R79</f>
        <v>0</v>
      </c>
      <c r="D27" s="10">
        <f>+'Apr 24'!R22+'Apr 24'!R39</f>
        <v>8527</v>
      </c>
      <c r="E27" s="10">
        <f>+'Apr 24'!R80</f>
        <v>0</v>
      </c>
      <c r="F27" s="10">
        <v>0</v>
      </c>
      <c r="G27" s="10">
        <f t="shared" si="11"/>
        <v>38619</v>
      </c>
      <c r="H27" s="10">
        <v>52525</v>
      </c>
      <c r="I27" s="10">
        <f t="shared" si="1"/>
        <v>13906</v>
      </c>
      <c r="J27" s="76"/>
      <c r="K27" s="10">
        <f>307+98</f>
        <v>405</v>
      </c>
      <c r="L27" s="10">
        <v>0</v>
      </c>
      <c r="M27" s="10">
        <f t="shared" si="2"/>
        <v>30497</v>
      </c>
      <c r="N27" s="10">
        <v>54327</v>
      </c>
      <c r="O27" s="10">
        <v>0</v>
      </c>
      <c r="P27" s="76"/>
      <c r="Q27" s="14">
        <f>12584-S27</f>
        <v>12584</v>
      </c>
      <c r="R27" s="13"/>
      <c r="S27" s="13">
        <v>0</v>
      </c>
      <c r="T27" s="10">
        <f t="shared" si="3"/>
        <v>12584</v>
      </c>
      <c r="U27" s="76"/>
      <c r="V27" s="13">
        <v>33378</v>
      </c>
      <c r="W27" s="13">
        <v>0</v>
      </c>
      <c r="X27" s="13">
        <v>0</v>
      </c>
      <c r="Y27" s="10">
        <f t="shared" si="4"/>
        <v>33378</v>
      </c>
      <c r="Z27" s="76"/>
      <c r="AA27" s="10">
        <f t="shared" si="5"/>
        <v>20758.6502</v>
      </c>
      <c r="AB27" s="10">
        <f t="shared" si="9"/>
        <v>545486.34826591972</v>
      </c>
      <c r="AD27" s="10">
        <f t="shared" si="6"/>
        <v>12584</v>
      </c>
      <c r="AE27" s="10">
        <v>20520</v>
      </c>
      <c r="AF27" s="10">
        <f t="shared" si="7"/>
        <v>33104</v>
      </c>
      <c r="AH27" s="10">
        <f t="shared" si="8"/>
        <v>238.65020000000004</v>
      </c>
      <c r="AI27" s="10">
        <f t="shared" si="10"/>
        <v>53006.348265919674</v>
      </c>
    </row>
    <row r="28" spans="1:35" s="86" customFormat="1" ht="15.75" x14ac:dyDescent="0.25">
      <c r="A28" s="83">
        <v>36641</v>
      </c>
      <c r="B28" s="84">
        <f>+'Apr 25'!R78</f>
        <v>41800</v>
      </c>
      <c r="C28" s="84">
        <f>+'Apr 25'!R79</f>
        <v>0</v>
      </c>
      <c r="D28" s="84"/>
      <c r="E28" s="84">
        <f>+'Apr 25'!R80</f>
        <v>0</v>
      </c>
      <c r="F28" s="84">
        <f>+'Apr 25'!R21+'Apr 25'!R38</f>
        <v>8000</v>
      </c>
      <c r="G28" s="84">
        <f>SUM(B28:F28)</f>
        <v>49800</v>
      </c>
      <c r="H28" s="84">
        <v>55427</v>
      </c>
      <c r="I28" s="84">
        <f t="shared" si="1"/>
        <v>5627</v>
      </c>
      <c r="J28" s="85"/>
      <c r="K28" s="84">
        <f>307+648</f>
        <v>955</v>
      </c>
      <c r="L28" s="84">
        <v>0</v>
      </c>
      <c r="M28" s="84">
        <f t="shared" si="2"/>
        <v>42755</v>
      </c>
      <c r="N28" s="84">
        <v>54327</v>
      </c>
      <c r="O28" s="10">
        <v>0</v>
      </c>
      <c r="P28" s="85"/>
      <c r="Q28" s="14">
        <f>22576-S28</f>
        <v>22576</v>
      </c>
      <c r="R28" s="84"/>
      <c r="S28" s="84">
        <v>0</v>
      </c>
      <c r="T28" s="84">
        <f t="shared" si="3"/>
        <v>22576</v>
      </c>
      <c r="U28" s="85"/>
      <c r="V28" s="84">
        <v>30019</v>
      </c>
      <c r="W28" s="84">
        <v>7967</v>
      </c>
      <c r="X28" s="13">
        <v>0</v>
      </c>
      <c r="Y28" s="84">
        <f t="shared" si="4"/>
        <v>37986</v>
      </c>
      <c r="Z28" s="85"/>
      <c r="AA28" s="10">
        <f t="shared" si="5"/>
        <v>15383.803</v>
      </c>
      <c r="AB28" s="84">
        <f t="shared" si="9"/>
        <v>560870.15126591967</v>
      </c>
      <c r="AC28" s="91"/>
      <c r="AD28" s="10">
        <f t="shared" si="6"/>
        <v>22576</v>
      </c>
      <c r="AE28" s="84">
        <v>20520</v>
      </c>
      <c r="AF28" s="10">
        <f t="shared" si="7"/>
        <v>43096</v>
      </c>
      <c r="AG28" s="91"/>
      <c r="AH28" s="10">
        <f t="shared" si="8"/>
        <v>-5136.1970000000001</v>
      </c>
      <c r="AI28" s="10">
        <f t="shared" si="10"/>
        <v>47870.151265919674</v>
      </c>
    </row>
    <row r="29" spans="1:35" x14ac:dyDescent="0.2">
      <c r="A29" s="69">
        <v>36642</v>
      </c>
      <c r="B29" s="10">
        <f>+'Apr 26'!O80</f>
        <v>46425</v>
      </c>
      <c r="C29" s="10">
        <f>+'Apr 26'!O81</f>
        <v>8000</v>
      </c>
      <c r="D29" s="10"/>
      <c r="E29" s="10">
        <f>+'Apr 26'!R82</f>
        <v>0</v>
      </c>
      <c r="F29" s="10">
        <v>0</v>
      </c>
      <c r="G29" s="10">
        <f t="shared" si="11"/>
        <v>54425</v>
      </c>
      <c r="H29" s="10">
        <v>54425</v>
      </c>
      <c r="I29" s="10">
        <f t="shared" si="1"/>
        <v>0</v>
      </c>
      <c r="J29" s="76"/>
      <c r="K29" s="10">
        <f>307+643</f>
        <v>950</v>
      </c>
      <c r="L29" s="10">
        <v>0</v>
      </c>
      <c r="M29" s="10">
        <f t="shared" si="2"/>
        <v>47375</v>
      </c>
      <c r="N29" s="10">
        <v>54327</v>
      </c>
      <c r="O29" s="10">
        <v>0</v>
      </c>
      <c r="P29" s="76"/>
      <c r="Q29" s="14">
        <f>27820-S29</f>
        <v>27820</v>
      </c>
      <c r="R29" s="13"/>
      <c r="S29" s="13">
        <v>0</v>
      </c>
      <c r="T29" s="10">
        <f t="shared" si="3"/>
        <v>27820</v>
      </c>
      <c r="U29" s="76"/>
      <c r="V29" s="13">
        <v>29908</v>
      </c>
      <c r="W29" s="13">
        <v>1996</v>
      </c>
      <c r="X29" s="13">
        <v>0</v>
      </c>
      <c r="Y29" s="10">
        <f t="shared" si="4"/>
        <v>31904</v>
      </c>
      <c r="Z29" s="76"/>
      <c r="AA29" s="10">
        <f t="shared" si="5"/>
        <v>4077.0571999999997</v>
      </c>
      <c r="AB29" s="10">
        <f t="shared" si="9"/>
        <v>564947.20846591971</v>
      </c>
      <c r="AD29" s="10">
        <f t="shared" si="6"/>
        <v>27820</v>
      </c>
      <c r="AE29" s="10">
        <v>20520</v>
      </c>
      <c r="AF29" s="10">
        <f t="shared" si="7"/>
        <v>48340</v>
      </c>
      <c r="AH29" s="10">
        <f t="shared" si="8"/>
        <v>-16442.942800000001</v>
      </c>
      <c r="AI29" s="10">
        <f t="shared" si="10"/>
        <v>31427.208465919673</v>
      </c>
    </row>
    <row r="30" spans="1:35" x14ac:dyDescent="0.2">
      <c r="A30" s="69">
        <v>36643</v>
      </c>
      <c r="B30" s="10">
        <f>+'Apr 27'!O80</f>
        <v>33712</v>
      </c>
      <c r="C30" s="10">
        <f>+'Apr 27'!O81</f>
        <v>9000</v>
      </c>
      <c r="D30" s="10"/>
      <c r="E30" s="10">
        <f>+'Apr 27'!R82</f>
        <v>0</v>
      </c>
      <c r="F30" s="10">
        <v>0</v>
      </c>
      <c r="G30" s="10">
        <f t="shared" si="11"/>
        <v>42712</v>
      </c>
      <c r="H30" s="10">
        <v>42712</v>
      </c>
      <c r="I30" s="10">
        <f t="shared" si="1"/>
        <v>0</v>
      </c>
      <c r="J30" s="76"/>
      <c r="K30" s="10">
        <f>307+612</f>
        <v>919</v>
      </c>
      <c r="L30" s="10">
        <v>0</v>
      </c>
      <c r="M30" s="10">
        <f t="shared" si="2"/>
        <v>34631</v>
      </c>
      <c r="N30" s="10">
        <v>54327</v>
      </c>
      <c r="O30" s="10">
        <v>0</v>
      </c>
      <c r="P30" s="76"/>
      <c r="Q30" s="14">
        <f>26233-S30</f>
        <v>26233</v>
      </c>
      <c r="R30" s="13"/>
      <c r="S30" s="13">
        <v>0</v>
      </c>
      <c r="T30" s="10">
        <f t="shared" si="3"/>
        <v>26233</v>
      </c>
      <c r="U30" s="76"/>
      <c r="V30" s="13">
        <v>29957</v>
      </c>
      <c r="W30" s="13">
        <v>5000</v>
      </c>
      <c r="X30" s="13">
        <v>0</v>
      </c>
      <c r="Y30" s="10">
        <f t="shared" si="4"/>
        <v>34957</v>
      </c>
      <c r="Z30" s="76"/>
      <c r="AA30" s="10">
        <f t="shared" si="5"/>
        <v>8709.1692000000003</v>
      </c>
      <c r="AB30" s="10">
        <f t="shared" si="9"/>
        <v>573656.37766591972</v>
      </c>
      <c r="AD30" s="10">
        <f t="shared" si="6"/>
        <v>26233</v>
      </c>
      <c r="AE30" s="10">
        <v>20520</v>
      </c>
      <c r="AF30" s="10">
        <f t="shared" si="7"/>
        <v>46753</v>
      </c>
      <c r="AH30" s="10">
        <f t="shared" si="8"/>
        <v>-11810.8308</v>
      </c>
      <c r="AI30" s="10">
        <f t="shared" si="10"/>
        <v>19616.377665919674</v>
      </c>
    </row>
    <row r="31" spans="1:35" x14ac:dyDescent="0.2">
      <c r="A31" s="69">
        <v>36644</v>
      </c>
      <c r="B31" s="10"/>
      <c r="C31" s="10"/>
      <c r="D31" s="10"/>
      <c r="E31" s="10"/>
      <c r="F31" s="10"/>
      <c r="G31" s="10">
        <f t="shared" si="11"/>
        <v>0</v>
      </c>
      <c r="H31" s="10"/>
      <c r="I31" s="10">
        <f t="shared" si="1"/>
        <v>0</v>
      </c>
      <c r="J31" s="76"/>
      <c r="K31" s="10"/>
      <c r="L31" s="10"/>
      <c r="M31" s="10"/>
      <c r="N31" s="10">
        <v>54327</v>
      </c>
      <c r="O31" s="10"/>
      <c r="P31" s="76"/>
      <c r="Q31" s="13">
        <v>0</v>
      </c>
      <c r="R31" s="13"/>
      <c r="S31" s="13"/>
      <c r="T31" s="10">
        <f t="shared" si="3"/>
        <v>0</v>
      </c>
      <c r="U31" s="76"/>
      <c r="V31" s="13"/>
      <c r="W31" s="13"/>
      <c r="X31" s="13"/>
      <c r="Y31" s="10">
        <f t="shared" si="4"/>
        <v>0</v>
      </c>
      <c r="Z31" s="76"/>
      <c r="AA31">
        <v>15067</v>
      </c>
      <c r="AB31" s="10">
        <f t="shared" si="9"/>
        <v>588723.37766591972</v>
      </c>
      <c r="AE31" s="10">
        <v>20520</v>
      </c>
    </row>
    <row r="32" spans="1:35" x14ac:dyDescent="0.2">
      <c r="A32" s="69">
        <v>36645</v>
      </c>
      <c r="B32" s="10"/>
      <c r="C32" s="10"/>
      <c r="D32" s="10"/>
      <c r="E32" s="10"/>
      <c r="F32" s="10"/>
      <c r="G32" s="10">
        <f t="shared" si="11"/>
        <v>0</v>
      </c>
      <c r="H32" s="10"/>
      <c r="I32" s="10">
        <f t="shared" si="1"/>
        <v>0</v>
      </c>
      <c r="J32" s="76"/>
      <c r="K32" s="10"/>
      <c r="L32" s="10"/>
      <c r="M32" s="10"/>
      <c r="N32" s="10">
        <v>54327</v>
      </c>
      <c r="O32" s="10"/>
      <c r="P32" s="76"/>
      <c r="Q32" s="13">
        <v>0</v>
      </c>
      <c r="R32" s="13"/>
      <c r="S32" s="13"/>
      <c r="T32" s="10">
        <f t="shared" si="3"/>
        <v>0</v>
      </c>
      <c r="U32" s="76"/>
      <c r="V32" s="13"/>
      <c r="W32" s="13"/>
      <c r="X32" s="13"/>
      <c r="Y32" s="10">
        <f t="shared" si="4"/>
        <v>0</v>
      </c>
      <c r="Z32" s="76"/>
      <c r="AA32">
        <v>14382</v>
      </c>
      <c r="AB32" s="10">
        <f t="shared" si="9"/>
        <v>603105.37766591972</v>
      </c>
      <c r="AE32" s="10">
        <v>20520</v>
      </c>
    </row>
    <row r="33" spans="1:31" x14ac:dyDescent="0.2">
      <c r="A33" s="69">
        <v>36646</v>
      </c>
      <c r="B33" s="10"/>
      <c r="C33" s="10"/>
      <c r="D33" s="10"/>
      <c r="E33" s="10"/>
      <c r="F33" s="10"/>
      <c r="G33" s="10">
        <f t="shared" si="11"/>
        <v>0</v>
      </c>
      <c r="H33" s="10"/>
      <c r="I33" s="10">
        <f t="shared" si="1"/>
        <v>0</v>
      </c>
      <c r="J33" s="76"/>
      <c r="K33" s="10"/>
      <c r="L33" s="10"/>
      <c r="M33" s="10"/>
      <c r="N33" s="10">
        <v>54327</v>
      </c>
      <c r="O33" s="10"/>
      <c r="P33" s="76"/>
      <c r="Q33" s="13">
        <v>0</v>
      </c>
      <c r="R33" s="13"/>
      <c r="S33" s="13"/>
      <c r="T33" s="10">
        <f t="shared" si="3"/>
        <v>0</v>
      </c>
      <c r="U33" s="76"/>
      <c r="V33" s="13"/>
      <c r="W33" s="13"/>
      <c r="X33" s="13"/>
      <c r="Y33" s="10">
        <f t="shared" si="4"/>
        <v>0</v>
      </c>
      <c r="Z33" s="76"/>
      <c r="AA33">
        <v>14394</v>
      </c>
      <c r="AB33" s="10">
        <f t="shared" si="9"/>
        <v>617499.37766591972</v>
      </c>
      <c r="AE33" s="10">
        <v>20520</v>
      </c>
    </row>
    <row r="34" spans="1:31" x14ac:dyDescent="0.2">
      <c r="B34" s="10"/>
      <c r="C34" s="10"/>
      <c r="D34" s="10"/>
      <c r="E34" s="10"/>
      <c r="F34" s="10"/>
      <c r="G34" s="10"/>
      <c r="H34" s="10"/>
      <c r="I34" s="10"/>
      <c r="J34" s="76"/>
      <c r="K34" s="10"/>
      <c r="L34" s="10"/>
      <c r="M34" s="10"/>
      <c r="N34" s="10"/>
      <c r="O34" s="10"/>
      <c r="P34" s="76"/>
      <c r="Q34" s="10"/>
      <c r="R34" s="10"/>
      <c r="S34" s="10"/>
      <c r="T34" s="10"/>
      <c r="U34" s="76"/>
      <c r="V34" s="10"/>
      <c r="W34" s="10"/>
      <c r="X34" s="10"/>
      <c r="Y34" s="10"/>
      <c r="Z34" s="76"/>
      <c r="AE34" s="10"/>
    </row>
    <row r="35" spans="1:31" x14ac:dyDescent="0.2">
      <c r="A35" t="s">
        <v>93</v>
      </c>
      <c r="B35" s="10">
        <f>SUM(B4:B33)</f>
        <v>1125238</v>
      </c>
      <c r="C35" s="10">
        <f t="shared" ref="C35:O35" si="12">SUM(C4:C33)</f>
        <v>37000</v>
      </c>
      <c r="D35" s="10"/>
      <c r="E35" s="10">
        <f t="shared" si="12"/>
        <v>91617</v>
      </c>
      <c r="F35" s="10">
        <f t="shared" si="12"/>
        <v>56000</v>
      </c>
      <c r="G35" s="10">
        <f t="shared" si="12"/>
        <v>1343963</v>
      </c>
      <c r="H35" s="10">
        <f t="shared" si="12"/>
        <v>1362137</v>
      </c>
      <c r="I35" s="10">
        <f t="shared" si="12"/>
        <v>18174</v>
      </c>
      <c r="J35" s="76"/>
      <c r="K35" s="10">
        <f t="shared" si="12"/>
        <v>24315</v>
      </c>
      <c r="L35" s="10">
        <f t="shared" si="12"/>
        <v>33626</v>
      </c>
      <c r="M35" s="10">
        <f t="shared" si="12"/>
        <v>1183179</v>
      </c>
      <c r="N35" s="10">
        <f t="shared" si="12"/>
        <v>1629810</v>
      </c>
      <c r="O35" s="10">
        <f t="shared" si="12"/>
        <v>-23189</v>
      </c>
      <c r="P35" s="76"/>
      <c r="Q35" s="10">
        <f>SUM(Q4:Q33)</f>
        <v>590081.64022245852</v>
      </c>
      <c r="R35" s="10">
        <f>SUM(R4:R33)</f>
        <v>0</v>
      </c>
      <c r="S35" s="10">
        <f>SUM(S4:S33)</f>
        <v>103674</v>
      </c>
      <c r="T35" s="10">
        <f>SUM(T4:T33)</f>
        <v>693755.64022245852</v>
      </c>
      <c r="U35" s="76"/>
      <c r="V35" s="10">
        <f>SUM(V4:V33)</f>
        <v>872311</v>
      </c>
      <c r="W35" s="10"/>
      <c r="X35" s="10"/>
      <c r="Y35" s="10">
        <f>SUM(Y4:Y33)</f>
        <v>1268451</v>
      </c>
      <c r="Z35" s="76"/>
      <c r="AA35" s="10">
        <f>SUM(AA4:AA33)</f>
        <v>617499.37766591972</v>
      </c>
      <c r="AB35" s="10"/>
      <c r="AE35" s="10">
        <f>SUM(AE4:AE33)</f>
        <v>615600</v>
      </c>
    </row>
    <row r="36" spans="1:31" x14ac:dyDescent="0.2">
      <c r="B36" s="10"/>
      <c r="C36" s="10"/>
      <c r="D36" s="10"/>
      <c r="E36" s="10"/>
      <c r="F36" s="10"/>
      <c r="G36" s="10"/>
      <c r="H36" s="10"/>
      <c r="I36" s="10"/>
      <c r="J36" s="76"/>
      <c r="K36" s="10"/>
      <c r="L36" s="10"/>
      <c r="M36" s="10"/>
      <c r="N36" s="10"/>
      <c r="O36" s="10"/>
      <c r="P36" s="76"/>
      <c r="Q36" s="10"/>
      <c r="R36" s="10"/>
      <c r="S36" s="10"/>
      <c r="T36" s="10"/>
      <c r="U36" s="76"/>
      <c r="V36" s="10"/>
      <c r="W36" s="10"/>
      <c r="X36" s="10"/>
      <c r="Y36" s="10"/>
      <c r="Z36" s="76"/>
      <c r="AE36" s="10"/>
    </row>
    <row r="37" spans="1:31" x14ac:dyDescent="0.2">
      <c r="B37" s="10"/>
      <c r="C37" s="10"/>
      <c r="D37" s="10"/>
      <c r="E37" s="10"/>
      <c r="F37" s="10"/>
      <c r="G37" s="10"/>
      <c r="H37" s="10"/>
      <c r="I37" s="10"/>
      <c r="J37" s="76"/>
      <c r="K37" s="10"/>
      <c r="L37" s="10"/>
      <c r="M37" s="10"/>
      <c r="N37" s="10"/>
      <c r="O37" s="10"/>
      <c r="P37" s="76"/>
      <c r="Q37" s="10"/>
      <c r="R37" s="10"/>
      <c r="S37" s="10"/>
      <c r="T37" s="10"/>
      <c r="U37" s="76"/>
      <c r="V37" s="10"/>
      <c r="W37" s="10" t="s">
        <v>115</v>
      </c>
      <c r="X37" s="10" t="s">
        <v>116</v>
      </c>
      <c r="Y37" s="10"/>
      <c r="Z37" s="76"/>
      <c r="AB37" s="10">
        <v>170981</v>
      </c>
      <c r="AE37" s="10">
        <v>170981</v>
      </c>
    </row>
    <row r="38" spans="1:31" x14ac:dyDescent="0.2">
      <c r="B38" s="10"/>
      <c r="C38" s="10"/>
      <c r="D38" s="10"/>
      <c r="E38" s="10"/>
      <c r="F38" s="10"/>
      <c r="G38" s="10"/>
      <c r="H38" s="10"/>
      <c r="I38" s="10"/>
      <c r="J38" s="76"/>
      <c r="K38" s="10"/>
      <c r="L38" s="10"/>
      <c r="M38" s="10"/>
      <c r="N38" s="10"/>
      <c r="O38" s="10"/>
      <c r="P38" s="76"/>
      <c r="Q38" s="10"/>
      <c r="R38" s="10"/>
      <c r="S38" s="10"/>
      <c r="T38" s="10"/>
      <c r="U38" s="76"/>
      <c r="V38" s="10"/>
      <c r="W38" s="10"/>
      <c r="X38" s="10"/>
      <c r="Y38" s="10"/>
      <c r="Z38" s="76"/>
      <c r="AB38" s="10"/>
      <c r="AE38" s="10"/>
    </row>
    <row r="39" spans="1:31" x14ac:dyDescent="0.2">
      <c r="B39" s="10"/>
      <c r="C39" s="10"/>
      <c r="D39" s="10"/>
      <c r="E39" s="10"/>
      <c r="F39" s="10"/>
      <c r="G39" s="10"/>
      <c r="H39" s="10"/>
      <c r="I39" s="10"/>
      <c r="J39" s="76"/>
      <c r="K39" s="10"/>
      <c r="L39" s="10"/>
      <c r="M39" s="10"/>
      <c r="N39" s="10"/>
      <c r="O39" s="10"/>
      <c r="P39" s="76"/>
      <c r="Q39" s="10"/>
      <c r="R39" s="10"/>
      <c r="S39" s="10"/>
      <c r="T39" s="10"/>
      <c r="U39" s="76"/>
      <c r="V39" s="10"/>
      <c r="W39" s="10" t="s">
        <v>123</v>
      </c>
      <c r="X39" s="10" t="s">
        <v>124</v>
      </c>
      <c r="Y39" s="10"/>
      <c r="Z39" s="76"/>
      <c r="AB39" s="10">
        <f>+AB33+AB37</f>
        <v>788480.37766591972</v>
      </c>
      <c r="AE39" s="10">
        <f>+AE35+AE37</f>
        <v>786581</v>
      </c>
    </row>
    <row r="40" spans="1:31" x14ac:dyDescent="0.2">
      <c r="B40" s="10"/>
      <c r="C40" s="10"/>
      <c r="D40" s="10"/>
      <c r="E40" s="10"/>
      <c r="F40" s="10"/>
      <c r="G40" s="10"/>
      <c r="H40" s="10"/>
      <c r="I40" s="10"/>
      <c r="J40" s="76"/>
      <c r="K40" s="10"/>
      <c r="L40" s="10"/>
      <c r="M40" s="10"/>
      <c r="N40" s="10"/>
      <c r="O40" s="10"/>
      <c r="P40" s="76"/>
      <c r="Q40" s="10"/>
      <c r="R40" s="10"/>
      <c r="S40" s="10"/>
      <c r="T40" s="10"/>
      <c r="U40" s="76"/>
      <c r="V40" s="10"/>
      <c r="W40" s="10"/>
      <c r="X40" s="10"/>
      <c r="Y40" s="10"/>
      <c r="Z40" s="76"/>
      <c r="AE40" s="10"/>
    </row>
    <row r="41" spans="1:31" x14ac:dyDescent="0.2">
      <c r="B41" s="10"/>
      <c r="C41" s="10"/>
      <c r="D41" s="10"/>
      <c r="E41" s="10"/>
      <c r="F41" s="10"/>
      <c r="G41" s="10"/>
      <c r="H41" s="10"/>
      <c r="I41" s="10"/>
      <c r="J41" s="76"/>
      <c r="K41" s="10"/>
      <c r="L41" s="10"/>
      <c r="M41" s="10"/>
      <c r="N41" s="10"/>
      <c r="O41" s="10"/>
      <c r="P41" s="76"/>
      <c r="Q41" s="10"/>
      <c r="R41" s="10"/>
      <c r="S41" s="10"/>
      <c r="T41" s="10"/>
      <c r="U41" s="76"/>
      <c r="V41" s="10"/>
      <c r="W41" s="10"/>
      <c r="X41" s="10"/>
      <c r="Y41" s="10"/>
      <c r="Z41" s="76"/>
      <c r="AE41" s="10"/>
    </row>
    <row r="42" spans="1:31" x14ac:dyDescent="0.2">
      <c r="B42" s="10"/>
      <c r="C42" s="10"/>
      <c r="D42" s="10"/>
      <c r="E42" s="10"/>
      <c r="F42" s="10"/>
      <c r="G42" s="10"/>
      <c r="H42" s="10"/>
      <c r="I42" s="10"/>
      <c r="J42" s="76"/>
      <c r="K42" s="10"/>
      <c r="L42" s="10"/>
      <c r="M42" s="10"/>
      <c r="N42" s="10"/>
      <c r="O42" s="10"/>
      <c r="P42" s="76"/>
      <c r="Q42" s="10"/>
      <c r="R42" s="10"/>
      <c r="S42" s="10"/>
      <c r="T42" s="10"/>
      <c r="U42" s="76"/>
      <c r="V42" s="10"/>
      <c r="W42" s="10"/>
      <c r="X42" s="10"/>
      <c r="Y42" s="10"/>
      <c r="Z42" s="76"/>
    </row>
  </sheetData>
  <mergeCells count="4">
    <mergeCell ref="B2:H2"/>
    <mergeCell ref="Q1:T1"/>
    <mergeCell ref="V1:Y1"/>
    <mergeCell ref="AA1:AB1"/>
  </mergeCells>
  <printOptions gridLines="1"/>
  <pageMargins left="0.28000000000000003" right="0.42" top="1" bottom="1" header="0.5" footer="0.5"/>
  <pageSetup paperSize="5" scale="61" orientation="landscape" r:id="rId1"/>
  <headerFooter alignWithMargins="0">
    <oddFooter>&amp;Lo:\logistics\gas\east\tco\apr00\&amp;F&amp;C&amp;A&amp;R&amp;D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67"/>
  <sheetViews>
    <sheetView topLeftCell="E49" workbookViewId="0">
      <selection activeCell="S25" sqref="S25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37147</v>
      </c>
      <c r="J6" s="10">
        <f>ROUND(+G6*H6,0)</f>
        <v>270</v>
      </c>
      <c r="K6" s="22">
        <v>526</v>
      </c>
      <c r="L6" s="14">
        <f>ROUND(+K6*H6,0)</f>
        <v>289</v>
      </c>
      <c r="M6" s="14"/>
      <c r="N6" s="25">
        <v>995</v>
      </c>
      <c r="O6" s="14">
        <f>ROUND(+H6*N6,0)</f>
        <v>547</v>
      </c>
      <c r="P6" s="14"/>
      <c r="Q6" s="24">
        <v>479</v>
      </c>
      <c r="R6" s="14">
        <f>+O6</f>
        <v>547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237</v>
      </c>
      <c r="M7" s="16"/>
      <c r="N7" s="16"/>
      <c r="O7" s="18">
        <f>ROUND(+H7*N6,0)</f>
        <v>448</v>
      </c>
      <c r="P7" s="14"/>
      <c r="R7" s="23">
        <v>0</v>
      </c>
      <c r="S7" s="10">
        <f>+R7-O7</f>
        <v>-448</v>
      </c>
      <c r="T7" t="s">
        <v>47</v>
      </c>
    </row>
    <row r="8" spans="1:20" x14ac:dyDescent="0.2">
      <c r="J8" s="10">
        <f>SUM(J6:J7)</f>
        <v>491</v>
      </c>
      <c r="L8" s="10">
        <f>SUM(L6:L7)</f>
        <v>526</v>
      </c>
      <c r="O8" s="10">
        <f>SUM(O6:O7)</f>
        <v>995</v>
      </c>
      <c r="R8" s="10">
        <f>SUM(R6:R7)</f>
        <v>547</v>
      </c>
      <c r="S8" s="54">
        <f>+R8-Q6</f>
        <v>68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37147</v>
      </c>
      <c r="J10" s="10">
        <f>ROUND(+G10*H10,0)</f>
        <v>3524</v>
      </c>
      <c r="K10" s="22">
        <v>5728</v>
      </c>
      <c r="L10" s="14">
        <f>ROUND(+K10*H10,0)</f>
        <v>3150</v>
      </c>
      <c r="M10" s="14"/>
      <c r="N10" s="25">
        <v>8790</v>
      </c>
      <c r="O10" s="14">
        <v>4834</v>
      </c>
      <c r="P10" s="14"/>
      <c r="Q10" s="24">
        <v>5388</v>
      </c>
      <c r="R10" s="14">
        <f>ROUND(+O10,0)</f>
        <v>4834</v>
      </c>
    </row>
    <row r="11" spans="1:20" ht="13.5" thickBot="1" x14ac:dyDescent="0.25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f>ROUND(+K10*H11,0)</f>
        <v>2578</v>
      </c>
      <c r="M11" s="16"/>
      <c r="N11" s="19"/>
      <c r="O11" s="18">
        <f>ROUND(+H11*N10,0)</f>
        <v>3956</v>
      </c>
      <c r="P11" s="16"/>
      <c r="Q11" s="19"/>
      <c r="R11" s="23">
        <f>ROUND(+Q10-N10+O11,0)</f>
        <v>554</v>
      </c>
      <c r="S11" s="10">
        <f>+R11-O11</f>
        <v>-3402</v>
      </c>
      <c r="T11" t="s">
        <v>47</v>
      </c>
    </row>
    <row r="12" spans="1:20" x14ac:dyDescent="0.2">
      <c r="J12" s="10">
        <f>SUM(J10:J11)-1</f>
        <v>6407</v>
      </c>
      <c r="K12" s="13"/>
      <c r="L12" s="14">
        <f>+L10+L11</f>
        <v>5728</v>
      </c>
      <c r="M12" s="14"/>
      <c r="N12" s="13"/>
      <c r="O12" s="10">
        <f>SUM(O10:O11)</f>
        <v>8790</v>
      </c>
      <c r="P12" s="14"/>
      <c r="Q12" s="13"/>
      <c r="R12" s="10">
        <f>SUM(R10:R11)</f>
        <v>5388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37147</v>
      </c>
      <c r="J14" s="10">
        <f>ROUND(+G14*H14,0)</f>
        <v>1420</v>
      </c>
      <c r="K14" s="22">
        <v>2441</v>
      </c>
      <c r="L14" s="14">
        <f>ROUND(+K14*H14,0)</f>
        <v>1343</v>
      </c>
      <c r="M14" s="14"/>
      <c r="N14" s="25">
        <v>3815</v>
      </c>
      <c r="O14" s="14">
        <f>ROUND(+H14*N14,0)</f>
        <v>2098</v>
      </c>
      <c r="P14" s="14"/>
      <c r="Q14" s="24">
        <v>2303</v>
      </c>
      <c r="R14" s="14">
        <f>ROUND(+O14,0)</f>
        <v>2098</v>
      </c>
    </row>
    <row r="15" spans="1:20" ht="13.5" thickBot="1" x14ac:dyDescent="0.25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1098</v>
      </c>
      <c r="M15" s="16"/>
      <c r="N15" s="19"/>
      <c r="O15" s="18">
        <f>ROUND(+H15*N14,0)</f>
        <v>1717</v>
      </c>
      <c r="P15" s="16"/>
      <c r="Q15" s="19"/>
      <c r="R15" s="23">
        <f>ROUND(+Q14-N14+O15,0)</f>
        <v>205</v>
      </c>
      <c r="S15" s="10">
        <f>+R15-O15</f>
        <v>-1512</v>
      </c>
      <c r="T15" t="s">
        <v>47</v>
      </c>
    </row>
    <row r="16" spans="1:20" x14ac:dyDescent="0.2">
      <c r="J16" s="10">
        <f>SUM(J14:J15)-1</f>
        <v>2581</v>
      </c>
      <c r="K16" s="13"/>
      <c r="L16" s="10">
        <f>SUM(L14:L15)</f>
        <v>2441</v>
      </c>
      <c r="N16" s="13"/>
      <c r="O16" s="10">
        <f>SUM(O14:O15)</f>
        <v>3815</v>
      </c>
      <c r="Q16" s="13"/>
      <c r="R16" s="10">
        <f>SUM(R14:R15)</f>
        <v>2303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37147</v>
      </c>
      <c r="J18" s="10">
        <f>ROUND(+G18*H18,0)</f>
        <v>6550</v>
      </c>
      <c r="K18" s="22">
        <v>13129</v>
      </c>
      <c r="L18" s="14">
        <f>ROUND(+K18*H18,0)</f>
        <v>7221</v>
      </c>
      <c r="M18" s="14"/>
      <c r="N18" s="25">
        <v>21360</v>
      </c>
      <c r="O18" s="14">
        <f>ROUND(+H18*N18,0)-10000</f>
        <v>1748</v>
      </c>
      <c r="P18" s="14"/>
      <c r="Q18" s="24">
        <v>12442</v>
      </c>
      <c r="R18" s="14">
        <f>ROUND(+O18,0)</f>
        <v>1748</v>
      </c>
    </row>
    <row r="19" spans="1:20" x14ac:dyDescent="0.2">
      <c r="A19">
        <v>38021</v>
      </c>
      <c r="B19" s="1" t="s">
        <v>83</v>
      </c>
      <c r="G19" s="6"/>
      <c r="K19" s="22"/>
      <c r="L19" s="14"/>
      <c r="M19" s="14"/>
      <c r="N19" s="25"/>
      <c r="O19" s="14">
        <v>10000</v>
      </c>
      <c r="P19" s="14"/>
      <c r="Q19" s="24"/>
      <c r="R19" s="14">
        <v>10000</v>
      </c>
    </row>
    <row r="20" spans="1:20" ht="13.5" thickBot="1" x14ac:dyDescent="0.25">
      <c r="A20">
        <v>67693</v>
      </c>
      <c r="B20" s="1">
        <v>16</v>
      </c>
      <c r="H20" s="8">
        <f>+$B$2</f>
        <v>0.45</v>
      </c>
      <c r="I20" s="1" t="s">
        <v>51</v>
      </c>
      <c r="J20" s="16">
        <f>ROUND(+G18*H20,0)</f>
        <v>5359</v>
      </c>
      <c r="K20" s="19"/>
      <c r="L20" s="16">
        <f>ROUND(+K18*H20,0)</f>
        <v>5908</v>
      </c>
      <c r="M20" s="16"/>
      <c r="N20" s="19"/>
      <c r="O20" s="18">
        <f>ROUND(+H20*N18,0)</f>
        <v>9612</v>
      </c>
      <c r="P20" s="16"/>
      <c r="Q20" s="19"/>
      <c r="R20" s="23">
        <f>ROUND(+Q18-N18+O20,0)</f>
        <v>694</v>
      </c>
      <c r="S20" s="10">
        <f>+R20-O20</f>
        <v>-8918</v>
      </c>
      <c r="T20" t="s">
        <v>47</v>
      </c>
    </row>
    <row r="21" spans="1:20" x14ac:dyDescent="0.2">
      <c r="J21" s="14">
        <f>SUM(J18:J20)</f>
        <v>11909</v>
      </c>
      <c r="K21" s="13"/>
      <c r="L21" s="10">
        <f>SUM(L18:L20)</f>
        <v>13129</v>
      </c>
      <c r="M21" s="14"/>
      <c r="N21" s="13"/>
      <c r="O21" s="10">
        <f>SUM(O18:O20)</f>
        <v>21360</v>
      </c>
      <c r="P21" s="14"/>
      <c r="Q21" s="13"/>
      <c r="R21" s="10">
        <f>SUM(R18:R20)</f>
        <v>12442</v>
      </c>
      <c r="S21" s="10">
        <f>+R21-Q18</f>
        <v>0</v>
      </c>
      <c r="T21" t="s">
        <v>46</v>
      </c>
    </row>
    <row r="23" spans="1:20" x14ac:dyDescent="0.2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0.55000000000000004</v>
      </c>
      <c r="I23" s="1">
        <v>37147</v>
      </c>
      <c r="J23" s="10">
        <f>ROUND(+G23*H23,0)</f>
        <v>984</v>
      </c>
      <c r="K23" s="22">
        <v>1981</v>
      </c>
      <c r="L23" s="14">
        <f>ROUND(+K23*H23,0)</f>
        <v>1090</v>
      </c>
      <c r="M23" s="14"/>
      <c r="N23" s="25">
        <v>3237</v>
      </c>
      <c r="O23" s="14">
        <f>ROUND(+H23*N23,0)</f>
        <v>1780</v>
      </c>
      <c r="P23" s="14"/>
      <c r="Q23" s="24">
        <v>1771</v>
      </c>
      <c r="R23" s="14">
        <f>ROUND(+O23,0)</f>
        <v>1780</v>
      </c>
    </row>
    <row r="24" spans="1:20" ht="13.5" thickBot="1" x14ac:dyDescent="0.25">
      <c r="A24">
        <v>67693</v>
      </c>
      <c r="B24" s="1">
        <v>17</v>
      </c>
      <c r="H24" s="8">
        <f>+$B$2</f>
        <v>0.45</v>
      </c>
      <c r="I24" s="1" t="s">
        <v>51</v>
      </c>
      <c r="J24" s="16">
        <f>ROUND(+G23*H24,0)</f>
        <v>805</v>
      </c>
      <c r="K24" s="19"/>
      <c r="L24" s="18">
        <f>ROUND(+K23*H24,0)</f>
        <v>891</v>
      </c>
      <c r="M24" s="18"/>
      <c r="N24" s="19"/>
      <c r="O24" s="18">
        <f>ROUND(+H24*N23,0)</f>
        <v>1457</v>
      </c>
      <c r="P24" s="18"/>
      <c r="Q24" s="19"/>
      <c r="R24" s="23">
        <v>0</v>
      </c>
      <c r="S24" s="10">
        <f>+R24-O24</f>
        <v>-1457</v>
      </c>
      <c r="T24" t="s">
        <v>47</v>
      </c>
    </row>
    <row r="25" spans="1:20" x14ac:dyDescent="0.2">
      <c r="J25" s="10">
        <f>SUM(J23:J24)</f>
        <v>1789</v>
      </c>
      <c r="K25" s="13"/>
      <c r="L25" s="10">
        <f>SUM(L23:L24)</f>
        <v>1981</v>
      </c>
      <c r="N25" s="13"/>
      <c r="O25" s="10">
        <f>SUM(O23:O24)</f>
        <v>3237</v>
      </c>
      <c r="Q25" s="13"/>
      <c r="R25" s="10">
        <f>SUM(R23:R24)</f>
        <v>1780</v>
      </c>
      <c r="S25" s="54">
        <f>+R25-Q23</f>
        <v>9</v>
      </c>
      <c r="T25" t="s">
        <v>46</v>
      </c>
    </row>
    <row r="27" spans="1:20" x14ac:dyDescent="0.2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0.55000000000000004</v>
      </c>
      <c r="I27" s="1">
        <v>37147</v>
      </c>
      <c r="J27" s="10">
        <f>ROUND(+G27*H27,0)</f>
        <v>784</v>
      </c>
      <c r="K27" s="22">
        <v>1490</v>
      </c>
      <c r="L27" s="14">
        <v>819</v>
      </c>
      <c r="M27" s="14"/>
      <c r="N27" s="25">
        <v>2216</v>
      </c>
      <c r="O27" s="14">
        <f>ROUND(+H27*N27,0)</f>
        <v>1219</v>
      </c>
      <c r="P27" s="14"/>
      <c r="Q27" s="24">
        <v>1329</v>
      </c>
      <c r="R27" s="14">
        <f>ROUND(+O27,0)</f>
        <v>1219</v>
      </c>
    </row>
    <row r="28" spans="1:20" ht="13.5" thickBot="1" x14ac:dyDescent="0.25">
      <c r="A28">
        <v>67693</v>
      </c>
      <c r="B28" s="1">
        <v>18</v>
      </c>
      <c r="H28" s="8">
        <f>+$B$2</f>
        <v>0.45</v>
      </c>
      <c r="I28" s="1" t="s">
        <v>51</v>
      </c>
      <c r="J28" s="16">
        <f>ROUND(+G27*H28,0)</f>
        <v>641</v>
      </c>
      <c r="K28" s="19"/>
      <c r="L28" s="16">
        <f>ROUND(+K27*H28,0)</f>
        <v>671</v>
      </c>
      <c r="M28" s="16"/>
      <c r="N28" s="19"/>
      <c r="O28" s="18">
        <f>ROUND(+H28*N27,0)</f>
        <v>997</v>
      </c>
      <c r="P28" s="16"/>
      <c r="Q28" s="19"/>
      <c r="R28" s="23">
        <f>ROUND(+Q27-N27+O28,0)</f>
        <v>110</v>
      </c>
      <c r="S28" s="10">
        <f>+R28-O28</f>
        <v>-887</v>
      </c>
      <c r="T28" t="s">
        <v>47</v>
      </c>
    </row>
    <row r="29" spans="1:20" x14ac:dyDescent="0.2">
      <c r="J29" s="10">
        <f>SUM(J27:J28)</f>
        <v>1425</v>
      </c>
      <c r="K29" s="13"/>
      <c r="L29" s="10">
        <f>SUM(L27:L28)</f>
        <v>1490</v>
      </c>
      <c r="N29" s="13"/>
      <c r="O29" s="10">
        <f>SUM(O27:O28)</f>
        <v>2216</v>
      </c>
      <c r="Q29" s="13"/>
      <c r="R29" s="10">
        <f>SUM(R27:R28)</f>
        <v>1329</v>
      </c>
      <c r="S29" s="10">
        <f>+R29-Q27</f>
        <v>0</v>
      </c>
      <c r="T29" t="s">
        <v>46</v>
      </c>
    </row>
    <row r="31" spans="1:20" x14ac:dyDescent="0.2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0.55000000000000004</v>
      </c>
      <c r="I31" s="1">
        <v>37147</v>
      </c>
      <c r="J31" s="10">
        <f>ROUND(+G31*H31,0)</f>
        <v>6247</v>
      </c>
      <c r="K31" s="22">
        <v>9872</v>
      </c>
      <c r="L31" s="14">
        <f>ROUND(+K31*H31,0)</f>
        <v>5430</v>
      </c>
      <c r="M31" s="14"/>
      <c r="N31" s="25">
        <v>18578</v>
      </c>
      <c r="O31" s="14">
        <f>ROUND(+H31*N31,0)-10000</f>
        <v>218</v>
      </c>
      <c r="P31" s="14"/>
      <c r="Q31" s="24">
        <v>10541</v>
      </c>
      <c r="R31" s="14">
        <f>ROUND(+O31,0)</f>
        <v>218</v>
      </c>
    </row>
    <row r="32" spans="1:20" x14ac:dyDescent="0.2">
      <c r="A32">
        <v>38021</v>
      </c>
      <c r="B32" s="1" t="s">
        <v>83</v>
      </c>
      <c r="G32" s="6"/>
      <c r="K32" s="22"/>
      <c r="L32" s="14"/>
      <c r="M32" s="14"/>
      <c r="N32" s="25"/>
      <c r="O32" s="14">
        <v>10000</v>
      </c>
      <c r="P32" s="14"/>
      <c r="Q32" s="24"/>
      <c r="R32" s="14">
        <v>10000</v>
      </c>
    </row>
    <row r="33" spans="1:20" ht="13.5" thickBot="1" x14ac:dyDescent="0.25">
      <c r="A33">
        <v>67693</v>
      </c>
      <c r="B33" s="1">
        <v>19</v>
      </c>
      <c r="H33" s="8">
        <f>+$B$2</f>
        <v>0.45</v>
      </c>
      <c r="I33" s="1" t="s">
        <v>51</v>
      </c>
      <c r="J33" s="16">
        <f>ROUND(+G31*H33,0)</f>
        <v>5112</v>
      </c>
      <c r="K33" s="19"/>
      <c r="L33" s="16">
        <f>ROUND(+K31*H33,0)</f>
        <v>4442</v>
      </c>
      <c r="M33" s="16"/>
      <c r="N33" s="19"/>
      <c r="O33" s="18">
        <f>ROUND(+H33*N31,0)</f>
        <v>8360</v>
      </c>
      <c r="P33" s="16"/>
      <c r="Q33" s="19"/>
      <c r="R33" s="23">
        <f>ROUND(+Q31-N31+O33,0)</f>
        <v>323</v>
      </c>
      <c r="S33" s="10">
        <f>+R33-O33</f>
        <v>-8037</v>
      </c>
      <c r="T33" t="s">
        <v>47</v>
      </c>
    </row>
    <row r="34" spans="1:20" x14ac:dyDescent="0.2">
      <c r="J34" s="10">
        <f>SUM(J31:J33)</f>
        <v>11359</v>
      </c>
      <c r="K34" s="13"/>
      <c r="L34" s="10">
        <f>SUM(L31:L33)</f>
        <v>9872</v>
      </c>
      <c r="N34" s="13"/>
      <c r="O34" s="10">
        <f>SUM(O31:O33)</f>
        <v>18578</v>
      </c>
      <c r="Q34" s="13"/>
      <c r="R34" s="10">
        <f>SUM(R31:R33)</f>
        <v>10541</v>
      </c>
      <c r="S34" s="10">
        <f>+R34-Q31</f>
        <v>0</v>
      </c>
      <c r="T34" t="s">
        <v>46</v>
      </c>
    </row>
    <row r="36" spans="1:20" ht="12" customHeight="1" x14ac:dyDescent="0.2">
      <c r="A36">
        <v>67693</v>
      </c>
      <c r="B36" s="1">
        <v>7</v>
      </c>
      <c r="C36" t="s">
        <v>15</v>
      </c>
      <c r="D36" t="s">
        <v>41</v>
      </c>
      <c r="E36" s="1" t="s">
        <v>26</v>
      </c>
      <c r="F36" s="48">
        <v>2405</v>
      </c>
      <c r="G36">
        <v>1891</v>
      </c>
      <c r="H36" s="8">
        <f>+$B$1</f>
        <v>0.55000000000000004</v>
      </c>
      <c r="I36" s="1">
        <v>37147</v>
      </c>
      <c r="J36" s="10">
        <f>ROUND(+G36*H36,0)</f>
        <v>1040</v>
      </c>
      <c r="K36" s="22">
        <v>1874</v>
      </c>
      <c r="L36" s="14">
        <f>ROUND(+K36*H36,0)</f>
        <v>1031</v>
      </c>
      <c r="M36" s="14"/>
      <c r="N36" s="25">
        <v>3340</v>
      </c>
      <c r="O36" s="14">
        <f>ROUND(+H36*N36,0)</f>
        <v>1837</v>
      </c>
      <c r="P36" s="14"/>
      <c r="Q36" s="24">
        <v>1986</v>
      </c>
      <c r="R36" s="14">
        <f>ROUND(+O36,0)</f>
        <v>1837</v>
      </c>
    </row>
    <row r="37" spans="1:20" ht="12" customHeight="1" thickBot="1" x14ac:dyDescent="0.25">
      <c r="A37">
        <v>67693</v>
      </c>
      <c r="B37" s="1">
        <v>20</v>
      </c>
      <c r="H37" s="8">
        <f>+$B$2</f>
        <v>0.45</v>
      </c>
      <c r="I37" s="1" t="s">
        <v>51</v>
      </c>
      <c r="J37" s="16">
        <f>ROUND(+G36*H37,0)</f>
        <v>851</v>
      </c>
      <c r="K37" s="19"/>
      <c r="L37" s="16">
        <f>ROUND(+K36*H37,0)</f>
        <v>843</v>
      </c>
      <c r="M37" s="16"/>
      <c r="N37" s="19"/>
      <c r="O37" s="18">
        <f>ROUND(+H37*N36,0)</f>
        <v>1503</v>
      </c>
      <c r="P37" s="16"/>
      <c r="Q37" s="19"/>
      <c r="R37" s="23">
        <f>ROUND(+Q36-N36+O37,0)</f>
        <v>149</v>
      </c>
      <c r="S37" s="10">
        <f>+R37-O37</f>
        <v>-1354</v>
      </c>
      <c r="T37" t="s">
        <v>47</v>
      </c>
    </row>
    <row r="38" spans="1:20" ht="12" customHeight="1" x14ac:dyDescent="0.2">
      <c r="J38" s="10">
        <f>SUM(J36:J37)</f>
        <v>1891</v>
      </c>
      <c r="K38" s="13"/>
      <c r="L38" s="10">
        <f>SUM(L36:L37)</f>
        <v>1874</v>
      </c>
      <c r="N38" s="13"/>
      <c r="O38" s="10">
        <f>SUM(O36:O37)</f>
        <v>3340</v>
      </c>
      <c r="Q38" s="13"/>
      <c r="R38" s="10">
        <f>SUM(R36:R37)</f>
        <v>1986</v>
      </c>
      <c r="S38" s="10">
        <f>+R38-Q36</f>
        <v>0</v>
      </c>
      <c r="T38" t="s">
        <v>46</v>
      </c>
    </row>
    <row r="39" spans="1:20" ht="12" customHeight="1" x14ac:dyDescent="0.2"/>
    <row r="40" spans="1:20" x14ac:dyDescent="0.2">
      <c r="A40">
        <v>67693</v>
      </c>
      <c r="B40" s="1">
        <v>8</v>
      </c>
      <c r="C40" t="s">
        <v>16</v>
      </c>
      <c r="D40" t="s">
        <v>42</v>
      </c>
      <c r="E40" s="1" t="s">
        <v>27</v>
      </c>
      <c r="F40" s="48">
        <v>2573</v>
      </c>
      <c r="G40">
        <v>2000</v>
      </c>
      <c r="H40" s="8">
        <f>+$B$1</f>
        <v>0.55000000000000004</v>
      </c>
      <c r="I40" s="1">
        <v>37147</v>
      </c>
      <c r="J40" s="10">
        <f>ROUND(+G40*H40,0)</f>
        <v>1100</v>
      </c>
      <c r="K40" s="22">
        <v>1710</v>
      </c>
      <c r="L40" s="14">
        <v>940</v>
      </c>
      <c r="M40" s="14"/>
      <c r="N40" s="25">
        <v>3190</v>
      </c>
      <c r="O40" s="14">
        <v>1754</v>
      </c>
      <c r="P40" s="14"/>
      <c r="Q40" s="24">
        <v>1710</v>
      </c>
      <c r="R40" s="14">
        <f>ROUND(+O40,0)</f>
        <v>1754</v>
      </c>
    </row>
    <row r="41" spans="1:20" ht="13.5" thickBot="1" x14ac:dyDescent="0.25">
      <c r="A41">
        <v>67693</v>
      </c>
      <c r="B41" s="1">
        <v>21</v>
      </c>
      <c r="H41" s="8">
        <f>+$B$2</f>
        <v>0.45</v>
      </c>
      <c r="I41" s="1" t="s">
        <v>51</v>
      </c>
      <c r="J41" s="16">
        <f>ROUND(+G40*H41,0)-1</f>
        <v>899</v>
      </c>
      <c r="K41" s="19"/>
      <c r="L41" s="16">
        <f>ROUND(+K40*H41,0)</f>
        <v>770</v>
      </c>
      <c r="M41" s="16"/>
      <c r="N41" s="19"/>
      <c r="O41" s="18">
        <f>ROUND(+H41*N40,0)</f>
        <v>1436</v>
      </c>
      <c r="P41" s="16"/>
      <c r="Q41" s="19"/>
      <c r="R41" s="23">
        <v>0</v>
      </c>
      <c r="S41" s="10">
        <f>+R41-O41</f>
        <v>-1436</v>
      </c>
      <c r="T41" t="s">
        <v>47</v>
      </c>
    </row>
    <row r="42" spans="1:20" x14ac:dyDescent="0.2">
      <c r="J42" s="10">
        <f>SUM(J40:J41)</f>
        <v>1999</v>
      </c>
      <c r="L42" s="10">
        <f>SUM(L40:L41)</f>
        <v>1710</v>
      </c>
      <c r="O42" s="10">
        <f>SUM(O40:O41)</f>
        <v>3190</v>
      </c>
      <c r="R42" s="10">
        <f>SUM(R40:R41)</f>
        <v>1754</v>
      </c>
      <c r="S42" s="54">
        <f>+R42-Q40</f>
        <v>44</v>
      </c>
      <c r="T42" t="s">
        <v>46</v>
      </c>
    </row>
    <row r="44" spans="1:20" x14ac:dyDescent="0.2">
      <c r="A44">
        <v>67693</v>
      </c>
      <c r="B44" s="1">
        <v>9</v>
      </c>
      <c r="C44" t="s">
        <v>17</v>
      </c>
      <c r="D44" t="s">
        <v>43</v>
      </c>
      <c r="E44" s="1" t="s">
        <v>28</v>
      </c>
      <c r="F44" s="48">
        <v>3128</v>
      </c>
      <c r="G44">
        <v>2470</v>
      </c>
      <c r="H44" s="8">
        <f>+$B$1</f>
        <v>0.55000000000000004</v>
      </c>
      <c r="I44" s="1">
        <v>37147</v>
      </c>
      <c r="J44" s="10">
        <f>ROUND(+G44*H44,0)</f>
        <v>1359</v>
      </c>
      <c r="K44" s="22">
        <v>2133</v>
      </c>
      <c r="L44" s="14">
        <f>ROUND(+K44*H44,0)</f>
        <v>1173</v>
      </c>
      <c r="M44" s="14"/>
      <c r="N44" s="25">
        <v>3957</v>
      </c>
      <c r="O44" s="14">
        <f>ROUND(+H44*N44,0)</f>
        <v>2176</v>
      </c>
      <c r="P44" s="14"/>
      <c r="Q44" s="24">
        <v>2133</v>
      </c>
      <c r="R44" s="14">
        <f>ROUND(+O44,0)</f>
        <v>2176</v>
      </c>
    </row>
    <row r="45" spans="1:20" ht="13.5" thickBot="1" x14ac:dyDescent="0.25">
      <c r="A45">
        <v>67693</v>
      </c>
      <c r="B45" s="1">
        <v>22</v>
      </c>
      <c r="H45" s="8">
        <f>+$B$2</f>
        <v>0.45</v>
      </c>
      <c r="I45" s="1" t="s">
        <v>51</v>
      </c>
      <c r="J45" s="16">
        <f>ROUND(+G44*H45,0)</f>
        <v>1112</v>
      </c>
      <c r="K45" s="19"/>
      <c r="L45" s="16">
        <f>ROUND(+K44*H45,0)</f>
        <v>960</v>
      </c>
      <c r="M45" s="16"/>
      <c r="N45" s="19"/>
      <c r="O45" s="18">
        <f>ROUND(+H45*N44,0)</f>
        <v>1781</v>
      </c>
      <c r="P45" s="16"/>
      <c r="Q45" s="19"/>
      <c r="R45" s="23">
        <v>0</v>
      </c>
      <c r="S45" s="10">
        <f>+R45-O45</f>
        <v>-1781</v>
      </c>
      <c r="T45" t="s">
        <v>47</v>
      </c>
    </row>
    <row r="46" spans="1:20" x14ac:dyDescent="0.2">
      <c r="J46" s="10">
        <f>SUM(J44:J45)</f>
        <v>2471</v>
      </c>
      <c r="K46" s="13"/>
      <c r="L46" s="10">
        <f>SUM(L44:L45)</f>
        <v>2133</v>
      </c>
      <c r="N46" s="13"/>
      <c r="O46" s="10">
        <f>SUM(O44:O45)</f>
        <v>3957</v>
      </c>
      <c r="Q46" s="13"/>
      <c r="R46" s="10">
        <f>SUM(R44:R45)</f>
        <v>2176</v>
      </c>
      <c r="S46" s="54">
        <f>+R46-Q44</f>
        <v>43</v>
      </c>
      <c r="T46" t="s">
        <v>46</v>
      </c>
    </row>
    <row r="48" spans="1:20" x14ac:dyDescent="0.2">
      <c r="A48">
        <v>67693</v>
      </c>
      <c r="B48" s="33">
        <v>12</v>
      </c>
      <c r="C48" t="s">
        <v>18</v>
      </c>
      <c r="D48" t="s">
        <v>44</v>
      </c>
      <c r="E48" s="1" t="s">
        <v>29</v>
      </c>
      <c r="F48" s="48">
        <v>1654</v>
      </c>
      <c r="G48" s="32">
        <v>1276</v>
      </c>
      <c r="H48" s="8">
        <f>+$B$1</f>
        <v>0.55000000000000004</v>
      </c>
      <c r="I48" s="1">
        <v>37147</v>
      </c>
      <c r="J48" s="10">
        <f>ROUND(+G48*H48,0)</f>
        <v>702</v>
      </c>
      <c r="K48" s="22">
        <v>987</v>
      </c>
      <c r="L48" s="14">
        <f>ROUND(+K48*H48,0)</f>
        <v>543</v>
      </c>
      <c r="M48" s="14"/>
      <c r="N48" s="25">
        <v>907</v>
      </c>
      <c r="O48" s="14">
        <f>ROUND(+H48*N48,0)</f>
        <v>499</v>
      </c>
      <c r="P48" s="14"/>
      <c r="Q48" s="24">
        <v>827</v>
      </c>
      <c r="R48" s="14">
        <f>ROUND(+O48,0)</f>
        <v>499</v>
      </c>
    </row>
    <row r="49" spans="1:20" ht="13.5" thickBot="1" x14ac:dyDescent="0.25">
      <c r="A49">
        <v>67693</v>
      </c>
      <c r="B49" s="33">
        <v>23</v>
      </c>
      <c r="G49" s="32"/>
      <c r="H49" s="8">
        <f>+$B$2</f>
        <v>0.45</v>
      </c>
      <c r="I49" s="1" t="s">
        <v>52</v>
      </c>
      <c r="J49" s="16">
        <f>ROUND(+G48*H49,0)</f>
        <v>574</v>
      </c>
      <c r="K49" s="19"/>
      <c r="L49" s="16">
        <f>ROUND(+K48*H49,0)</f>
        <v>444</v>
      </c>
      <c r="M49" s="16"/>
      <c r="N49" s="19"/>
      <c r="O49" s="18">
        <f>ROUND(+H49*N48,0)</f>
        <v>408</v>
      </c>
      <c r="P49" s="16"/>
      <c r="Q49" s="19"/>
      <c r="R49" s="23">
        <f>ROUND(+Q48-N48+O49,0)</f>
        <v>328</v>
      </c>
      <c r="S49" s="10">
        <f>+R49-O49</f>
        <v>-80</v>
      </c>
      <c r="T49" t="s">
        <v>47</v>
      </c>
    </row>
    <row r="50" spans="1:20" x14ac:dyDescent="0.2">
      <c r="B50" s="33"/>
      <c r="G50" s="32"/>
      <c r="J50" s="15">
        <f>SUM(J48:J49)</f>
        <v>1276</v>
      </c>
      <c r="K50" s="20"/>
      <c r="L50" s="15">
        <f>SUM(L48:L49)</f>
        <v>987</v>
      </c>
      <c r="M50" s="15"/>
      <c r="N50" s="20"/>
      <c r="O50" s="10">
        <f>SUM(O48:O49)</f>
        <v>907</v>
      </c>
      <c r="P50" s="15"/>
      <c r="Q50" s="20"/>
      <c r="R50" s="10">
        <f>SUM(R48:R49)</f>
        <v>827</v>
      </c>
      <c r="S50" s="10">
        <f>+R50-Q48</f>
        <v>0</v>
      </c>
      <c r="T50" t="s">
        <v>46</v>
      </c>
    </row>
    <row r="52" spans="1:20" x14ac:dyDescent="0.2">
      <c r="A52">
        <v>67693</v>
      </c>
      <c r="B52" s="33">
        <v>14</v>
      </c>
      <c r="C52" t="s">
        <v>19</v>
      </c>
      <c r="D52" t="s">
        <v>45</v>
      </c>
      <c r="E52" s="1" t="s">
        <v>30</v>
      </c>
      <c r="F52" s="48">
        <v>33</v>
      </c>
      <c r="G52" s="32">
        <v>25</v>
      </c>
      <c r="H52" s="8">
        <f>+$B$1</f>
        <v>0.55000000000000004</v>
      </c>
      <c r="I52" s="1">
        <v>37147</v>
      </c>
      <c r="J52" s="10">
        <f>ROUND(+G52*H52,0)</f>
        <v>14</v>
      </c>
      <c r="K52" s="22">
        <v>26</v>
      </c>
      <c r="L52" s="14">
        <f>ROUND(+K52*H52,0)</f>
        <v>14</v>
      </c>
      <c r="M52" s="14"/>
      <c r="N52" s="25">
        <v>40</v>
      </c>
      <c r="O52" s="14">
        <f>ROUND(+H52*N52,0)</f>
        <v>22</v>
      </c>
      <c r="P52" s="14"/>
      <c r="Q52" s="24">
        <v>23</v>
      </c>
      <c r="R52" s="14">
        <f>ROUND(+O52,0)</f>
        <v>22</v>
      </c>
    </row>
    <row r="53" spans="1:20" ht="13.5" thickBot="1" x14ac:dyDescent="0.25">
      <c r="A53">
        <v>67693</v>
      </c>
      <c r="B53" s="33">
        <v>24</v>
      </c>
      <c r="H53" s="8">
        <f>+$B$2</f>
        <v>0.45</v>
      </c>
      <c r="I53" s="1" t="s">
        <v>52</v>
      </c>
      <c r="J53" s="16">
        <f>ROUND(+G52*H53,0)</f>
        <v>11</v>
      </c>
      <c r="K53" s="16"/>
      <c r="L53" s="16">
        <f>ROUND(+K52*H53,0)</f>
        <v>12</v>
      </c>
      <c r="M53" s="16"/>
      <c r="N53" s="16"/>
      <c r="O53" s="18">
        <f>ROUND(+H53*N52,0)</f>
        <v>18</v>
      </c>
      <c r="P53" s="16"/>
      <c r="Q53" s="16"/>
      <c r="R53" s="23">
        <f>ROUND(+Q52-N52+O53,0)</f>
        <v>1</v>
      </c>
      <c r="S53" s="10">
        <f>+R53-O53</f>
        <v>-17</v>
      </c>
      <c r="T53" t="s">
        <v>47</v>
      </c>
    </row>
    <row r="54" spans="1:20" x14ac:dyDescent="0.2">
      <c r="B54" s="33"/>
      <c r="J54" s="10">
        <f>SUM(J52:J53)</f>
        <v>25</v>
      </c>
      <c r="L54" s="10">
        <f>SUM(L52:L53)</f>
        <v>26</v>
      </c>
      <c r="O54" s="10">
        <f>SUM(O52:O53)</f>
        <v>40</v>
      </c>
      <c r="R54" s="10">
        <f>SUM(R52:R53)</f>
        <v>23</v>
      </c>
      <c r="S54" s="10">
        <f>+R54-Q52</f>
        <v>0</v>
      </c>
      <c r="T54" t="s">
        <v>46</v>
      </c>
    </row>
    <row r="56" spans="1:20" x14ac:dyDescent="0.2">
      <c r="E56" t="s">
        <v>32</v>
      </c>
      <c r="F56" s="50">
        <f>SUM(F6:F54)</f>
        <v>54327</v>
      </c>
      <c r="G56">
        <f>SUM(G6:G54)</f>
        <v>43625</v>
      </c>
      <c r="K56" s="10">
        <f>SUM(K6:K54)</f>
        <v>41897</v>
      </c>
      <c r="L56" s="28">
        <f>SUM(L8+L12+L16+L21+L25+L29+L34+L38+L42+L46+L50+L54)</f>
        <v>41897</v>
      </c>
      <c r="N56" s="10">
        <f>SUM(N6:N54)</f>
        <v>70425</v>
      </c>
      <c r="O56" s="28">
        <f>SUM(O8+O12+O16+O21+O25+O29+O34+O38+O42+O46+O50+O54)</f>
        <v>70425</v>
      </c>
      <c r="Q56" s="10">
        <f>SUM(Q6:Q54)</f>
        <v>40932</v>
      </c>
      <c r="R56" s="28">
        <f>SUM(R8+R12+R16+R21+R25+R29+R34+R38+R42+R46+R50+R54)</f>
        <v>41096</v>
      </c>
      <c r="S56" s="10">
        <f>S54+S50+S46+S42+S38+S34+S29+S25+S21+S16+S12+S8</f>
        <v>164</v>
      </c>
    </row>
    <row r="57" spans="1:20" x14ac:dyDescent="0.2">
      <c r="S57" s="54">
        <f>R56-S56</f>
        <v>40932</v>
      </c>
    </row>
    <row r="59" spans="1:20" x14ac:dyDescent="0.2">
      <c r="A59">
        <v>63281</v>
      </c>
      <c r="B59" s="1">
        <v>40</v>
      </c>
      <c r="H59" s="1">
        <v>22</v>
      </c>
      <c r="I59" t="s">
        <v>33</v>
      </c>
      <c r="J59" s="10">
        <f>SUMIF($I$6:$I$53,"22STOW",$J$6:$J$53)</f>
        <v>221</v>
      </c>
      <c r="L59" s="10">
        <f>SUMIF($I$6:$I$53,"22STOW",$L$6:$L$53)</f>
        <v>237</v>
      </c>
      <c r="O59" s="10">
        <f>SUMIF($I$6:$I$53,"22STOW",$O$6:$O$53)</f>
        <v>448</v>
      </c>
      <c r="R59" s="10">
        <f>SUMIF($I$6:$I$53,"22STOW",$R$6:$R$53)</f>
        <v>0</v>
      </c>
    </row>
    <row r="60" spans="1:20" x14ac:dyDescent="0.2">
      <c r="A60">
        <v>63281</v>
      </c>
      <c r="B60" s="1">
        <v>53</v>
      </c>
      <c r="C60" t="s">
        <v>54</v>
      </c>
      <c r="H60" s="1" t="s">
        <v>48</v>
      </c>
      <c r="I60" t="s">
        <v>33</v>
      </c>
      <c r="J60" s="10">
        <f>SUMIF($I$6:$I$53,"23nSTOW",$J$6:$J$53)</f>
        <v>4046</v>
      </c>
      <c r="L60" s="10">
        <f>SUMIF($I$6:$I$53,"23nSTOW",$L$6:$L$53)</f>
        <v>3676</v>
      </c>
      <c r="O60" s="10">
        <f>SUMIF($I$6:$I$53,"23nSTOW",$O$6:$O$53)</f>
        <v>5673</v>
      </c>
      <c r="R60" s="10">
        <f>SUMIF($I$6:$I$53,"23nSTOW",$R$6:$R$53)</f>
        <v>759</v>
      </c>
    </row>
    <row r="61" spans="1:20" x14ac:dyDescent="0.2">
      <c r="A61">
        <v>63281</v>
      </c>
      <c r="B61" s="1">
        <v>54</v>
      </c>
      <c r="C61" t="s">
        <v>54</v>
      </c>
      <c r="H61" s="1">
        <v>23</v>
      </c>
      <c r="I61" t="s">
        <v>33</v>
      </c>
      <c r="J61" s="10">
        <f>SUMIF($I$6:$I$53,"23STOW",$J$6:$J$53)</f>
        <v>14779</v>
      </c>
      <c r="L61" s="10">
        <f>SUMIF($I$6:$I$53,"23STOW",$L$6:$L$53)</f>
        <v>14485</v>
      </c>
      <c r="O61" s="10">
        <f>SUMIF($I$6:$I$53,"23STOW",$O$6:$O$53)</f>
        <v>25146</v>
      </c>
      <c r="R61" s="10">
        <f>SUMIF($I$6:$I$53,"23STOW",$R$6:$R$53)</f>
        <v>1276</v>
      </c>
    </row>
    <row r="62" spans="1:20" x14ac:dyDescent="0.2">
      <c r="A62">
        <v>63281</v>
      </c>
      <c r="B62" s="1">
        <v>55</v>
      </c>
      <c r="C62" t="s">
        <v>54</v>
      </c>
      <c r="H62" s="1">
        <v>24</v>
      </c>
      <c r="I62" t="s">
        <v>33</v>
      </c>
      <c r="J62" s="10">
        <f>SUMIF($I$6:$I$53,"24STOW",$J$6:$J$53)</f>
        <v>585</v>
      </c>
      <c r="L62" s="10">
        <f>SUMIF($I$6:$I$53,"24STOW",$L$6:$L$53)</f>
        <v>456</v>
      </c>
      <c r="O62" s="10">
        <f>SUMIF($I$6:$I$53,"24STOW",$O$6:$O$53)</f>
        <v>426</v>
      </c>
      <c r="R62" s="10">
        <f>SUMIF($I$6:$I$53,"24STOW",$R$6:$R$53)</f>
        <v>329</v>
      </c>
    </row>
    <row r="64" spans="1:20" x14ac:dyDescent="0.2">
      <c r="A64">
        <v>63281</v>
      </c>
      <c r="B64" s="1">
        <v>52</v>
      </c>
      <c r="E64"/>
      <c r="F64" s="50"/>
      <c r="I64" s="1" t="s">
        <v>53</v>
      </c>
      <c r="J64" s="10">
        <f>SUM(J59:J62)</f>
        <v>19631</v>
      </c>
      <c r="K64" s="10">
        <f>+L64/0.97816</f>
        <v>19274.965240860391</v>
      </c>
      <c r="L64" s="10">
        <f>SUM(L59:L62)</f>
        <v>18854</v>
      </c>
      <c r="N64" s="10">
        <f>+O64/0.97816</f>
        <v>32400.629753823505</v>
      </c>
      <c r="O64" s="10">
        <f>SUM(O59:O62)</f>
        <v>31693</v>
      </c>
      <c r="Q64" s="10">
        <f>+R64/0.97816</f>
        <v>2416.7825304653634</v>
      </c>
      <c r="R64" s="10">
        <f>SUM(R59:R62)</f>
        <v>2364</v>
      </c>
    </row>
    <row r="66" spans="4:18" x14ac:dyDescent="0.2">
      <c r="D66" t="s">
        <v>85</v>
      </c>
      <c r="F66">
        <v>67693</v>
      </c>
      <c r="G66" s="1" t="s">
        <v>84</v>
      </c>
      <c r="L66" s="10">
        <f>SUMIF($A$6:$A$53,"67693",$L$6:$L$53)</f>
        <v>41897</v>
      </c>
      <c r="O66" s="10">
        <f>SUMIF($A$6:$A$53,"67693",$O$6:$O$53)</f>
        <v>50425</v>
      </c>
      <c r="R66" s="10">
        <f>SUMIF($A$6:$A$53,"67693",$R$6:$R$53)</f>
        <v>21096</v>
      </c>
    </row>
    <row r="67" spans="4:18" x14ac:dyDescent="0.2">
      <c r="F67">
        <v>38021</v>
      </c>
      <c r="G67" s="1" t="s">
        <v>84</v>
      </c>
      <c r="L67" s="10">
        <f>SUMIF($A$6:$A$53,"38021",$L$6:$L$53)</f>
        <v>0</v>
      </c>
      <c r="O67" s="10">
        <f>SUMIF($A$6:$A$53,"38021",$O$6:$O$53)</f>
        <v>20000</v>
      </c>
      <c r="R67" s="10">
        <f>SUMIF($A$6:$A$53,"38021",$R$6:$R$53)</f>
        <v>20000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U70"/>
  <sheetViews>
    <sheetView topLeftCell="D44" workbookViewId="0">
      <selection activeCell="F70" sqref="F70:R70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1136</v>
      </c>
      <c r="L6" s="14">
        <f>ROUND(+K6*H6,0)</f>
        <v>682</v>
      </c>
      <c r="M6" s="14"/>
      <c r="N6" s="25">
        <f>ROUND(+K6,0)</f>
        <v>1136</v>
      </c>
      <c r="O6" s="14">
        <f>ROUND(+L6,0)</f>
        <v>682</v>
      </c>
      <c r="P6" s="14"/>
      <c r="Q6" s="24">
        <v>1276</v>
      </c>
      <c r="R6" s="14">
        <f>+O6</f>
        <v>682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454</v>
      </c>
      <c r="M7" s="16"/>
      <c r="N7" s="16"/>
      <c r="O7" s="18">
        <f>ROUND(+L7,0)</f>
        <v>454</v>
      </c>
      <c r="P7" s="14"/>
      <c r="R7" s="23">
        <f>ROUND(+Q6-N6+O7,0)</f>
        <v>594</v>
      </c>
      <c r="S7" s="10">
        <f>+R7-O7</f>
        <v>140</v>
      </c>
      <c r="T7" t="s">
        <v>47</v>
      </c>
    </row>
    <row r="8" spans="1:20" x14ac:dyDescent="0.2">
      <c r="J8" s="10">
        <f>SUM(J6:J7)</f>
        <v>491</v>
      </c>
      <c r="L8" s="10">
        <f>SUM(L6:L7)</f>
        <v>1136</v>
      </c>
      <c r="O8" s="10">
        <f>ROUND(+L8,0)</f>
        <v>1136</v>
      </c>
      <c r="R8" s="10">
        <f>SUM(R6:R7)</f>
        <v>1276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9810</v>
      </c>
      <c r="L10" s="14">
        <f>ROUND(+K10*H10,0)</f>
        <v>5886</v>
      </c>
      <c r="M10" s="14"/>
      <c r="N10" s="25">
        <f>ROUND(+K10,0)</f>
        <v>9810</v>
      </c>
      <c r="O10" s="14">
        <f>ROUND(+L10,0)</f>
        <v>5886</v>
      </c>
      <c r="P10" s="14"/>
      <c r="Q10" s="24">
        <v>11171</v>
      </c>
      <c r="R10" s="14">
        <f>ROUND(+O10,0)</f>
        <v>5886</v>
      </c>
    </row>
    <row r="11" spans="1:20" ht="13.5" thickBot="1" x14ac:dyDescent="0.25">
      <c r="A11">
        <v>67693</v>
      </c>
      <c r="B11" s="1">
        <v>25</v>
      </c>
      <c r="H11" s="8">
        <f>+$B$2</f>
        <v>0.4</v>
      </c>
      <c r="I11" s="1" t="s">
        <v>50</v>
      </c>
      <c r="J11" s="16">
        <f>ROUND(+G10*H11,0)</f>
        <v>2563</v>
      </c>
      <c r="K11" s="19"/>
      <c r="L11" s="16">
        <f>ROUND(+K10*H11,0)</f>
        <v>3924</v>
      </c>
      <c r="M11" s="16"/>
      <c r="N11" s="16"/>
      <c r="O11" s="18">
        <f>ROUND(+L11,0)</f>
        <v>3924</v>
      </c>
      <c r="P11" s="16"/>
      <c r="Q11" s="19"/>
      <c r="R11" s="23">
        <f>ROUND(+Q10-N10+O11,0)</f>
        <v>5285</v>
      </c>
      <c r="S11" s="10">
        <f>+R11-O11</f>
        <v>1361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9810</v>
      </c>
      <c r="M12" s="14"/>
      <c r="O12" s="10">
        <f>ROUND(+L12,0)</f>
        <v>9810</v>
      </c>
      <c r="P12" s="14"/>
      <c r="Q12" s="13"/>
      <c r="R12" s="10">
        <f>SUM(R10:R11)</f>
        <v>11171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0.6</v>
      </c>
      <c r="I14" s="1">
        <v>36907</v>
      </c>
      <c r="J14" s="10">
        <f>ROUND(+G14*H14,0)</f>
        <v>1549</v>
      </c>
      <c r="K14" s="22">
        <v>4089</v>
      </c>
      <c r="L14" s="14">
        <f>ROUND(+K14*H14,0)</f>
        <v>2453</v>
      </c>
      <c r="M14" s="14"/>
      <c r="N14" s="25">
        <f>ROUND(+K14,0)</f>
        <v>4089</v>
      </c>
      <c r="O14" s="14">
        <f>ROUND(+L14,0)</f>
        <v>2453</v>
      </c>
      <c r="P14" s="14"/>
      <c r="Q14" s="24">
        <v>4639</v>
      </c>
      <c r="R14" s="14">
        <f>ROUND(+O14,0)</f>
        <v>2453</v>
      </c>
    </row>
    <row r="15" spans="1:20" ht="13.5" thickBot="1" x14ac:dyDescent="0.25">
      <c r="A15">
        <v>67693</v>
      </c>
      <c r="B15" s="1">
        <v>26</v>
      </c>
      <c r="H15" s="8">
        <f>+$B$2</f>
        <v>0.4</v>
      </c>
      <c r="I15" s="1" t="s">
        <v>50</v>
      </c>
      <c r="J15" s="16">
        <f>ROUND(+G14*H15,0)</f>
        <v>1033</v>
      </c>
      <c r="K15" s="19"/>
      <c r="L15" s="16">
        <f>ROUND(+K14*H15,0)</f>
        <v>1636</v>
      </c>
      <c r="M15" s="16"/>
      <c r="N15" s="16"/>
      <c r="O15" s="18">
        <f>ROUND(+L15,0)</f>
        <v>1636</v>
      </c>
      <c r="P15" s="16"/>
      <c r="Q15" s="19"/>
      <c r="R15" s="23">
        <f>ROUND(+Q14-N14+O15,0)</f>
        <v>2186</v>
      </c>
      <c r="S15" s="10">
        <f>+R15-O15</f>
        <v>550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4089</v>
      </c>
      <c r="O16" s="10">
        <f>ROUND(+L16,0)</f>
        <v>4089</v>
      </c>
      <c r="Q16" s="13"/>
      <c r="R16" s="10">
        <f>SUM(R14:R15)</f>
        <v>4639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0.6</v>
      </c>
      <c r="I18" s="1">
        <v>36907</v>
      </c>
      <c r="J18" s="10">
        <f>ROUND(+G18*H18,0)</f>
        <v>7145</v>
      </c>
      <c r="K18" s="22">
        <v>22731</v>
      </c>
      <c r="L18" s="59">
        <f>ROUND(+K18*H18,0)-10000-3639</f>
        <v>0</v>
      </c>
      <c r="M18" s="14"/>
      <c r="N18" s="25">
        <f>ROUND(+K18,0)</f>
        <v>22731</v>
      </c>
      <c r="O18" s="14">
        <f>ROUND(+L18,0)</f>
        <v>0</v>
      </c>
      <c r="P18" s="14"/>
      <c r="Q18" s="24">
        <v>24104</v>
      </c>
      <c r="R18" s="14">
        <f>ROUND(+O18,0)</f>
        <v>0</v>
      </c>
    </row>
    <row r="19" spans="1:20" x14ac:dyDescent="0.2">
      <c r="A19">
        <v>40998</v>
      </c>
      <c r="B19" s="1">
        <v>90</v>
      </c>
      <c r="G19" s="6"/>
      <c r="K19" s="22"/>
      <c r="L19" s="59">
        <v>13639</v>
      </c>
      <c r="M19" s="14"/>
      <c r="N19" s="25"/>
      <c r="O19" s="14"/>
      <c r="P19" s="14"/>
      <c r="Q19" s="24"/>
      <c r="R19" s="14">
        <v>13639</v>
      </c>
    </row>
    <row r="20" spans="1:20" ht="13.5" thickBot="1" x14ac:dyDescent="0.25">
      <c r="A20">
        <v>67693</v>
      </c>
      <c r="B20" s="1">
        <v>16</v>
      </c>
      <c r="H20" s="8">
        <f>+$B$2</f>
        <v>0.4</v>
      </c>
      <c r="I20" s="1" t="s">
        <v>51</v>
      </c>
      <c r="J20" s="16">
        <f>ROUND(+G18*H20,0)</f>
        <v>4764</v>
      </c>
      <c r="K20" s="19"/>
      <c r="L20" s="16">
        <f>ROUND(+K18*H20,0)</f>
        <v>9092</v>
      </c>
      <c r="M20" s="16"/>
      <c r="N20" s="16"/>
      <c r="O20" s="18">
        <f>ROUND(+L20,0)</f>
        <v>9092</v>
      </c>
      <c r="P20" s="16"/>
      <c r="Q20" s="19"/>
      <c r="R20" s="23">
        <f>ROUND(+Q18-N18+O20,0)</f>
        <v>10465</v>
      </c>
      <c r="S20" s="10">
        <f>+R20-O20</f>
        <v>1373</v>
      </c>
      <c r="T20" t="s">
        <v>47</v>
      </c>
    </row>
    <row r="21" spans="1:20" x14ac:dyDescent="0.2">
      <c r="J21" s="14">
        <f>SUM(J18:J20)</f>
        <v>11909</v>
      </c>
      <c r="K21" s="13"/>
      <c r="L21" s="10">
        <f>SUM(L18:L20)</f>
        <v>22731</v>
      </c>
      <c r="M21" s="14"/>
      <c r="O21" s="10">
        <f>ROUND(+L21,0)</f>
        <v>22731</v>
      </c>
      <c r="P21" s="14"/>
      <c r="Q21" s="13"/>
      <c r="R21" s="10">
        <f>SUM(R18:R20)</f>
        <v>24104</v>
      </c>
      <c r="S21" s="10">
        <f>+R21-Q18</f>
        <v>0</v>
      </c>
      <c r="T21" t="s">
        <v>46</v>
      </c>
    </row>
    <row r="23" spans="1:20" x14ac:dyDescent="0.2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0.6</v>
      </c>
      <c r="I23" s="1">
        <v>36907</v>
      </c>
      <c r="J23" s="10">
        <f>ROUND(+G23*H23,0)</f>
        <v>1073</v>
      </c>
      <c r="K23" s="22">
        <v>3446</v>
      </c>
      <c r="L23" s="14">
        <f>ROUND(+K23*H23,0)</f>
        <v>2068</v>
      </c>
      <c r="M23" s="14"/>
      <c r="N23" s="25">
        <f>ROUND(+K23,0)</f>
        <v>3446</v>
      </c>
      <c r="O23" s="14">
        <f>ROUND(+L23,0)</f>
        <v>2068</v>
      </c>
      <c r="P23" s="14"/>
      <c r="Q23" s="24">
        <v>3552</v>
      </c>
      <c r="R23" s="14">
        <f>ROUND(+O23,0)</f>
        <v>2068</v>
      </c>
    </row>
    <row r="24" spans="1:20" ht="13.5" thickBot="1" x14ac:dyDescent="0.25">
      <c r="A24">
        <v>67693</v>
      </c>
      <c r="B24" s="1">
        <v>17</v>
      </c>
      <c r="H24" s="8">
        <f>+$B$2</f>
        <v>0.4</v>
      </c>
      <c r="I24" s="1" t="s">
        <v>51</v>
      </c>
      <c r="J24" s="16">
        <f>ROUND(+G23*H24,0)</f>
        <v>716</v>
      </c>
      <c r="K24" s="19"/>
      <c r="L24" s="18">
        <f>ROUND(+K23*H24,0)</f>
        <v>1378</v>
      </c>
      <c r="M24" s="18"/>
      <c r="N24" s="16"/>
      <c r="O24" s="18">
        <f>ROUND(+L24,0)</f>
        <v>1378</v>
      </c>
      <c r="P24" s="18"/>
      <c r="Q24" s="19"/>
      <c r="R24" s="23">
        <f>ROUND(+Q23-N23+O24,0)</f>
        <v>1484</v>
      </c>
      <c r="S24" s="10">
        <f>+R24-O24</f>
        <v>106</v>
      </c>
      <c r="T24" t="s">
        <v>47</v>
      </c>
    </row>
    <row r="25" spans="1:20" x14ac:dyDescent="0.2">
      <c r="J25" s="10">
        <f>SUM(J23:J24)</f>
        <v>1789</v>
      </c>
      <c r="K25" s="13"/>
      <c r="L25" s="10">
        <f>SUM(L23:L24)</f>
        <v>3446</v>
      </c>
      <c r="O25" s="10">
        <f>ROUND(+L25,0)</f>
        <v>3446</v>
      </c>
      <c r="Q25" s="13"/>
      <c r="R25" s="10">
        <f>SUM(R23:R24)</f>
        <v>3552</v>
      </c>
      <c r="S25" s="10">
        <f>+R25-Q23</f>
        <v>0</v>
      </c>
      <c r="T25" t="s">
        <v>46</v>
      </c>
    </row>
    <row r="27" spans="1:20" x14ac:dyDescent="0.2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0.6</v>
      </c>
      <c r="I27" s="1">
        <v>36907</v>
      </c>
      <c r="J27" s="10">
        <f>ROUND(+G27*H27,0)</f>
        <v>855</v>
      </c>
      <c r="K27" s="22">
        <v>2538</v>
      </c>
      <c r="L27" s="14">
        <f>ROUND(+K27*H27,0)</f>
        <v>1523</v>
      </c>
      <c r="M27" s="14"/>
      <c r="N27" s="25">
        <f>ROUND(+K27,0)</f>
        <v>2538</v>
      </c>
      <c r="O27" s="14">
        <f>ROUND(+L27,0)</f>
        <v>1523</v>
      </c>
      <c r="P27" s="14"/>
      <c r="Q27" s="24">
        <v>2779</v>
      </c>
      <c r="R27" s="14">
        <f>ROUND(+O27,0)</f>
        <v>1523</v>
      </c>
    </row>
    <row r="28" spans="1:20" ht="13.5" thickBot="1" x14ac:dyDescent="0.25">
      <c r="A28">
        <v>67693</v>
      </c>
      <c r="B28" s="1">
        <v>18</v>
      </c>
      <c r="H28" s="8">
        <f>+$B$2</f>
        <v>0.4</v>
      </c>
      <c r="I28" s="1" t="s">
        <v>51</v>
      </c>
      <c r="J28" s="16">
        <f>ROUND(+G27*H28,0)</f>
        <v>570</v>
      </c>
      <c r="K28" s="19"/>
      <c r="L28" s="16">
        <f>ROUND(+K27*H28,0)</f>
        <v>1015</v>
      </c>
      <c r="M28" s="16"/>
      <c r="N28" s="16"/>
      <c r="O28" s="18">
        <f>ROUND(+L28,0)</f>
        <v>1015</v>
      </c>
      <c r="P28" s="16"/>
      <c r="Q28" s="19"/>
      <c r="R28" s="23">
        <f>ROUND(+Q27-N27+O28,0)</f>
        <v>1256</v>
      </c>
      <c r="S28" s="10">
        <f>+R28-O28</f>
        <v>241</v>
      </c>
      <c r="T28" t="s">
        <v>47</v>
      </c>
    </row>
    <row r="29" spans="1:20" x14ac:dyDescent="0.2">
      <c r="J29" s="10">
        <f>SUM(J27:J28)</f>
        <v>1425</v>
      </c>
      <c r="K29" s="13"/>
      <c r="L29" s="10">
        <f>SUM(L27:L28)</f>
        <v>2538</v>
      </c>
      <c r="O29" s="10">
        <f>ROUND(+L29,0)</f>
        <v>2538</v>
      </c>
      <c r="Q29" s="13"/>
      <c r="R29" s="10">
        <f>SUM(R27:R28)</f>
        <v>2779</v>
      </c>
      <c r="S29" s="10">
        <f>+R29-Q27</f>
        <v>0</v>
      </c>
      <c r="T29" t="s">
        <v>46</v>
      </c>
    </row>
    <row r="31" spans="1:20" x14ac:dyDescent="0.2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0.6</v>
      </c>
      <c r="I31" s="1">
        <v>36907</v>
      </c>
      <c r="J31" s="10">
        <f>ROUND(+G31*H31,0)</f>
        <v>6815</v>
      </c>
      <c r="K31" s="22">
        <v>19917</v>
      </c>
      <c r="L31" s="59">
        <f>ROUND(+K31*H31,0)-10000-1950</f>
        <v>0</v>
      </c>
      <c r="M31" s="14"/>
      <c r="N31" s="25">
        <f>ROUND(+K31,0)</f>
        <v>19917</v>
      </c>
      <c r="O31" s="14">
        <f>ROUND(+L31,0)</f>
        <v>0</v>
      </c>
      <c r="P31" s="14"/>
      <c r="Q31" s="24">
        <v>21257</v>
      </c>
      <c r="R31" s="14">
        <f>ROUND(+O31,0)</f>
        <v>0</v>
      </c>
    </row>
    <row r="32" spans="1:20" x14ac:dyDescent="0.2">
      <c r="A32">
        <v>40998</v>
      </c>
      <c r="B32" s="1">
        <v>91</v>
      </c>
      <c r="G32" s="6"/>
      <c r="K32" s="22"/>
      <c r="L32" s="59">
        <v>11950</v>
      </c>
      <c r="M32" s="14"/>
      <c r="N32" s="25"/>
      <c r="O32" s="14"/>
      <c r="P32" s="14"/>
      <c r="Q32" s="24"/>
      <c r="R32" s="14">
        <v>11950</v>
      </c>
    </row>
    <row r="33" spans="1:20" ht="13.5" thickBot="1" x14ac:dyDescent="0.25">
      <c r="A33">
        <v>67693</v>
      </c>
      <c r="B33" s="1">
        <v>19</v>
      </c>
      <c r="H33" s="8">
        <f>+$B$2</f>
        <v>0.4</v>
      </c>
      <c r="I33" s="1" t="s">
        <v>51</v>
      </c>
      <c r="J33" s="16">
        <f>ROUND(+G31*H33,0)</f>
        <v>4544</v>
      </c>
      <c r="K33" s="19"/>
      <c r="L33" s="16">
        <f>ROUND(+K31*H33,0)</f>
        <v>7967</v>
      </c>
      <c r="M33" s="16"/>
      <c r="N33" s="16"/>
      <c r="O33" s="18">
        <f>ROUND(+L33,0)</f>
        <v>7967</v>
      </c>
      <c r="P33" s="16"/>
      <c r="Q33" s="19"/>
      <c r="R33" s="23">
        <f>ROUND(+Q31-N31+O33,0)</f>
        <v>9307</v>
      </c>
      <c r="S33" s="10">
        <f>+R33-O33</f>
        <v>1340</v>
      </c>
      <c r="T33" t="s">
        <v>47</v>
      </c>
    </row>
    <row r="34" spans="1:20" x14ac:dyDescent="0.2">
      <c r="J34" s="10">
        <f>SUM(J31:J33)</f>
        <v>11359</v>
      </c>
      <c r="K34" s="13"/>
      <c r="L34" s="10">
        <f>SUM(L31:L33)</f>
        <v>19917</v>
      </c>
      <c r="O34" s="10">
        <f>ROUND(+L34,0)</f>
        <v>19917</v>
      </c>
      <c r="Q34" s="13"/>
      <c r="R34" s="10">
        <f>SUM(R31:R33)</f>
        <v>21257</v>
      </c>
      <c r="S34" s="10">
        <f>+R34-Q31</f>
        <v>0</v>
      </c>
      <c r="T34" t="s">
        <v>46</v>
      </c>
    </row>
    <row r="36" spans="1:20" ht="12" customHeight="1" x14ac:dyDescent="0.2">
      <c r="A36">
        <v>67693</v>
      </c>
      <c r="B36" s="1">
        <v>7</v>
      </c>
      <c r="C36" t="s">
        <v>15</v>
      </c>
      <c r="D36" t="s">
        <v>41</v>
      </c>
      <c r="E36" s="1" t="s">
        <v>26</v>
      </c>
      <c r="F36" s="48">
        <v>2405</v>
      </c>
      <c r="G36">
        <v>1891</v>
      </c>
      <c r="H36" s="8">
        <f>+$B$1</f>
        <v>0.6</v>
      </c>
      <c r="I36" s="1">
        <v>36907</v>
      </c>
      <c r="J36" s="10">
        <f>ROUND(+G36*H36,0)</f>
        <v>1135</v>
      </c>
      <c r="K36" s="22">
        <v>3453</v>
      </c>
      <c r="L36" s="14">
        <f>ROUND(+K36*H36,0)</f>
        <v>2072</v>
      </c>
      <c r="M36" s="14"/>
      <c r="N36" s="25">
        <f>ROUND(+K36,0)</f>
        <v>3453</v>
      </c>
      <c r="O36" s="14">
        <f>ROUND(+L36,0)</f>
        <v>2072</v>
      </c>
      <c r="P36" s="14"/>
      <c r="Q36" s="24">
        <v>3791</v>
      </c>
      <c r="R36" s="14">
        <f>ROUND(+O36,0)</f>
        <v>2072</v>
      </c>
    </row>
    <row r="37" spans="1:20" ht="12" customHeight="1" thickBot="1" x14ac:dyDescent="0.25">
      <c r="A37">
        <v>67693</v>
      </c>
      <c r="B37" s="1">
        <v>20</v>
      </c>
      <c r="H37" s="8">
        <f>+$B$2</f>
        <v>0.4</v>
      </c>
      <c r="I37" s="1" t="s">
        <v>51</v>
      </c>
      <c r="J37" s="16">
        <f>ROUND(+G36*H37,0)</f>
        <v>756</v>
      </c>
      <c r="K37" s="19"/>
      <c r="L37" s="16">
        <f>ROUND(+K36*H37,0)</f>
        <v>1381</v>
      </c>
      <c r="M37" s="16"/>
      <c r="N37" s="16"/>
      <c r="O37" s="18">
        <f>ROUND(+L37,0)</f>
        <v>1381</v>
      </c>
      <c r="P37" s="16"/>
      <c r="Q37" s="19"/>
      <c r="R37" s="23">
        <f>ROUND(+Q36-N36+O37,0)</f>
        <v>1719</v>
      </c>
      <c r="S37" s="10">
        <f>+R37-O37</f>
        <v>338</v>
      </c>
      <c r="T37" t="s">
        <v>47</v>
      </c>
    </row>
    <row r="38" spans="1:20" ht="12" customHeight="1" x14ac:dyDescent="0.2">
      <c r="J38" s="10">
        <f>SUM(J36:J37)</f>
        <v>1891</v>
      </c>
      <c r="K38" s="13"/>
      <c r="L38" s="10">
        <f>SUM(L36:L37)</f>
        <v>3453</v>
      </c>
      <c r="O38" s="10">
        <f>ROUND(+L38,0)</f>
        <v>3453</v>
      </c>
      <c r="Q38" s="13"/>
      <c r="R38" s="10">
        <f>SUM(R36:R37)</f>
        <v>3791</v>
      </c>
      <c r="S38" s="10">
        <f>+R38-Q36</f>
        <v>0</v>
      </c>
      <c r="T38" t="s">
        <v>46</v>
      </c>
    </row>
    <row r="39" spans="1:20" ht="12" customHeight="1" x14ac:dyDescent="0.2"/>
    <row r="40" spans="1:20" x14ac:dyDescent="0.2">
      <c r="A40">
        <v>67693</v>
      </c>
      <c r="B40" s="1">
        <v>8</v>
      </c>
      <c r="C40" t="s">
        <v>16</v>
      </c>
      <c r="D40" t="s">
        <v>42</v>
      </c>
      <c r="E40" s="1" t="s">
        <v>27</v>
      </c>
      <c r="F40" s="48">
        <v>2573</v>
      </c>
      <c r="G40">
        <v>2000</v>
      </c>
      <c r="H40" s="8">
        <f>+$B$1</f>
        <v>0.6</v>
      </c>
      <c r="I40" s="1">
        <v>36907</v>
      </c>
      <c r="J40" s="10">
        <f>ROUND(+G40*H40,0)</f>
        <v>1200</v>
      </c>
      <c r="K40" s="22">
        <v>3436</v>
      </c>
      <c r="L40" s="14">
        <f>ROUND(+K40*H40,0)</f>
        <v>2062</v>
      </c>
      <c r="M40" s="14"/>
      <c r="N40" s="25">
        <f>ROUND(+K40,0)</f>
        <v>3436</v>
      </c>
      <c r="O40" s="14">
        <f>ROUND(+L40,0)</f>
        <v>2062</v>
      </c>
      <c r="P40" s="14"/>
      <c r="Q40" s="24">
        <v>3806</v>
      </c>
      <c r="R40" s="14">
        <f>ROUND(+O40,0)</f>
        <v>2062</v>
      </c>
    </row>
    <row r="41" spans="1:20" ht="13.5" thickBot="1" x14ac:dyDescent="0.25">
      <c r="A41">
        <v>67693</v>
      </c>
      <c r="B41" s="1">
        <v>21</v>
      </c>
      <c r="H41" s="8">
        <f>+$B$2</f>
        <v>0.4</v>
      </c>
      <c r="I41" s="1" t="s">
        <v>51</v>
      </c>
      <c r="J41" s="16">
        <f>ROUND(+G40*H41,0)</f>
        <v>800</v>
      </c>
      <c r="K41" s="19"/>
      <c r="L41" s="16">
        <f>ROUND(+K40*H41,0)</f>
        <v>1374</v>
      </c>
      <c r="M41" s="16"/>
      <c r="N41" s="16"/>
      <c r="O41" s="18">
        <f>ROUND(+L41,0)</f>
        <v>1374</v>
      </c>
      <c r="P41" s="16"/>
      <c r="Q41" s="19"/>
      <c r="R41" s="23">
        <f>ROUND(+Q40-N40+O41,0)</f>
        <v>1744</v>
      </c>
      <c r="S41" s="10">
        <f>+R41-O41</f>
        <v>370</v>
      </c>
      <c r="T41" t="s">
        <v>47</v>
      </c>
    </row>
    <row r="42" spans="1:20" x14ac:dyDescent="0.2">
      <c r="J42" s="10">
        <f>SUM(J40:J41)</f>
        <v>2000</v>
      </c>
      <c r="L42" s="10">
        <f>SUM(L40:L41)</f>
        <v>3436</v>
      </c>
      <c r="O42" s="10">
        <f>ROUND(+L42,0)</f>
        <v>3436</v>
      </c>
      <c r="R42" s="10">
        <f>SUM(R40:R41)</f>
        <v>3806</v>
      </c>
      <c r="S42" s="10">
        <f>+R42-Q40</f>
        <v>0</v>
      </c>
      <c r="T42" t="s">
        <v>46</v>
      </c>
    </row>
    <row r="44" spans="1:20" x14ac:dyDescent="0.2">
      <c r="A44">
        <v>67693</v>
      </c>
      <c r="B44" s="1">
        <v>9</v>
      </c>
      <c r="C44" t="s">
        <v>17</v>
      </c>
      <c r="D44" t="s">
        <v>43</v>
      </c>
      <c r="E44" s="1" t="s">
        <v>28</v>
      </c>
      <c r="F44" s="48">
        <v>3128</v>
      </c>
      <c r="G44">
        <v>2470</v>
      </c>
      <c r="H44" s="8">
        <f>+$B$1</f>
        <v>0.6</v>
      </c>
      <c r="I44" s="1">
        <v>36907</v>
      </c>
      <c r="J44" s="54">
        <v>1358</v>
      </c>
      <c r="K44" s="22">
        <v>4261</v>
      </c>
      <c r="L44" s="14">
        <f>ROUND(+K44*H44,0)</f>
        <v>2557</v>
      </c>
      <c r="M44" s="14"/>
      <c r="N44" s="25">
        <f>ROUND(+K44,0)</f>
        <v>4261</v>
      </c>
      <c r="O44" s="14">
        <f>ROUND(+L44,0)</f>
        <v>2557</v>
      </c>
      <c r="P44" s="14"/>
      <c r="Q44" s="24">
        <v>4717</v>
      </c>
      <c r="R44" s="14">
        <f>ROUND(+O44,0)</f>
        <v>2557</v>
      </c>
    </row>
    <row r="45" spans="1:20" ht="13.5" thickBot="1" x14ac:dyDescent="0.25">
      <c r="A45">
        <v>67693</v>
      </c>
      <c r="B45" s="1">
        <v>22</v>
      </c>
      <c r="H45" s="8">
        <f>+$B$2</f>
        <v>0.4</v>
      </c>
      <c r="I45" s="1" t="s">
        <v>51</v>
      </c>
      <c r="J45" s="16">
        <f>ROUND(+G44*H45,0)</f>
        <v>988</v>
      </c>
      <c r="K45" s="19"/>
      <c r="L45" s="16">
        <f>ROUND(+K44*H45,0)</f>
        <v>1704</v>
      </c>
      <c r="M45" s="16"/>
      <c r="N45" s="16"/>
      <c r="O45" s="18">
        <f>ROUND(+L45,0)</f>
        <v>1704</v>
      </c>
      <c r="P45" s="16"/>
      <c r="Q45" s="19"/>
      <c r="R45" s="23">
        <f>ROUND(+Q44-N44+O45,0)</f>
        <v>2160</v>
      </c>
      <c r="S45" s="10">
        <f>+R45-O45</f>
        <v>456</v>
      </c>
      <c r="T45" t="s">
        <v>47</v>
      </c>
    </row>
    <row r="46" spans="1:20" x14ac:dyDescent="0.2">
      <c r="J46" s="10">
        <f>SUM(J44:J45)</f>
        <v>2346</v>
      </c>
      <c r="K46" s="13"/>
      <c r="L46" s="10">
        <f>SUM(L44:L45)</f>
        <v>4261</v>
      </c>
      <c r="O46" s="10">
        <f>ROUND(+L46,0)</f>
        <v>4261</v>
      </c>
      <c r="Q46" s="13"/>
      <c r="R46" s="10">
        <f>SUM(R44:R45)</f>
        <v>4717</v>
      </c>
      <c r="S46" s="10">
        <f>+R46-Q44</f>
        <v>0</v>
      </c>
      <c r="T46" t="s">
        <v>46</v>
      </c>
    </row>
    <row r="48" spans="1:20" s="32" customFormat="1" x14ac:dyDescent="0.2">
      <c r="A48">
        <v>67693</v>
      </c>
      <c r="B48" s="33">
        <v>12</v>
      </c>
      <c r="C48" s="32" t="s">
        <v>18</v>
      </c>
      <c r="D48" s="32" t="s">
        <v>44</v>
      </c>
      <c r="E48" s="33" t="s">
        <v>29</v>
      </c>
      <c r="F48" s="52">
        <v>1654</v>
      </c>
      <c r="G48" s="32">
        <v>1276</v>
      </c>
      <c r="H48" s="8">
        <f>+$B$1</f>
        <v>0.6</v>
      </c>
      <c r="I48" s="33">
        <v>36907</v>
      </c>
      <c r="J48" s="10">
        <f>ROUND(+G48*H48,0)</f>
        <v>766</v>
      </c>
      <c r="K48" s="22">
        <v>2108</v>
      </c>
      <c r="L48" s="36">
        <f>ROUND(+K48*H48,0)</f>
        <v>1265</v>
      </c>
      <c r="M48" s="36"/>
      <c r="N48" s="25">
        <f>ROUND(+K48,0)</f>
        <v>2108</v>
      </c>
      <c r="O48" s="36">
        <f>ROUND(+L48,0)</f>
        <v>1265</v>
      </c>
      <c r="P48" s="36"/>
      <c r="Q48" s="24">
        <v>2428</v>
      </c>
      <c r="R48" s="36">
        <f>ROUND(+O48,0)</f>
        <v>1265</v>
      </c>
    </row>
    <row r="49" spans="1:21" s="32" customFormat="1" ht="13.5" thickBot="1" x14ac:dyDescent="0.25">
      <c r="A49">
        <v>67693</v>
      </c>
      <c r="B49" s="33">
        <v>23</v>
      </c>
      <c r="E49" s="33"/>
      <c r="F49" s="52"/>
      <c r="H49" s="8">
        <f>+$B$2</f>
        <v>0.4</v>
      </c>
      <c r="I49" s="33" t="s">
        <v>52</v>
      </c>
      <c r="J49" s="37">
        <f>ROUND(+G48*H49,0)</f>
        <v>510</v>
      </c>
      <c r="K49" s="38"/>
      <c r="L49" s="37">
        <f>ROUND(+K48*H49,0)</f>
        <v>843</v>
      </c>
      <c r="M49" s="37"/>
      <c r="N49" s="37"/>
      <c r="O49" s="39">
        <f>ROUND(+L49,0)</f>
        <v>843</v>
      </c>
      <c r="P49" s="37"/>
      <c r="Q49" s="38"/>
      <c r="R49" s="23">
        <f>ROUND(+Q48-N48+O49,0)</f>
        <v>1163</v>
      </c>
      <c r="S49" s="35">
        <f>+R49-O49</f>
        <v>320</v>
      </c>
      <c r="T49" s="32" t="s">
        <v>47</v>
      </c>
    </row>
    <row r="50" spans="1:21" s="32" customFormat="1" x14ac:dyDescent="0.2">
      <c r="B50" s="33"/>
      <c r="E50" s="33"/>
      <c r="F50" s="52"/>
      <c r="H50" s="34"/>
      <c r="I50" s="33"/>
      <c r="J50" s="40">
        <f>SUM(J48:J49)</f>
        <v>1276</v>
      </c>
      <c r="K50" s="41"/>
      <c r="L50" s="40">
        <f>SUM(L48:L49)</f>
        <v>2108</v>
      </c>
      <c r="M50" s="40"/>
      <c r="N50" s="35"/>
      <c r="O50" s="35">
        <f>ROUND(+L50,0)</f>
        <v>2108</v>
      </c>
      <c r="P50" s="40"/>
      <c r="Q50" s="41"/>
      <c r="R50" s="35">
        <f>SUM(R48:R49)</f>
        <v>2428</v>
      </c>
      <c r="S50" s="35">
        <f>+R50-Q48</f>
        <v>0</v>
      </c>
      <c r="T50" s="32" t="s">
        <v>46</v>
      </c>
    </row>
    <row r="52" spans="1:21" s="32" customFormat="1" x14ac:dyDescent="0.2">
      <c r="A52">
        <v>67693</v>
      </c>
      <c r="B52" s="33">
        <v>14</v>
      </c>
      <c r="C52" s="32" t="s">
        <v>19</v>
      </c>
      <c r="D52" s="32" t="s">
        <v>45</v>
      </c>
      <c r="E52" s="33" t="s">
        <v>30</v>
      </c>
      <c r="F52" s="52">
        <v>33</v>
      </c>
      <c r="G52" s="32">
        <v>25</v>
      </c>
      <c r="H52" s="8">
        <f>+$B$1</f>
        <v>0.6</v>
      </c>
      <c r="I52" s="33">
        <v>36907</v>
      </c>
      <c r="J52" s="35">
        <f>ROUND(+G52*H52,0)</f>
        <v>15</v>
      </c>
      <c r="K52" s="22">
        <v>46</v>
      </c>
      <c r="L52" s="36">
        <f>ROUND(+K52*H52,0)</f>
        <v>28</v>
      </c>
      <c r="M52" s="36"/>
      <c r="N52" s="25">
        <f>ROUND(+K52,0)</f>
        <v>46</v>
      </c>
      <c r="O52" s="36">
        <f>ROUND(+L52,0)</f>
        <v>28</v>
      </c>
      <c r="P52" s="36"/>
      <c r="Q52" s="24">
        <v>50</v>
      </c>
      <c r="R52" s="36">
        <f>ROUND(+O52,0)</f>
        <v>28</v>
      </c>
    </row>
    <row r="53" spans="1:21" s="32" customFormat="1" ht="13.5" thickBot="1" x14ac:dyDescent="0.25">
      <c r="A53">
        <v>67693</v>
      </c>
      <c r="B53" s="33">
        <v>24</v>
      </c>
      <c r="E53" s="33"/>
      <c r="F53" s="52"/>
      <c r="H53" s="8">
        <f>+$B$2</f>
        <v>0.4</v>
      </c>
      <c r="I53" s="33" t="s">
        <v>52</v>
      </c>
      <c r="J53" s="37">
        <f>ROUND(+G52*H53,0)</f>
        <v>10</v>
      </c>
      <c r="K53" s="37"/>
      <c r="L53" s="37">
        <f>ROUND(+K52*H53,0)</f>
        <v>18</v>
      </c>
      <c r="M53" s="37"/>
      <c r="N53" s="37"/>
      <c r="O53" s="39">
        <f>ROUND(+L53,0)</f>
        <v>18</v>
      </c>
      <c r="P53" s="37"/>
      <c r="Q53" s="37"/>
      <c r="R53" s="23">
        <f>ROUND(+Q52-N52+O53,0)</f>
        <v>22</v>
      </c>
      <c r="S53" s="35">
        <f>+R53-O53</f>
        <v>4</v>
      </c>
      <c r="T53" s="32" t="s">
        <v>47</v>
      </c>
    </row>
    <row r="54" spans="1:21" s="32" customFormat="1" x14ac:dyDescent="0.2">
      <c r="B54" s="33"/>
      <c r="E54" s="33"/>
      <c r="F54" s="52"/>
      <c r="H54" s="34" t="s">
        <v>79</v>
      </c>
      <c r="I54" s="33"/>
      <c r="J54" s="35">
        <f>SUM(J52:J53)</f>
        <v>25</v>
      </c>
      <c r="K54" s="35"/>
      <c r="L54" s="35">
        <f>SUM(L52:L53)</f>
        <v>46</v>
      </c>
      <c r="M54" s="35"/>
      <c r="N54" s="35"/>
      <c r="O54" s="35">
        <f>ROUND(+L54,0)</f>
        <v>46</v>
      </c>
      <c r="P54" s="35"/>
      <c r="Q54" s="35"/>
      <c r="R54" s="35">
        <f>SUM(R52:R53)</f>
        <v>50</v>
      </c>
      <c r="S54" s="35">
        <f>+R54-Q52</f>
        <v>0</v>
      </c>
      <c r="T54" s="32" t="s">
        <v>46</v>
      </c>
    </row>
    <row r="55" spans="1:21" ht="13.5" thickBot="1" x14ac:dyDescent="0.25"/>
    <row r="56" spans="1:21" ht="13.5" thickBot="1" x14ac:dyDescent="0.25">
      <c r="E56" t="s">
        <v>32</v>
      </c>
      <c r="F56" s="50">
        <f>SUM(F6:F54)</f>
        <v>54327</v>
      </c>
      <c r="G56">
        <f>SUM(G6:G54)</f>
        <v>43625</v>
      </c>
      <c r="J56" s="28">
        <f>SUM(J8+J12+J16+J21+J25+J29+J34+J38+J42+J46+J50+J54)</f>
        <v>43501</v>
      </c>
      <c r="K56" s="10">
        <f>SUM(K6:K54)</f>
        <v>76971</v>
      </c>
      <c r="L56" s="28">
        <f>SUM(L8+L12+L16+L21+L25+L29+L34+L38+L42+L46+L50+L54)</f>
        <v>76971</v>
      </c>
      <c r="N56" s="10">
        <f>SUM(N6:N54)</f>
        <v>76971</v>
      </c>
      <c r="O56" s="28">
        <f>SUM(O8+O12+O16+O21+O25+O29+O34+O38+O42+O46+O50+O54)</f>
        <v>76971</v>
      </c>
      <c r="Q56" s="10">
        <f>SUM(Q6:Q54)</f>
        <v>83570</v>
      </c>
      <c r="R56" s="28">
        <f>SUM(R8+R12+R16+R21+R25+R29+R34+R38+R42+R46+R50+R54)</f>
        <v>83570</v>
      </c>
      <c r="S56" s="29">
        <f>S8+S12+S16+S21+S25+S29+S34+S38+S42+S46+S50+S54</f>
        <v>0</v>
      </c>
      <c r="T56" s="30" t="s">
        <v>55</v>
      </c>
      <c r="U56" s="31"/>
    </row>
    <row r="59" spans="1:21" x14ac:dyDescent="0.2">
      <c r="A59">
        <v>63281</v>
      </c>
      <c r="B59" s="1">
        <v>40</v>
      </c>
      <c r="H59" s="1">
        <v>22</v>
      </c>
      <c r="I59" t="s">
        <v>33</v>
      </c>
      <c r="J59" s="10">
        <f>SUMIF($I$6:$I$53,"22STOW",$J$6:$J$53)</f>
        <v>196</v>
      </c>
      <c r="L59" s="10">
        <f>SUMIF($I$6:$I$53,"22STOW",$L$6:$L$53)</f>
        <v>454</v>
      </c>
      <c r="O59" s="10">
        <f>SUMIF($I$6:$I$53,"22STOW",$O$6:$O$53)</f>
        <v>454</v>
      </c>
      <c r="R59" s="10">
        <f>SUMIF($I$6:$I$53,"22STOW",$R$6:$R$53)</f>
        <v>594</v>
      </c>
    </row>
    <row r="60" spans="1:21" x14ac:dyDescent="0.2">
      <c r="A60">
        <v>63281</v>
      </c>
      <c r="B60" s="1">
        <v>53</v>
      </c>
      <c r="C60" t="s">
        <v>54</v>
      </c>
      <c r="H60" s="1" t="s">
        <v>48</v>
      </c>
      <c r="I60" t="s">
        <v>33</v>
      </c>
      <c r="J60" s="10">
        <f>SUMIF($I$6:$I$53,"23nSTOW",$J$6:$J$53)</f>
        <v>3596</v>
      </c>
      <c r="L60" s="10">
        <f>SUMIF($I$6:$I$53,"23nSTOW",$L$6:$L$53)</f>
        <v>5560</v>
      </c>
      <c r="O60" s="10">
        <f>SUMIF($I$6:$I$53,"23nSTOW",$O$6:$O$53)</f>
        <v>5560</v>
      </c>
      <c r="R60" s="10">
        <f>SUMIF($I$6:$I$53,"23nSTOW",$R$6:$R$53)</f>
        <v>7471</v>
      </c>
    </row>
    <row r="61" spans="1:21" x14ac:dyDescent="0.2">
      <c r="A61">
        <v>63281</v>
      </c>
      <c r="B61" s="1">
        <v>54</v>
      </c>
      <c r="C61" t="s">
        <v>54</v>
      </c>
      <c r="H61" s="1">
        <v>23</v>
      </c>
      <c r="I61" t="s">
        <v>33</v>
      </c>
      <c r="J61" s="10">
        <f>SUMIF($I$6:$I$53,"23STOW",$J$6:$J$53)</f>
        <v>13138</v>
      </c>
      <c r="L61" s="10">
        <f>SUMIF($I$6:$I$53,"23STOW",$L$6:$L$53)</f>
        <v>23911</v>
      </c>
      <c r="O61" s="10">
        <f>SUMIF($I$6:$I$53,"23STOW",$O$6:$O$53)</f>
        <v>23911</v>
      </c>
      <c r="R61" s="10">
        <f>SUMIF($I$6:$I$53,"23STOW",$R$6:$R$53)</f>
        <v>28135</v>
      </c>
    </row>
    <row r="62" spans="1:21" x14ac:dyDescent="0.2">
      <c r="A62">
        <v>63281</v>
      </c>
      <c r="B62" s="1">
        <v>55</v>
      </c>
      <c r="C62" t="s">
        <v>54</v>
      </c>
      <c r="H62" s="1">
        <v>24</v>
      </c>
      <c r="I62" t="s">
        <v>33</v>
      </c>
      <c r="J62" s="10">
        <f>SUMIF($I$6:$I$53,"24STOW",$J$6:$J$53)</f>
        <v>520</v>
      </c>
      <c r="L62" s="10">
        <f>SUMIF($I$6:$I$53,"24STOW",$L$6:$L$53)</f>
        <v>861</v>
      </c>
      <c r="O62" s="10">
        <f>SUMIF($I$6:$I$53,"24STOW",$O$6:$O$53)</f>
        <v>861</v>
      </c>
      <c r="R62" s="10">
        <f>SUMIF($I$6:$I$53,"24STOW",$R$6:$R$53)</f>
        <v>1185</v>
      </c>
    </row>
    <row r="64" spans="1:21" x14ac:dyDescent="0.2">
      <c r="A64">
        <v>63281</v>
      </c>
      <c r="B64" s="1">
        <v>52</v>
      </c>
      <c r="D64" s="55" t="s">
        <v>80</v>
      </c>
      <c r="E64" s="56">
        <v>20070</v>
      </c>
      <c r="F64" s="50"/>
      <c r="G64" s="10">
        <f>+J64/0.97816</f>
        <v>17839.617240533247</v>
      </c>
      <c r="I64" t="s">
        <v>33</v>
      </c>
      <c r="J64" s="10">
        <f>SUM(J59:J62)</f>
        <v>17450</v>
      </c>
      <c r="K64" s="10">
        <f>+L64/0.97816</f>
        <v>31473.37858837</v>
      </c>
      <c r="L64" s="10">
        <f>SUM(L59:L62)</f>
        <v>30786</v>
      </c>
      <c r="N64" s="10">
        <f>+O64/0.97816</f>
        <v>31473.37858837</v>
      </c>
      <c r="O64" s="10">
        <f>SUM(O59:O62)</f>
        <v>30786</v>
      </c>
      <c r="Q64" s="10">
        <f>+R64/0.97816</f>
        <v>38219.718655434692</v>
      </c>
      <c r="R64" s="10">
        <f>SUM(R59:R62)</f>
        <v>37385</v>
      </c>
    </row>
    <row r="66" spans="4:18" x14ac:dyDescent="0.2">
      <c r="H66" s="1"/>
      <c r="I66">
        <v>63281</v>
      </c>
      <c r="J66" s="1" t="s">
        <v>72</v>
      </c>
      <c r="L66" s="42">
        <f>SUMIF($A$6:$A$53,63281,$L$6:$L$53)</f>
        <v>0</v>
      </c>
      <c r="O66" s="42">
        <f>SUMIF($A$6:$A$53,63281,$O$6:$O$53)</f>
        <v>0</v>
      </c>
      <c r="R66" s="42">
        <f>SUMIF($A$6:$A$53,63281,$R$6:$R$53)</f>
        <v>0</v>
      </c>
    </row>
    <row r="68" spans="4:18" x14ac:dyDescent="0.2">
      <c r="D68" t="s">
        <v>85</v>
      </c>
      <c r="F68">
        <v>67693</v>
      </c>
      <c r="G68" s="1" t="s">
        <v>84</v>
      </c>
      <c r="L68" s="10">
        <f>SUMIF($A$6:$A$53,"67693",$L$6:$L$53)</f>
        <v>51382</v>
      </c>
      <c r="O68" s="10">
        <f>SUMIF($A$6:$A$53,"67693",$O$6:$O$53)</f>
        <v>51382</v>
      </c>
      <c r="R68" s="10">
        <f>SUMIF($A$6:$A$53,"67693",$R$6:$R$53)</f>
        <v>57981</v>
      </c>
    </row>
    <row r="69" spans="4:18" x14ac:dyDescent="0.2">
      <c r="F69">
        <v>38021</v>
      </c>
      <c r="G69" s="1" t="s">
        <v>84</v>
      </c>
      <c r="L69" s="10">
        <f>SUMIF($A$6:$A$53,"38021",$L$6:$L$53)</f>
        <v>0</v>
      </c>
      <c r="O69" s="10">
        <f>SUMIF($A$6:$A$53,"38021",$O$6:$O$53)</f>
        <v>0</v>
      </c>
      <c r="R69" s="10">
        <f>SUMIF($A$6:$A$53,"38021",$R$6:$R$53)</f>
        <v>0</v>
      </c>
    </row>
    <row r="70" spans="4:18" x14ac:dyDescent="0.2">
      <c r="F70" s="58">
        <v>40998</v>
      </c>
      <c r="G70" t="s">
        <v>84</v>
      </c>
      <c r="L70" s="10">
        <f>SUMIF($A$6:$A$53,"40998",$L$6:$L$53)</f>
        <v>25589</v>
      </c>
      <c r="O70" s="10">
        <f>SUMIF($A$6:$A$53,"40998",$O$6:$O$53)</f>
        <v>0</v>
      </c>
      <c r="R70" s="10">
        <f>SUMIF($A$6:$A$53,"40998",$R$6:$R$53)</f>
        <v>25589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U71"/>
  <sheetViews>
    <sheetView topLeftCell="E43" workbookViewId="0">
      <selection activeCell="F71" sqref="F71:R71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0.55000000000000004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0.55000000000000004</v>
      </c>
      <c r="I6" s="1">
        <v>36907</v>
      </c>
      <c r="J6" s="10">
        <f>ROUND(+G6*H6,0)</f>
        <v>270</v>
      </c>
      <c r="K6" s="22">
        <v>807</v>
      </c>
      <c r="L6" s="14">
        <f>ROUND(+K6*H6,0)</f>
        <v>444</v>
      </c>
      <c r="M6" s="14"/>
      <c r="N6" s="25">
        <f>ROUND(+K6,0)</f>
        <v>807</v>
      </c>
      <c r="O6" s="14">
        <f>ROUND(+L6,0)</f>
        <v>444</v>
      </c>
      <c r="P6" s="14"/>
      <c r="Q6" s="24">
        <v>667</v>
      </c>
      <c r="R6" s="14">
        <f>+O6</f>
        <v>444</v>
      </c>
    </row>
    <row r="7" spans="1:20" ht="13.5" thickBot="1" x14ac:dyDescent="0.25">
      <c r="A7">
        <v>67693</v>
      </c>
      <c r="B7" s="1">
        <v>15</v>
      </c>
      <c r="H7" s="8">
        <f>+$B$2</f>
        <v>0.45</v>
      </c>
      <c r="I7" s="1" t="s">
        <v>49</v>
      </c>
      <c r="J7" s="16">
        <f>ROUND(+G6*H7,0)</f>
        <v>221</v>
      </c>
      <c r="K7" s="16"/>
      <c r="L7" s="16">
        <f>ROUND(+K6*H7,0)</f>
        <v>363</v>
      </c>
      <c r="M7" s="16"/>
      <c r="N7" s="16"/>
      <c r="O7" s="18">
        <f>ROUND(+L7,0)</f>
        <v>363</v>
      </c>
      <c r="P7" s="14"/>
      <c r="R7" s="23">
        <f>ROUND(+Q6-N6+O7,0)</f>
        <v>223</v>
      </c>
      <c r="S7" s="10">
        <f>+R7-O7</f>
        <v>-140</v>
      </c>
      <c r="T7" t="s">
        <v>47</v>
      </c>
    </row>
    <row r="8" spans="1:20" x14ac:dyDescent="0.2">
      <c r="J8" s="10">
        <f>SUM(J6:J7)</f>
        <v>491</v>
      </c>
      <c r="L8" s="10">
        <f>SUM(L6:L7)</f>
        <v>807</v>
      </c>
      <c r="O8" s="10">
        <f>ROUND(+L8,0)</f>
        <v>807</v>
      </c>
      <c r="R8" s="10">
        <f>SUM(R6:R7)</f>
        <v>667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0.55000000000000004</v>
      </c>
      <c r="I10" s="1">
        <v>36907</v>
      </c>
      <c r="J10" s="10">
        <f>ROUND(+G10*H10,0)</f>
        <v>3524</v>
      </c>
      <c r="K10" s="22">
        <v>7770</v>
      </c>
      <c r="L10" s="14">
        <f>ROUND(+K10*H10,0)</f>
        <v>4274</v>
      </c>
      <c r="M10" s="14"/>
      <c r="N10" s="25">
        <f>ROUND(+K10,0)</f>
        <v>7770</v>
      </c>
      <c r="O10" s="14">
        <f>ROUND(+L10,0)</f>
        <v>4274</v>
      </c>
      <c r="P10" s="14"/>
      <c r="Q10" s="24">
        <v>7089</v>
      </c>
      <c r="R10" s="14">
        <f>ROUND(+O10,0)</f>
        <v>4274</v>
      </c>
    </row>
    <row r="11" spans="1:20" ht="13.5" thickBot="1" x14ac:dyDescent="0.25">
      <c r="A11">
        <v>67693</v>
      </c>
      <c r="B11" s="1">
        <v>25</v>
      </c>
      <c r="H11" s="8">
        <f>+$B$2</f>
        <v>0.45</v>
      </c>
      <c r="I11" s="1" t="s">
        <v>50</v>
      </c>
      <c r="J11" s="16">
        <f>ROUND(+G10*H11,0)</f>
        <v>2884</v>
      </c>
      <c r="K11" s="19"/>
      <c r="L11" s="16">
        <v>3496</v>
      </c>
      <c r="M11" s="16"/>
      <c r="N11" s="16"/>
      <c r="O11" s="18">
        <f>ROUND(+L11,0)</f>
        <v>3496</v>
      </c>
      <c r="P11" s="16"/>
      <c r="Q11" s="19"/>
      <c r="R11" s="23">
        <f>ROUND(+Q10-N10+O11,0)</f>
        <v>2815</v>
      </c>
      <c r="S11" s="10">
        <f>+R11-O11</f>
        <v>-681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7770</v>
      </c>
      <c r="M12" s="14"/>
      <c r="O12" s="10">
        <f>ROUND(+L12,0)</f>
        <v>7770</v>
      </c>
      <c r="P12" s="14"/>
      <c r="Q12" s="13"/>
      <c r="R12" s="10">
        <f>SUM(R10:R11)</f>
        <v>7089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0.55000000000000004</v>
      </c>
      <c r="I14" s="1">
        <v>36907</v>
      </c>
      <c r="J14" s="10">
        <f>ROUND(+G14*H14,0)</f>
        <v>1420</v>
      </c>
      <c r="K14" s="22">
        <v>3128</v>
      </c>
      <c r="L14" s="14">
        <f>ROUND(+K14*H14,0)</f>
        <v>1720</v>
      </c>
      <c r="M14" s="14"/>
      <c r="N14" s="25">
        <f>ROUND(+K14,0)</f>
        <v>3128</v>
      </c>
      <c r="O14" s="14">
        <f>ROUND(+L14,0)</f>
        <v>1720</v>
      </c>
      <c r="P14" s="14"/>
      <c r="Q14" s="24">
        <v>2715</v>
      </c>
      <c r="R14" s="14">
        <f>ROUND(+O14,0)</f>
        <v>1720</v>
      </c>
    </row>
    <row r="15" spans="1:20" ht="13.5" thickBot="1" x14ac:dyDescent="0.25">
      <c r="A15">
        <v>67693</v>
      </c>
      <c r="B15" s="1">
        <v>26</v>
      </c>
      <c r="H15" s="8">
        <f>+$B$2</f>
        <v>0.45</v>
      </c>
      <c r="I15" s="1" t="s">
        <v>50</v>
      </c>
      <c r="J15" s="16">
        <f>ROUND(+G14*H15,0)</f>
        <v>1162</v>
      </c>
      <c r="K15" s="19"/>
      <c r="L15" s="16">
        <f>ROUND(+K14*H15,0)</f>
        <v>1408</v>
      </c>
      <c r="M15" s="16"/>
      <c r="N15" s="16"/>
      <c r="O15" s="18">
        <f>ROUND(+L15,0)</f>
        <v>1408</v>
      </c>
      <c r="P15" s="16"/>
      <c r="Q15" s="19"/>
      <c r="R15" s="23">
        <f>ROUND(+Q14-N14+O15,0)</f>
        <v>995</v>
      </c>
      <c r="S15" s="10">
        <f>+R15-O15</f>
        <v>-413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3128</v>
      </c>
      <c r="O16" s="10">
        <f>ROUND(+L16,0)</f>
        <v>3128</v>
      </c>
      <c r="Q16" s="13"/>
      <c r="R16" s="10">
        <f>SUM(R14:R15)</f>
        <v>2715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0.55000000000000004</v>
      </c>
      <c r="I18" s="1">
        <v>36907</v>
      </c>
      <c r="J18" s="10">
        <f>ROUND(+G18*H18,0)</f>
        <v>6550</v>
      </c>
      <c r="K18" s="22">
        <v>15872</v>
      </c>
      <c r="L18" s="14">
        <v>4730</v>
      </c>
      <c r="M18" s="14"/>
      <c r="N18" s="25">
        <f>ROUND(+K18,0)</f>
        <v>15872</v>
      </c>
      <c r="O18" s="14">
        <f>ROUND(+L18,0)</f>
        <v>4730</v>
      </c>
      <c r="P18" s="14"/>
      <c r="Q18" s="24">
        <v>13814</v>
      </c>
      <c r="R18" s="14">
        <f>ROUND(+O18,0)</f>
        <v>4730</v>
      </c>
    </row>
    <row r="19" spans="1:20" s="60" customFormat="1" x14ac:dyDescent="0.2">
      <c r="A19" s="60">
        <v>66930</v>
      </c>
      <c r="B19" s="61">
        <v>3</v>
      </c>
      <c r="E19" s="61"/>
      <c r="F19" s="62"/>
      <c r="G19" s="63"/>
      <c r="H19" s="64"/>
      <c r="I19" s="61"/>
      <c r="J19" s="65">
        <v>0</v>
      </c>
      <c r="K19" s="24"/>
      <c r="L19" s="66">
        <v>4000</v>
      </c>
      <c r="M19" s="24"/>
      <c r="N19" s="24"/>
      <c r="O19" s="66">
        <f>L19</f>
        <v>4000</v>
      </c>
      <c r="P19" s="24"/>
      <c r="Q19" s="24"/>
      <c r="R19" s="66">
        <f>L19</f>
        <v>4000</v>
      </c>
    </row>
    <row r="20" spans="1:20" ht="13.5" thickBot="1" x14ac:dyDescent="0.25">
      <c r="A20">
        <v>67693</v>
      </c>
      <c r="B20" s="1">
        <v>16</v>
      </c>
      <c r="H20" s="8">
        <f>+$B$2</f>
        <v>0.45</v>
      </c>
      <c r="I20" s="1" t="s">
        <v>51</v>
      </c>
      <c r="J20" s="16">
        <f>ROUND(+G18*H20,0)</f>
        <v>5359</v>
      </c>
      <c r="K20" s="19"/>
      <c r="L20" s="16">
        <f>ROUND(+K18*H20,0)</f>
        <v>7142</v>
      </c>
      <c r="M20" s="16"/>
      <c r="N20" s="16"/>
      <c r="O20" s="18">
        <f>ROUND(+L20,0)</f>
        <v>7142</v>
      </c>
      <c r="P20" s="16"/>
      <c r="Q20" s="19"/>
      <c r="R20" s="23">
        <f>ROUND(+Q18-N18+O20,0)</f>
        <v>5084</v>
      </c>
      <c r="S20" s="10">
        <f>+R20-O20</f>
        <v>-2058</v>
      </c>
      <c r="T20" t="s">
        <v>47</v>
      </c>
    </row>
    <row r="21" spans="1:20" x14ac:dyDescent="0.2">
      <c r="J21" s="14">
        <f>SUM(J18:J20)</f>
        <v>11909</v>
      </c>
      <c r="K21" s="13"/>
      <c r="L21" s="10">
        <f>SUM(L18:L20)</f>
        <v>15872</v>
      </c>
      <c r="M21" s="14"/>
      <c r="O21" s="10">
        <f>ROUND(+L21,0)</f>
        <v>15872</v>
      </c>
      <c r="P21" s="14"/>
      <c r="Q21" s="13"/>
      <c r="R21" s="10">
        <f>SUM(R18:R20)</f>
        <v>13814</v>
      </c>
      <c r="S21" s="10">
        <f>+R21-Q18</f>
        <v>0</v>
      </c>
      <c r="T21" t="s">
        <v>46</v>
      </c>
    </row>
    <row r="23" spans="1:20" x14ac:dyDescent="0.2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0.55000000000000004</v>
      </c>
      <c r="I23" s="1">
        <v>36907</v>
      </c>
      <c r="J23" s="10">
        <f>ROUND(+G23*H23,0)</f>
        <v>984</v>
      </c>
      <c r="K23" s="22">
        <v>2400</v>
      </c>
      <c r="L23" s="14">
        <f>ROUND(+K23*H23,0)</f>
        <v>1320</v>
      </c>
      <c r="M23" s="14"/>
      <c r="N23" s="25">
        <f>ROUND(+K23,0)</f>
        <v>2400</v>
      </c>
      <c r="O23" s="14">
        <f>ROUND(+L23,0)</f>
        <v>1320</v>
      </c>
      <c r="P23" s="14"/>
      <c r="Q23" s="24">
        <v>1981</v>
      </c>
      <c r="R23" s="14">
        <f>ROUND(+O23,0)</f>
        <v>1320</v>
      </c>
    </row>
    <row r="24" spans="1:20" ht="13.5" thickBot="1" x14ac:dyDescent="0.25">
      <c r="A24">
        <v>67693</v>
      </c>
      <c r="B24" s="1">
        <v>17</v>
      </c>
      <c r="H24" s="8">
        <f>+$B$2</f>
        <v>0.45</v>
      </c>
      <c r="I24" s="1" t="s">
        <v>51</v>
      </c>
      <c r="J24" s="16">
        <f>ROUND(+G23*H24,0)</f>
        <v>805</v>
      </c>
      <c r="K24" s="19"/>
      <c r="L24" s="18">
        <f>ROUND(+K23*H24,0)</f>
        <v>1080</v>
      </c>
      <c r="M24" s="18"/>
      <c r="N24" s="16"/>
      <c r="O24" s="18">
        <f>ROUND(+L24,0)</f>
        <v>1080</v>
      </c>
      <c r="P24" s="18"/>
      <c r="Q24" s="19"/>
      <c r="R24" s="23">
        <f>ROUND(+Q23-N23+O24,0)</f>
        <v>661</v>
      </c>
      <c r="S24" s="10">
        <f>+R24-O24</f>
        <v>-419</v>
      </c>
      <c r="T24" t="s">
        <v>47</v>
      </c>
    </row>
    <row r="25" spans="1:20" x14ac:dyDescent="0.2">
      <c r="J25" s="10">
        <f>SUM(J23:J24)</f>
        <v>1789</v>
      </c>
      <c r="K25" s="13"/>
      <c r="L25" s="10">
        <f>SUM(L23:L24)</f>
        <v>2400</v>
      </c>
      <c r="O25" s="10">
        <f>ROUND(+L25,0)</f>
        <v>2400</v>
      </c>
      <c r="Q25" s="13"/>
      <c r="R25" s="10">
        <f>SUM(R23:R24)</f>
        <v>1981</v>
      </c>
      <c r="S25" s="10">
        <f>+R25-Q23</f>
        <v>0</v>
      </c>
      <c r="T25" t="s">
        <v>46</v>
      </c>
    </row>
    <row r="27" spans="1:20" x14ac:dyDescent="0.2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0.55000000000000004</v>
      </c>
      <c r="I27" s="1">
        <v>36907</v>
      </c>
      <c r="J27" s="10">
        <f>ROUND(+G27*H27,0)</f>
        <v>784</v>
      </c>
      <c r="K27" s="22">
        <v>1893</v>
      </c>
      <c r="L27" s="14">
        <f>ROUND(+K27*H27,0)</f>
        <v>1041</v>
      </c>
      <c r="M27" s="14"/>
      <c r="N27" s="25">
        <f>ROUND(+K27,0)</f>
        <v>1893</v>
      </c>
      <c r="O27" s="14">
        <f>ROUND(+L27,0)</f>
        <v>1041</v>
      </c>
      <c r="P27" s="14"/>
      <c r="Q27" s="24">
        <v>1893</v>
      </c>
      <c r="R27" s="14">
        <f>ROUND(+O27,0)</f>
        <v>1041</v>
      </c>
    </row>
    <row r="28" spans="1:20" ht="13.5" thickBot="1" x14ac:dyDescent="0.25">
      <c r="A28">
        <v>67693</v>
      </c>
      <c r="B28" s="1">
        <v>18</v>
      </c>
      <c r="H28" s="8">
        <f>+$B$2</f>
        <v>0.45</v>
      </c>
      <c r="I28" s="1" t="s">
        <v>51</v>
      </c>
      <c r="J28" s="16">
        <f>ROUND(+G27*H28,0)</f>
        <v>641</v>
      </c>
      <c r="K28" s="19"/>
      <c r="L28" s="16">
        <f>ROUND(+K27*H28,0)</f>
        <v>852</v>
      </c>
      <c r="M28" s="16"/>
      <c r="N28" s="16"/>
      <c r="O28" s="18">
        <f>ROUND(+L28,0)</f>
        <v>852</v>
      </c>
      <c r="P28" s="16"/>
      <c r="Q28" s="19"/>
      <c r="R28" s="23">
        <f>ROUND(+Q27-N27+O28,0)</f>
        <v>852</v>
      </c>
      <c r="S28" s="10">
        <f>+R28-O28</f>
        <v>0</v>
      </c>
      <c r="T28" t="s">
        <v>47</v>
      </c>
    </row>
    <row r="29" spans="1:20" x14ac:dyDescent="0.2">
      <c r="J29" s="10">
        <f>SUM(J27:J28)</f>
        <v>1425</v>
      </c>
      <c r="K29" s="13"/>
      <c r="L29" s="10">
        <f>SUM(L27:L28)</f>
        <v>1893</v>
      </c>
      <c r="O29" s="10">
        <f>ROUND(+L29,0)</f>
        <v>1893</v>
      </c>
      <c r="Q29" s="13"/>
      <c r="R29" s="10">
        <f>SUM(R27:R28)</f>
        <v>1893</v>
      </c>
      <c r="S29" s="10">
        <f>+R29-Q27</f>
        <v>0</v>
      </c>
      <c r="T29" t="s">
        <v>46</v>
      </c>
    </row>
    <row r="31" spans="1:20" x14ac:dyDescent="0.2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0.55000000000000004</v>
      </c>
      <c r="I31" s="1">
        <v>36907</v>
      </c>
      <c r="J31" s="10">
        <f>ROUND(+G31*H31,0)</f>
        <v>6247</v>
      </c>
      <c r="K31" s="22">
        <v>13890</v>
      </c>
      <c r="L31" s="14">
        <v>3640</v>
      </c>
      <c r="M31" s="14"/>
      <c r="N31" s="25">
        <f>ROUND(+K31,0)</f>
        <v>13890</v>
      </c>
      <c r="O31" s="14">
        <f>ROUND(+L31,0)</f>
        <v>3640</v>
      </c>
      <c r="P31" s="14"/>
      <c r="Q31" s="24">
        <v>12551</v>
      </c>
      <c r="R31" s="14">
        <f>ROUND(+O31,0)</f>
        <v>3640</v>
      </c>
    </row>
    <row r="32" spans="1:20" s="60" customFormat="1" x14ac:dyDescent="0.2">
      <c r="A32" s="60">
        <v>66931</v>
      </c>
      <c r="B32" s="61">
        <v>3</v>
      </c>
      <c r="E32" s="61"/>
      <c r="F32" s="62"/>
      <c r="G32" s="63"/>
      <c r="H32" s="64"/>
      <c r="I32" s="61"/>
      <c r="J32" s="65">
        <v>0</v>
      </c>
      <c r="K32" s="24"/>
      <c r="L32" s="66">
        <v>4000</v>
      </c>
      <c r="M32" s="24"/>
      <c r="N32" s="24"/>
      <c r="O32" s="66">
        <f>L32</f>
        <v>4000</v>
      </c>
      <c r="P32" s="24"/>
      <c r="Q32" s="24"/>
      <c r="R32" s="66">
        <f>L32</f>
        <v>4000</v>
      </c>
    </row>
    <row r="33" spans="1:20" ht="13.5" thickBot="1" x14ac:dyDescent="0.25">
      <c r="A33">
        <v>67693</v>
      </c>
      <c r="B33" s="1">
        <v>19</v>
      </c>
      <c r="H33" s="8">
        <f>+$B$2</f>
        <v>0.45</v>
      </c>
      <c r="I33" s="1" t="s">
        <v>51</v>
      </c>
      <c r="J33" s="16">
        <f>ROUND(+G31*H33,0)</f>
        <v>5112</v>
      </c>
      <c r="K33" s="19"/>
      <c r="L33" s="16">
        <v>6250</v>
      </c>
      <c r="M33" s="16"/>
      <c r="N33" s="16"/>
      <c r="O33" s="18">
        <f>ROUND(+L33,0)</f>
        <v>6250</v>
      </c>
      <c r="P33" s="16"/>
      <c r="Q33" s="19"/>
      <c r="R33" s="23">
        <f>ROUND(+Q31-N31+O33,0)</f>
        <v>4911</v>
      </c>
      <c r="S33" s="10">
        <f>+R33-O33</f>
        <v>-1339</v>
      </c>
      <c r="T33" t="s">
        <v>47</v>
      </c>
    </row>
    <row r="34" spans="1:20" x14ac:dyDescent="0.2">
      <c r="J34" s="10">
        <f>SUM(J31:J33)</f>
        <v>11359</v>
      </c>
      <c r="K34" s="13"/>
      <c r="L34" s="10">
        <f>SUM(L31:L33)</f>
        <v>13890</v>
      </c>
      <c r="O34" s="10">
        <f>ROUND(+L34,0)</f>
        <v>13890</v>
      </c>
      <c r="Q34" s="13"/>
      <c r="R34" s="10">
        <f>SUM(R31:R33)</f>
        <v>12551</v>
      </c>
      <c r="S34" s="10">
        <f>+R34-Q31</f>
        <v>0</v>
      </c>
      <c r="T34" t="s">
        <v>46</v>
      </c>
    </row>
    <row r="36" spans="1:20" ht="12" customHeight="1" x14ac:dyDescent="0.2">
      <c r="A36">
        <v>67693</v>
      </c>
      <c r="B36" s="1">
        <v>7</v>
      </c>
      <c r="C36" t="s">
        <v>15</v>
      </c>
      <c r="D36" t="s">
        <v>41</v>
      </c>
      <c r="E36" s="1" t="s">
        <v>26</v>
      </c>
      <c r="F36" s="48">
        <v>2405</v>
      </c>
      <c r="G36">
        <v>1891</v>
      </c>
      <c r="H36" s="8">
        <f>+$B$1</f>
        <v>0.55000000000000004</v>
      </c>
      <c r="I36" s="1">
        <v>36907</v>
      </c>
      <c r="J36" s="10">
        <f>ROUND(+G36*H36,0)</f>
        <v>1040</v>
      </c>
      <c r="K36" s="22">
        <v>2550</v>
      </c>
      <c r="L36" s="14">
        <f>ROUND(+K36*H36,0)</f>
        <v>1403</v>
      </c>
      <c r="M36" s="14"/>
      <c r="N36" s="25">
        <f>ROUND(+K36,0)</f>
        <v>2550</v>
      </c>
      <c r="O36" s="14">
        <f>ROUND(+L36,0)</f>
        <v>1403</v>
      </c>
      <c r="P36" s="14"/>
      <c r="Q36" s="24">
        <v>2099</v>
      </c>
      <c r="R36" s="14">
        <f>ROUND(+O36,0)</f>
        <v>1403</v>
      </c>
    </row>
    <row r="37" spans="1:20" ht="12" customHeight="1" thickBot="1" x14ac:dyDescent="0.25">
      <c r="A37">
        <v>67693</v>
      </c>
      <c r="B37" s="1">
        <v>20</v>
      </c>
      <c r="H37" s="8">
        <f>+$B$2</f>
        <v>0.45</v>
      </c>
      <c r="I37" s="1" t="s">
        <v>51</v>
      </c>
      <c r="J37" s="16">
        <f>ROUND(+G36*H37,0)</f>
        <v>851</v>
      </c>
      <c r="K37" s="19"/>
      <c r="L37" s="16">
        <v>1147</v>
      </c>
      <c r="M37" s="16"/>
      <c r="N37" s="16"/>
      <c r="O37" s="18">
        <f>ROUND(+L37,0)</f>
        <v>1147</v>
      </c>
      <c r="P37" s="16"/>
      <c r="Q37" s="19"/>
      <c r="R37" s="23">
        <f>ROUND(+Q36-N36+O37,0)</f>
        <v>696</v>
      </c>
      <c r="S37" s="10">
        <f>+R37-O37</f>
        <v>-451</v>
      </c>
      <c r="T37" t="s">
        <v>47</v>
      </c>
    </row>
    <row r="38" spans="1:20" ht="12" customHeight="1" x14ac:dyDescent="0.2">
      <c r="J38" s="10">
        <f>SUM(J36:J37)</f>
        <v>1891</v>
      </c>
      <c r="K38" s="13"/>
      <c r="L38" s="10">
        <f>SUM(L36:L37)</f>
        <v>2550</v>
      </c>
      <c r="O38" s="10">
        <f>ROUND(+L38,0)</f>
        <v>2550</v>
      </c>
      <c r="Q38" s="13"/>
      <c r="R38" s="10">
        <f>SUM(R36:R37)</f>
        <v>2099</v>
      </c>
      <c r="S38" s="10">
        <f>+R38-Q36</f>
        <v>0</v>
      </c>
      <c r="T38" t="s">
        <v>46</v>
      </c>
    </row>
    <row r="39" spans="1:20" ht="12" customHeight="1" x14ac:dyDescent="0.2"/>
    <row r="40" spans="1:20" x14ac:dyDescent="0.2">
      <c r="A40">
        <v>67693</v>
      </c>
      <c r="B40" s="1">
        <v>8</v>
      </c>
      <c r="C40" t="s">
        <v>16</v>
      </c>
      <c r="D40" t="s">
        <v>42</v>
      </c>
      <c r="E40" s="1" t="s">
        <v>27</v>
      </c>
      <c r="F40" s="48">
        <v>2573</v>
      </c>
      <c r="G40">
        <v>2000</v>
      </c>
      <c r="H40" s="8">
        <f>+$B$1</f>
        <v>0.55000000000000004</v>
      </c>
      <c r="I40" s="1">
        <v>36907</v>
      </c>
      <c r="J40" s="10">
        <f>ROUND(+G40*H40,0)</f>
        <v>1100</v>
      </c>
      <c r="K40" s="22">
        <v>2451</v>
      </c>
      <c r="L40" s="14">
        <f>ROUND(+K40*H40,0)</f>
        <v>1348</v>
      </c>
      <c r="M40" s="14"/>
      <c r="N40" s="25">
        <f>ROUND(+K40,0)</f>
        <v>2451</v>
      </c>
      <c r="O40" s="14">
        <f>ROUND(+L40,0)</f>
        <v>1348</v>
      </c>
      <c r="P40" s="14"/>
      <c r="Q40" s="24">
        <v>2203</v>
      </c>
      <c r="R40" s="14">
        <f>ROUND(+O40,0)</f>
        <v>1348</v>
      </c>
    </row>
    <row r="41" spans="1:20" ht="13.5" thickBot="1" x14ac:dyDescent="0.25">
      <c r="A41">
        <v>67693</v>
      </c>
      <c r="B41" s="1">
        <v>21</v>
      </c>
      <c r="H41" s="8">
        <f>+$B$2</f>
        <v>0.45</v>
      </c>
      <c r="I41" s="1" t="s">
        <v>51</v>
      </c>
      <c r="J41" s="16">
        <f>ROUND(+G40*H41,0)</f>
        <v>900</v>
      </c>
      <c r="K41" s="19"/>
      <c r="L41" s="16">
        <f>ROUND(+K40*H41,0)</f>
        <v>1103</v>
      </c>
      <c r="M41" s="16"/>
      <c r="N41" s="16"/>
      <c r="O41" s="18">
        <f>ROUND(+L41,0)</f>
        <v>1103</v>
      </c>
      <c r="P41" s="16"/>
      <c r="Q41" s="19"/>
      <c r="R41" s="23">
        <f>ROUND(+Q40-N40+O41,0)</f>
        <v>855</v>
      </c>
      <c r="S41" s="10">
        <f>+R41-O41</f>
        <v>-248</v>
      </c>
      <c r="T41" t="s">
        <v>47</v>
      </c>
    </row>
    <row r="42" spans="1:20" x14ac:dyDescent="0.2">
      <c r="J42" s="10">
        <f>SUM(J40:J41)</f>
        <v>2000</v>
      </c>
      <c r="L42" s="10">
        <f>SUM(L40:L41)</f>
        <v>2451</v>
      </c>
      <c r="O42" s="10">
        <f>ROUND(+L42,0)</f>
        <v>2451</v>
      </c>
      <c r="R42" s="10">
        <f>SUM(R40:R41)</f>
        <v>2203</v>
      </c>
      <c r="S42" s="10">
        <f>+R42-Q40</f>
        <v>0</v>
      </c>
      <c r="T42" t="s">
        <v>46</v>
      </c>
    </row>
    <row r="44" spans="1:20" x14ac:dyDescent="0.2">
      <c r="A44">
        <v>67693</v>
      </c>
      <c r="B44" s="1">
        <v>9</v>
      </c>
      <c r="C44" t="s">
        <v>17</v>
      </c>
      <c r="D44" t="s">
        <v>43</v>
      </c>
      <c r="E44" s="1" t="s">
        <v>28</v>
      </c>
      <c r="F44" s="48">
        <v>3128</v>
      </c>
      <c r="G44">
        <v>2470</v>
      </c>
      <c r="H44" s="8">
        <f>+$B$1</f>
        <v>0.55000000000000004</v>
      </c>
      <c r="I44" s="1">
        <v>36907</v>
      </c>
      <c r="J44" s="54">
        <v>1358</v>
      </c>
      <c r="K44" s="22">
        <v>2893</v>
      </c>
      <c r="L44" s="14">
        <f>ROUND(+K44*H44,0)</f>
        <v>1591</v>
      </c>
      <c r="M44" s="14"/>
      <c r="N44" s="25">
        <f>ROUND(+K44,0)</f>
        <v>2893</v>
      </c>
      <c r="O44" s="14">
        <f>ROUND(+L44,0)</f>
        <v>1591</v>
      </c>
      <c r="P44" s="14"/>
      <c r="Q44" s="24">
        <v>2893</v>
      </c>
      <c r="R44" s="14">
        <f>ROUND(+O44,0)</f>
        <v>1591</v>
      </c>
    </row>
    <row r="45" spans="1:20" ht="13.5" thickBot="1" x14ac:dyDescent="0.25">
      <c r="A45">
        <v>67693</v>
      </c>
      <c r="B45" s="1">
        <v>22</v>
      </c>
      <c r="H45" s="8">
        <f>+$B$2</f>
        <v>0.45</v>
      </c>
      <c r="I45" s="1" t="s">
        <v>51</v>
      </c>
      <c r="J45" s="16">
        <f>ROUND(+G44*H45,0)</f>
        <v>1112</v>
      </c>
      <c r="K45" s="19"/>
      <c r="L45" s="16">
        <f>ROUND(+K44*H45,0)</f>
        <v>1302</v>
      </c>
      <c r="M45" s="16"/>
      <c r="N45" s="16"/>
      <c r="O45" s="18">
        <f>ROUND(+L45,0)</f>
        <v>1302</v>
      </c>
      <c r="P45" s="16"/>
      <c r="Q45" s="19"/>
      <c r="R45" s="23">
        <f>ROUND(+Q44-N44+O45,0)</f>
        <v>1302</v>
      </c>
      <c r="S45" s="10">
        <f>+R45-O45</f>
        <v>0</v>
      </c>
      <c r="T45" t="s">
        <v>47</v>
      </c>
    </row>
    <row r="46" spans="1:20" x14ac:dyDescent="0.2">
      <c r="J46" s="10">
        <f>SUM(J44:J45)</f>
        <v>2470</v>
      </c>
      <c r="K46" s="13"/>
      <c r="L46" s="10">
        <f>SUM(L44:L45)</f>
        <v>2893</v>
      </c>
      <c r="O46" s="10">
        <f>ROUND(+L46,0)</f>
        <v>2893</v>
      </c>
      <c r="Q46" s="13"/>
      <c r="R46" s="10">
        <f>SUM(R44:R45)</f>
        <v>2893</v>
      </c>
      <c r="S46" s="10">
        <f>+R46-Q44</f>
        <v>0</v>
      </c>
      <c r="T46" t="s">
        <v>46</v>
      </c>
    </row>
    <row r="48" spans="1:20" s="32" customFormat="1" x14ac:dyDescent="0.2">
      <c r="A48">
        <v>67693</v>
      </c>
      <c r="B48" s="33">
        <v>12</v>
      </c>
      <c r="C48" s="32" t="s">
        <v>18</v>
      </c>
      <c r="D48" s="32" t="s">
        <v>44</v>
      </c>
      <c r="E48" s="33" t="s">
        <v>29</v>
      </c>
      <c r="F48" s="52">
        <v>1654</v>
      </c>
      <c r="G48" s="32">
        <v>1276</v>
      </c>
      <c r="H48" s="8">
        <f>+$B$1</f>
        <v>0.55000000000000004</v>
      </c>
      <c r="I48" s="33">
        <v>36907</v>
      </c>
      <c r="J48" s="10">
        <f>ROUND(+G48*H48,0)</f>
        <v>702</v>
      </c>
      <c r="K48" s="22">
        <v>1868</v>
      </c>
      <c r="L48" s="36">
        <f>ROUND(+K48*H48,0)</f>
        <v>1027</v>
      </c>
      <c r="M48" s="36"/>
      <c r="N48" s="25">
        <f>ROUND(+K48,0)</f>
        <v>1868</v>
      </c>
      <c r="O48" s="36">
        <f>ROUND(+L48,0)</f>
        <v>1027</v>
      </c>
      <c r="P48" s="36"/>
      <c r="Q48" s="24">
        <v>1627</v>
      </c>
      <c r="R48" s="36">
        <f>ROUND(+O48,0)</f>
        <v>1027</v>
      </c>
    </row>
    <row r="49" spans="1:21" s="32" customFormat="1" ht="13.5" thickBot="1" x14ac:dyDescent="0.25">
      <c r="A49">
        <v>67693</v>
      </c>
      <c r="B49" s="33">
        <v>23</v>
      </c>
      <c r="E49" s="33"/>
      <c r="F49" s="52"/>
      <c r="H49" s="8">
        <f>+$B$2</f>
        <v>0.45</v>
      </c>
      <c r="I49" s="33" t="s">
        <v>52</v>
      </c>
      <c r="J49" s="37">
        <f>ROUND(+G48*H49,0)</f>
        <v>574</v>
      </c>
      <c r="K49" s="38"/>
      <c r="L49" s="37">
        <f>ROUND(+K48*H49,0)</f>
        <v>841</v>
      </c>
      <c r="M49" s="37"/>
      <c r="N49" s="37"/>
      <c r="O49" s="39">
        <f>ROUND(+L49,0)</f>
        <v>841</v>
      </c>
      <c r="P49" s="37"/>
      <c r="Q49" s="38"/>
      <c r="R49" s="23">
        <f>ROUND(+Q48-N48+O49,0)</f>
        <v>600</v>
      </c>
      <c r="S49" s="35">
        <f>+R49-O49</f>
        <v>-241</v>
      </c>
      <c r="T49" s="32" t="s">
        <v>47</v>
      </c>
    </row>
    <row r="50" spans="1:21" s="32" customFormat="1" x14ac:dyDescent="0.2">
      <c r="B50" s="33"/>
      <c r="E50" s="33"/>
      <c r="F50" s="52"/>
      <c r="H50" s="34"/>
      <c r="I50" s="33"/>
      <c r="J50" s="40">
        <f>SUM(J48:J49)</f>
        <v>1276</v>
      </c>
      <c r="K50" s="41"/>
      <c r="L50" s="40">
        <f>SUM(L48:L49)</f>
        <v>1868</v>
      </c>
      <c r="M50" s="40"/>
      <c r="N50" s="35"/>
      <c r="O50" s="35">
        <f>ROUND(+L50,0)</f>
        <v>1868</v>
      </c>
      <c r="P50" s="40"/>
      <c r="Q50" s="41"/>
      <c r="R50" s="35">
        <f>SUM(R48:R49)</f>
        <v>1627</v>
      </c>
      <c r="S50" s="35">
        <f>+R50-Q48</f>
        <v>0</v>
      </c>
      <c r="T50" s="32" t="s">
        <v>46</v>
      </c>
    </row>
    <row r="52" spans="1:21" s="32" customFormat="1" x14ac:dyDescent="0.2">
      <c r="A52">
        <v>67693</v>
      </c>
      <c r="B52" s="33">
        <v>14</v>
      </c>
      <c r="C52" s="32" t="s">
        <v>19</v>
      </c>
      <c r="D52" s="32" t="s">
        <v>45</v>
      </c>
      <c r="E52" s="33" t="s">
        <v>30</v>
      </c>
      <c r="F52" s="52">
        <v>33</v>
      </c>
      <c r="G52" s="32">
        <v>25</v>
      </c>
      <c r="H52" s="8">
        <f>+$B$1</f>
        <v>0.55000000000000004</v>
      </c>
      <c r="I52" s="33">
        <v>36907</v>
      </c>
      <c r="J52" s="35">
        <f>ROUND(+G52*H52,0)</f>
        <v>14</v>
      </c>
      <c r="K52" s="22">
        <v>34</v>
      </c>
      <c r="L52" s="36">
        <f>ROUND(+K52*H52,0)</f>
        <v>19</v>
      </c>
      <c r="M52" s="36"/>
      <c r="N52" s="25">
        <f>ROUND(+K52,0)</f>
        <v>34</v>
      </c>
      <c r="O52" s="36">
        <f>ROUND(+L52,0)</f>
        <v>19</v>
      </c>
      <c r="P52" s="36"/>
      <c r="Q52" s="24">
        <v>34</v>
      </c>
      <c r="R52" s="36">
        <f>ROUND(+O52,0)</f>
        <v>19</v>
      </c>
    </row>
    <row r="53" spans="1:21" s="32" customFormat="1" ht="13.5" thickBot="1" x14ac:dyDescent="0.25">
      <c r="A53">
        <v>67693</v>
      </c>
      <c r="B53" s="33">
        <v>24</v>
      </c>
      <c r="E53" s="33"/>
      <c r="F53" s="52"/>
      <c r="H53" s="8">
        <f>+$B$2</f>
        <v>0.45</v>
      </c>
      <c r="I53" s="33" t="s">
        <v>52</v>
      </c>
      <c r="J53" s="37">
        <f>ROUND(+G52*H53,0)</f>
        <v>11</v>
      </c>
      <c r="K53" s="37"/>
      <c r="L53" s="37">
        <f>ROUND(+K52*H53,0)</f>
        <v>15</v>
      </c>
      <c r="M53" s="37"/>
      <c r="N53" s="37"/>
      <c r="O53" s="39">
        <f>ROUND(+L53,0)</f>
        <v>15</v>
      </c>
      <c r="P53" s="37"/>
      <c r="Q53" s="37"/>
      <c r="R53" s="23">
        <f>ROUND(+Q52-N52+O53,0)</f>
        <v>15</v>
      </c>
      <c r="S53" s="35">
        <f>+R53-O53</f>
        <v>0</v>
      </c>
      <c r="T53" s="32" t="s">
        <v>47</v>
      </c>
    </row>
    <row r="54" spans="1:21" s="32" customFormat="1" x14ac:dyDescent="0.2">
      <c r="B54" s="33"/>
      <c r="E54" s="33"/>
      <c r="F54" s="52"/>
      <c r="H54" s="34" t="s">
        <v>79</v>
      </c>
      <c r="I54" s="33"/>
      <c r="J54" s="35">
        <f>SUM(J52:J53)</f>
        <v>25</v>
      </c>
      <c r="K54" s="35"/>
      <c r="L54" s="35">
        <f>SUM(L52:L53)</f>
        <v>34</v>
      </c>
      <c r="M54" s="35"/>
      <c r="N54" s="35"/>
      <c r="O54" s="35">
        <f>ROUND(+L54,0)</f>
        <v>34</v>
      </c>
      <c r="P54" s="35"/>
      <c r="Q54" s="35"/>
      <c r="R54" s="35">
        <f>SUM(R52:R53)</f>
        <v>34</v>
      </c>
      <c r="S54" s="35">
        <f>+R54-Q52</f>
        <v>0</v>
      </c>
      <c r="T54" s="32" t="s">
        <v>46</v>
      </c>
    </row>
    <row r="55" spans="1:21" ht="13.5" thickBot="1" x14ac:dyDescent="0.25"/>
    <row r="56" spans="1:21" ht="13.5" thickBot="1" x14ac:dyDescent="0.25">
      <c r="E56" t="s">
        <v>32</v>
      </c>
      <c r="F56" s="50">
        <f>SUM(F6:F54)</f>
        <v>54327</v>
      </c>
      <c r="G56">
        <f>SUM(G6:G54)</f>
        <v>43625</v>
      </c>
      <c r="J56" s="28">
        <f>SUM(J8+J12+J16+J21+J25+J29+J34+J38+J42+J46+J50+J54)</f>
        <v>43625</v>
      </c>
      <c r="K56" s="10">
        <f>SUM(K6:K54)</f>
        <v>55556</v>
      </c>
      <c r="L56" s="28">
        <f>SUM(L8+L12+L16+L21+L25+L29+L34+L38+L42+L46+L50+L54)</f>
        <v>55556</v>
      </c>
      <c r="N56" s="10">
        <f>SUM(N6:N54)</f>
        <v>55556</v>
      </c>
      <c r="O56" s="28">
        <f>SUM(O8+O12+O16+O21+O25+O29+O34+O38+O42+O46+O50+O54)</f>
        <v>55556</v>
      </c>
      <c r="Q56" s="10">
        <f>SUM(Q6:Q54)</f>
        <v>49566</v>
      </c>
      <c r="R56" s="28">
        <f>SUM(R8+R12+R16+R21+R25+R29+R34+R38+R42+R46+R50+R54)</f>
        <v>49566</v>
      </c>
      <c r="S56" s="29">
        <f>S8+S12+S16+S21+S25+S29+S34+S38+S42+S46+S50+S54</f>
        <v>0</v>
      </c>
      <c r="T56" s="30" t="s">
        <v>55</v>
      </c>
      <c r="U56" s="31"/>
    </row>
    <row r="59" spans="1:21" x14ac:dyDescent="0.2">
      <c r="A59">
        <v>63281</v>
      </c>
      <c r="B59" s="1">
        <v>40</v>
      </c>
      <c r="H59" s="1">
        <v>22</v>
      </c>
      <c r="I59" t="s">
        <v>33</v>
      </c>
      <c r="J59" s="10">
        <f>SUMIF($I$6:$I$53,"22STOW",$J$6:$J$53)</f>
        <v>221</v>
      </c>
      <c r="L59" s="10">
        <f>SUMIF($I$6:$I$53,"22STOW",$L$6:$L$53)</f>
        <v>363</v>
      </c>
      <c r="O59" s="10">
        <f>SUMIF($I$6:$I$53,"22STOW",$O$6:$O$53)</f>
        <v>363</v>
      </c>
      <c r="R59" s="10">
        <f>SUMIF($I$6:$I$53,"22STOW",$R$6:$R$53)</f>
        <v>223</v>
      </c>
    </row>
    <row r="60" spans="1:21" x14ac:dyDescent="0.2">
      <c r="A60">
        <v>63281</v>
      </c>
      <c r="B60" s="1">
        <v>53</v>
      </c>
      <c r="C60" t="s">
        <v>54</v>
      </c>
      <c r="H60" s="1" t="s">
        <v>48</v>
      </c>
      <c r="I60" t="s">
        <v>33</v>
      </c>
      <c r="J60" s="10">
        <f>SUMIF($I$6:$I$53,"23nSTOW",$J$6:$J$53)</f>
        <v>4046</v>
      </c>
      <c r="L60" s="10">
        <f>SUMIF($I$6:$I$53,"23nSTOW",$L$6:$L$53)</f>
        <v>4904</v>
      </c>
      <c r="O60" s="10">
        <f>SUMIF($I$6:$I$53,"23nSTOW",$O$6:$O$53)</f>
        <v>4904</v>
      </c>
      <c r="R60" s="10">
        <f>SUMIF($I$6:$I$53,"23nSTOW",$R$6:$R$53)</f>
        <v>3810</v>
      </c>
    </row>
    <row r="61" spans="1:21" x14ac:dyDescent="0.2">
      <c r="A61">
        <v>63281</v>
      </c>
      <c r="B61" s="1">
        <v>54</v>
      </c>
      <c r="C61" t="s">
        <v>54</v>
      </c>
      <c r="H61" s="1">
        <v>23</v>
      </c>
      <c r="I61" t="s">
        <v>33</v>
      </c>
      <c r="J61" s="10">
        <f>SUMIF($I$6:$I$53,"23STOW",$J$6:$J$53)</f>
        <v>14780</v>
      </c>
      <c r="L61" s="10">
        <f>SUMIF($I$6:$I$53,"23STOW",$L$6:$L$53)</f>
        <v>18876</v>
      </c>
      <c r="O61" s="10">
        <f>SUMIF($I$6:$I$53,"23STOW",$O$6:$O$53)</f>
        <v>18876</v>
      </c>
      <c r="R61" s="10">
        <f>SUMIF($I$6:$I$53,"23STOW",$R$6:$R$53)</f>
        <v>14361</v>
      </c>
    </row>
    <row r="62" spans="1:21" x14ac:dyDescent="0.2">
      <c r="A62">
        <v>63281</v>
      </c>
      <c r="B62" s="1">
        <v>55</v>
      </c>
      <c r="C62" t="s">
        <v>54</v>
      </c>
      <c r="H62" s="1">
        <v>24</v>
      </c>
      <c r="I62" t="s">
        <v>33</v>
      </c>
      <c r="J62" s="10">
        <f>SUMIF($I$6:$I$53,"24STOW",$J$6:$J$53)</f>
        <v>585</v>
      </c>
      <c r="L62" s="10">
        <f>SUMIF($I$6:$I$53,"24STOW",$L$6:$L$53)</f>
        <v>856</v>
      </c>
      <c r="O62" s="10">
        <f>SUMIF($I$6:$I$53,"24STOW",$O$6:$O$53)</f>
        <v>856</v>
      </c>
      <c r="R62" s="10">
        <f>SUMIF($I$6:$I$53,"24STOW",$R$6:$R$53)</f>
        <v>615</v>
      </c>
    </row>
    <row r="64" spans="1:21" x14ac:dyDescent="0.2">
      <c r="A64">
        <v>63281</v>
      </c>
      <c r="B64" s="1">
        <v>52</v>
      </c>
      <c r="D64" s="55" t="s">
        <v>80</v>
      </c>
      <c r="E64" s="56">
        <v>20070</v>
      </c>
      <c r="F64" s="50"/>
      <c r="G64" s="10">
        <f>+J64/0.97816</f>
        <v>20070.33614132657</v>
      </c>
      <c r="I64" t="s">
        <v>33</v>
      </c>
      <c r="J64" s="10">
        <f>SUM(J59:J62)</f>
        <v>19632</v>
      </c>
      <c r="K64" s="10">
        <f>+L64/0.97816</f>
        <v>25557.168561380549</v>
      </c>
      <c r="L64" s="10">
        <f>SUM(L59:L62)</f>
        <v>24999</v>
      </c>
      <c r="N64" s="10">
        <f>+O64/0.97816</f>
        <v>25557.168561380549</v>
      </c>
      <c r="O64" s="10">
        <f>SUM(O59:O62)</f>
        <v>24999</v>
      </c>
      <c r="Q64" s="10">
        <f>+R64/0.97816</f>
        <v>19433.426024372289</v>
      </c>
      <c r="R64" s="10">
        <f>SUM(R59:R62)</f>
        <v>19009</v>
      </c>
    </row>
    <row r="66" spans="4:18" x14ac:dyDescent="0.2">
      <c r="H66" s="1"/>
      <c r="I66">
        <v>63281</v>
      </c>
      <c r="J66" s="1" t="s">
        <v>72</v>
      </c>
      <c r="L66" s="42">
        <f>SUMIF($A$6:$A$53,63281,$L$6:$L$53)</f>
        <v>0</v>
      </c>
      <c r="O66" s="42">
        <f>SUMIF($A$6:$A$53,63281,$O$6:$O$53)</f>
        <v>0</v>
      </c>
      <c r="R66" s="42">
        <f>SUMIF($A$6:$A$53,63281,$R$6:$R$53)</f>
        <v>0</v>
      </c>
    </row>
    <row r="69" spans="4:18" x14ac:dyDescent="0.2">
      <c r="D69" t="s">
        <v>85</v>
      </c>
      <c r="F69">
        <v>67693</v>
      </c>
      <c r="G69" s="1" t="s">
        <v>84</v>
      </c>
      <c r="L69" s="10">
        <f>SUMIF($A$6:$A$55,"67693",$L$6:$L$55)</f>
        <v>47556</v>
      </c>
      <c r="O69" s="10">
        <f>SUMIF($A$6:$A$55,"67693",$O$6:$O$55)</f>
        <v>47556</v>
      </c>
      <c r="R69" s="10">
        <f>SUMIF($A$6:$A$55,"67693",$R$6:$R$55)</f>
        <v>41566</v>
      </c>
    </row>
    <row r="70" spans="4:18" x14ac:dyDescent="0.2">
      <c r="F70">
        <v>38021</v>
      </c>
      <c r="G70" s="1" t="s">
        <v>84</v>
      </c>
      <c r="L70" s="10">
        <f>SUMIF($A$6:$A$55,"38021",$L$6:$L$55)</f>
        <v>0</v>
      </c>
      <c r="O70" s="10">
        <f>SUMIF($A$6:$A$55,"38021",$O$6:$O$55)</f>
        <v>0</v>
      </c>
      <c r="R70" s="10">
        <f>SUMIF($A$6:$A$55,"38021",$R$6:$R$55)</f>
        <v>0</v>
      </c>
    </row>
    <row r="71" spans="4:18" x14ac:dyDescent="0.2">
      <c r="F71" s="58">
        <v>40998</v>
      </c>
      <c r="G71" t="s">
        <v>84</v>
      </c>
      <c r="L71" s="10">
        <f>SUMIF($A$6:$A$53,"40998",$L$6:$L$53)</f>
        <v>0</v>
      </c>
      <c r="O71" s="10">
        <f>SUMIF($A$6:$A$53,"40998",$O$6:$O$53)</f>
        <v>0</v>
      </c>
      <c r="R71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U69"/>
  <sheetViews>
    <sheetView topLeftCell="E44" workbookViewId="0">
      <selection activeCell="F69" sqref="F69:R69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385</v>
      </c>
      <c r="L6" s="14">
        <f>ROUND(+K6*H6,0)</f>
        <v>193</v>
      </c>
      <c r="M6" s="14"/>
      <c r="N6" s="25">
        <f>ROUND(+K6,0)</f>
        <v>385</v>
      </c>
      <c r="O6" s="14">
        <f>ROUND(+L6,0)</f>
        <v>193</v>
      </c>
      <c r="P6" s="14"/>
      <c r="Q6" s="24">
        <v>338</v>
      </c>
      <c r="R6" s="14">
        <f>+O6</f>
        <v>193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192</v>
      </c>
      <c r="M7" s="16"/>
      <c r="N7" s="16"/>
      <c r="O7" s="18">
        <f>ROUND(+L7,0)</f>
        <v>192</v>
      </c>
      <c r="P7" s="14"/>
      <c r="R7" s="23">
        <f>ROUND(+Q6-N6+O7,0)</f>
        <v>145</v>
      </c>
      <c r="S7" s="10">
        <f>+R7-O7</f>
        <v>-47</v>
      </c>
      <c r="T7" t="s">
        <v>47</v>
      </c>
    </row>
    <row r="8" spans="1:20" x14ac:dyDescent="0.2">
      <c r="J8" s="10">
        <f>SUM(J6:J7)</f>
        <v>492</v>
      </c>
      <c r="L8" s="10">
        <f>SUM(L6:L7)</f>
        <v>385</v>
      </c>
      <c r="O8" s="10">
        <f>ROUND(+L8,0)</f>
        <v>385</v>
      </c>
      <c r="R8" s="10">
        <f>SUM(R6:R7)</f>
        <v>338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6068</v>
      </c>
      <c r="L10" s="14">
        <f>ROUND(+K10*H10,0)</f>
        <v>3034</v>
      </c>
      <c r="M10" s="14"/>
      <c r="N10" s="25">
        <f>ROUND(+K10,0)</f>
        <v>6068</v>
      </c>
      <c r="O10" s="14">
        <f>ROUND(+L10,0)</f>
        <v>3034</v>
      </c>
      <c r="P10" s="14"/>
      <c r="Q10" s="24">
        <v>7089</v>
      </c>
      <c r="R10" s="14">
        <f>ROUND(+O10,0)</f>
        <v>3034</v>
      </c>
    </row>
    <row r="11" spans="1:20" ht="13.5" thickBot="1" x14ac:dyDescent="0.25">
      <c r="A11">
        <v>67693</v>
      </c>
      <c r="B11" s="1">
        <v>25</v>
      </c>
      <c r="H11" s="8">
        <f>+$B$2</f>
        <v>0.5</v>
      </c>
      <c r="I11" s="1" t="s">
        <v>50</v>
      </c>
      <c r="J11" s="16">
        <f>ROUND(+G10*H11,0)</f>
        <v>3204</v>
      </c>
      <c r="K11" s="19"/>
      <c r="L11" s="16">
        <f>ROUND(+K10*H11,0)</f>
        <v>3034</v>
      </c>
      <c r="M11" s="16"/>
      <c r="N11" s="16"/>
      <c r="O11" s="18">
        <f>ROUND(+L11,0)</f>
        <v>3034</v>
      </c>
      <c r="P11" s="16"/>
      <c r="Q11" s="19"/>
      <c r="R11" s="23">
        <f>ROUND(+Q10-N10+O11,0)</f>
        <v>4055</v>
      </c>
      <c r="S11" s="10">
        <f>+R11-O11</f>
        <v>1021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6068</v>
      </c>
      <c r="M12" s="14"/>
      <c r="O12" s="10">
        <f>ROUND(+L12,0)</f>
        <v>6068</v>
      </c>
      <c r="P12" s="14"/>
      <c r="Q12" s="13"/>
      <c r="R12" s="10">
        <f>SUM(R10:R11)</f>
        <v>7089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</v>
      </c>
      <c r="I14" s="1">
        <v>36907</v>
      </c>
      <c r="J14" s="10">
        <f>ROUND(+G14*H14,0)</f>
        <v>1291</v>
      </c>
      <c r="K14" s="22">
        <v>2441</v>
      </c>
      <c r="L14" s="14">
        <f>ROUND(+K14*H14,0)</f>
        <v>1221</v>
      </c>
      <c r="M14" s="14"/>
      <c r="N14" s="25">
        <f>ROUND(+K14,0)</f>
        <v>2441</v>
      </c>
      <c r="O14" s="14">
        <f>ROUND(+L14,0)</f>
        <v>1221</v>
      </c>
      <c r="P14" s="14"/>
      <c r="Q14" s="24">
        <v>2853</v>
      </c>
      <c r="R14" s="14">
        <f>ROUND(+O14,0)</f>
        <v>1221</v>
      </c>
    </row>
    <row r="15" spans="1:20" ht="13.5" thickBot="1" x14ac:dyDescent="0.25">
      <c r="A15">
        <v>67693</v>
      </c>
      <c r="B15" s="1">
        <v>26</v>
      </c>
      <c r="H15" s="8">
        <f>+$B$2</f>
        <v>0.5</v>
      </c>
      <c r="I15" s="1" t="s">
        <v>50</v>
      </c>
      <c r="J15" s="16">
        <f>ROUND(+G14*H15,0)</f>
        <v>1291</v>
      </c>
      <c r="K15" s="19"/>
      <c r="L15" s="16">
        <v>1220</v>
      </c>
      <c r="M15" s="16"/>
      <c r="N15" s="16"/>
      <c r="O15" s="18">
        <f>ROUND(+L15,0)</f>
        <v>1220</v>
      </c>
      <c r="P15" s="16"/>
      <c r="Q15" s="19"/>
      <c r="R15" s="23">
        <f>ROUND(+Q14-N14+O15,0)</f>
        <v>1632</v>
      </c>
      <c r="S15" s="10">
        <f>+R15-O15</f>
        <v>412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2441</v>
      </c>
      <c r="O16" s="10">
        <f>ROUND(+L16,0)</f>
        <v>2441</v>
      </c>
      <c r="Q16" s="13"/>
      <c r="R16" s="10">
        <f>SUM(R14:R15)</f>
        <v>2853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</v>
      </c>
      <c r="I18" s="1">
        <v>36907</v>
      </c>
      <c r="J18" s="10">
        <f>ROUND(+G18*H18,0)</f>
        <v>5955</v>
      </c>
      <c r="K18" s="22">
        <v>13129</v>
      </c>
      <c r="L18" s="14">
        <f>ROUND(+K18*H18,0)</f>
        <v>6565</v>
      </c>
      <c r="M18" s="14"/>
      <c r="N18" s="25">
        <f>ROUND(+K18,0)</f>
        <v>13129</v>
      </c>
      <c r="O18" s="14">
        <f>ROUND(+L18,0)</f>
        <v>6565</v>
      </c>
      <c r="P18" s="14"/>
      <c r="Q18" s="24">
        <v>14500</v>
      </c>
      <c r="R18" s="14">
        <f>ROUND(+O18,0)</f>
        <v>6565</v>
      </c>
    </row>
    <row r="19" spans="1:20" ht="13.5" thickBot="1" x14ac:dyDescent="0.25">
      <c r="A19">
        <v>67693</v>
      </c>
      <c r="B19" s="1">
        <v>16</v>
      </c>
      <c r="H19" s="8">
        <f>+$B$2</f>
        <v>0.5</v>
      </c>
      <c r="I19" s="1" t="s">
        <v>51</v>
      </c>
      <c r="J19" s="16">
        <f>ROUND(+G18*H19,0)</f>
        <v>5955</v>
      </c>
      <c r="K19" s="19"/>
      <c r="L19" s="16">
        <v>6564</v>
      </c>
      <c r="M19" s="16"/>
      <c r="N19" s="16"/>
      <c r="O19" s="18">
        <f>ROUND(+L19,0)</f>
        <v>6564</v>
      </c>
      <c r="P19" s="16"/>
      <c r="Q19" s="19"/>
      <c r="R19" s="23">
        <f>ROUND(+Q18-N18+O19,0)</f>
        <v>7935</v>
      </c>
      <c r="S19" s="10">
        <f>+R19-O19</f>
        <v>1371</v>
      </c>
      <c r="T19" t="s">
        <v>47</v>
      </c>
    </row>
    <row r="20" spans="1:20" x14ac:dyDescent="0.2">
      <c r="J20" s="14">
        <f>SUM(J18:J19)</f>
        <v>11910</v>
      </c>
      <c r="K20" s="13"/>
      <c r="L20" s="10">
        <f>SUM(L18:L19)</f>
        <v>13129</v>
      </c>
      <c r="M20" s="14"/>
      <c r="O20" s="10">
        <f>ROUND(+L20,0)</f>
        <v>13129</v>
      </c>
      <c r="P20" s="14"/>
      <c r="Q20" s="13"/>
      <c r="R20" s="10">
        <f>SUM(R18:R19)</f>
        <v>14500</v>
      </c>
      <c r="S20" s="10">
        <f>+R20-Q18</f>
        <v>0</v>
      </c>
      <c r="T20" t="s">
        <v>46</v>
      </c>
    </row>
    <row r="22" spans="1:20" x14ac:dyDescent="0.2">
      <c r="A22">
        <v>67693</v>
      </c>
      <c r="B22" s="1">
        <v>4</v>
      </c>
      <c r="C22" t="s">
        <v>12</v>
      </c>
      <c r="D22" t="s">
        <v>38</v>
      </c>
      <c r="E22" s="1" t="s">
        <v>23</v>
      </c>
      <c r="F22" s="48">
        <v>2273</v>
      </c>
      <c r="G22">
        <v>1789</v>
      </c>
      <c r="H22" s="8">
        <f>+$B$1</f>
        <v>0.5</v>
      </c>
      <c r="I22" s="1">
        <v>36907</v>
      </c>
      <c r="J22" s="10">
        <f>ROUND(+G22*H22,0)</f>
        <v>895</v>
      </c>
      <c r="K22" s="22">
        <v>1981</v>
      </c>
      <c r="L22" s="14">
        <f>ROUND(+K22*H22,0)</f>
        <v>991</v>
      </c>
      <c r="M22" s="14"/>
      <c r="N22" s="25">
        <f>ROUND(+K22,0)</f>
        <v>1981</v>
      </c>
      <c r="O22" s="14">
        <f>ROUND(+L22,0)</f>
        <v>991</v>
      </c>
      <c r="P22" s="14"/>
      <c r="Q22" s="24">
        <v>1771</v>
      </c>
      <c r="R22" s="14">
        <f>ROUND(+O22,0)</f>
        <v>991</v>
      </c>
    </row>
    <row r="23" spans="1:20" ht="13.5" thickBot="1" x14ac:dyDescent="0.25">
      <c r="A23">
        <v>67693</v>
      </c>
      <c r="B23" s="1">
        <v>17</v>
      </c>
      <c r="H23" s="8">
        <f>+$B$2</f>
        <v>0.5</v>
      </c>
      <c r="I23" s="1" t="s">
        <v>51</v>
      </c>
      <c r="J23" s="16">
        <f>ROUND(+G22*H23,0)</f>
        <v>895</v>
      </c>
      <c r="K23" s="19"/>
      <c r="L23" s="18">
        <v>990</v>
      </c>
      <c r="M23" s="18"/>
      <c r="N23" s="16"/>
      <c r="O23" s="18">
        <f>ROUND(+L23,0)</f>
        <v>990</v>
      </c>
      <c r="P23" s="18"/>
      <c r="Q23" s="19"/>
      <c r="R23" s="23">
        <f>ROUND(+Q22-N22+O23,0)</f>
        <v>780</v>
      </c>
      <c r="S23" s="10">
        <f>+R23-O23</f>
        <v>-210</v>
      </c>
      <c r="T23" t="s">
        <v>47</v>
      </c>
    </row>
    <row r="24" spans="1:20" x14ac:dyDescent="0.2">
      <c r="J24" s="10">
        <f>SUM(J22:J23)</f>
        <v>1790</v>
      </c>
      <c r="K24" s="13"/>
      <c r="L24" s="10">
        <f>SUM(L22:L23)</f>
        <v>1981</v>
      </c>
      <c r="O24" s="10">
        <f>ROUND(+L24,0)</f>
        <v>1981</v>
      </c>
      <c r="Q24" s="13"/>
      <c r="R24" s="10">
        <f>SUM(R22:R23)</f>
        <v>1771</v>
      </c>
      <c r="S24" s="10">
        <f>+R24-Q22</f>
        <v>0</v>
      </c>
      <c r="T24" t="s">
        <v>46</v>
      </c>
    </row>
    <row r="26" spans="1:20" x14ac:dyDescent="0.2">
      <c r="A26">
        <v>67693</v>
      </c>
      <c r="B26" s="1">
        <v>5</v>
      </c>
      <c r="C26" t="s">
        <v>13</v>
      </c>
      <c r="D26" t="s">
        <v>39</v>
      </c>
      <c r="E26" s="1" t="s">
        <v>24</v>
      </c>
      <c r="F26" s="48">
        <v>1763</v>
      </c>
      <c r="G26">
        <v>1425</v>
      </c>
      <c r="H26" s="8">
        <f>+$B$1</f>
        <v>0.5</v>
      </c>
      <c r="I26" s="1">
        <v>36907</v>
      </c>
      <c r="J26" s="10">
        <f>ROUND(+G26*H26,0)</f>
        <v>713</v>
      </c>
      <c r="K26" s="22">
        <v>1571</v>
      </c>
      <c r="L26" s="14">
        <f>ROUND(+K26*H26,0)</f>
        <v>786</v>
      </c>
      <c r="M26" s="14"/>
      <c r="N26" s="25">
        <f>ROUND(+K26,0)</f>
        <v>1571</v>
      </c>
      <c r="O26" s="14">
        <f>ROUND(+L26,0)</f>
        <v>786</v>
      </c>
      <c r="P26" s="14"/>
      <c r="Q26" s="24">
        <v>1490</v>
      </c>
      <c r="R26" s="14">
        <f>ROUND(+O26,0)</f>
        <v>786</v>
      </c>
    </row>
    <row r="27" spans="1:20" ht="13.5" thickBot="1" x14ac:dyDescent="0.25">
      <c r="A27">
        <v>67693</v>
      </c>
      <c r="B27" s="1">
        <v>18</v>
      </c>
      <c r="H27" s="8">
        <f>+$B$2</f>
        <v>0.5</v>
      </c>
      <c r="I27" s="1" t="s">
        <v>51</v>
      </c>
      <c r="J27" s="16">
        <f>ROUND(+G26*H27,0)</f>
        <v>713</v>
      </c>
      <c r="K27" s="19"/>
      <c r="L27" s="16">
        <v>785</v>
      </c>
      <c r="M27" s="16"/>
      <c r="N27" s="16"/>
      <c r="O27" s="18">
        <f>ROUND(+L27,0)</f>
        <v>785</v>
      </c>
      <c r="P27" s="16"/>
      <c r="Q27" s="19"/>
      <c r="R27" s="23">
        <f>ROUND(+Q26-N26+O27,0)</f>
        <v>704</v>
      </c>
      <c r="S27" s="10">
        <f>+R27-O27</f>
        <v>-81</v>
      </c>
      <c r="T27" t="s">
        <v>47</v>
      </c>
    </row>
    <row r="28" spans="1:20" x14ac:dyDescent="0.2">
      <c r="J28" s="10">
        <f>SUM(J26:J27)</f>
        <v>1426</v>
      </c>
      <c r="K28" s="13"/>
      <c r="L28" s="10">
        <f>SUM(L26:L27)</f>
        <v>1571</v>
      </c>
      <c r="O28" s="10">
        <f>ROUND(+L28,0)</f>
        <v>1571</v>
      </c>
      <c r="Q28" s="13"/>
      <c r="R28" s="10">
        <f>SUM(R26:R27)</f>
        <v>1490</v>
      </c>
      <c r="S28" s="10">
        <f>+R28-Q26</f>
        <v>0</v>
      </c>
      <c r="T28" t="s">
        <v>46</v>
      </c>
    </row>
    <row r="30" spans="1:20" x14ac:dyDescent="0.2">
      <c r="A30">
        <v>67693</v>
      </c>
      <c r="B30" s="1">
        <v>6</v>
      </c>
      <c r="C30" t="s">
        <v>14</v>
      </c>
      <c r="D30" t="s">
        <v>40</v>
      </c>
      <c r="E30" s="1" t="s">
        <v>25</v>
      </c>
      <c r="F30" s="48">
        <v>14119</v>
      </c>
      <c r="G30" s="6">
        <v>11359</v>
      </c>
      <c r="H30" s="8">
        <f>+$B$1</f>
        <v>0.5</v>
      </c>
      <c r="I30" s="1">
        <v>36907</v>
      </c>
      <c r="J30" s="10">
        <f>ROUND(+G30*H30,0)</f>
        <v>5680</v>
      </c>
      <c r="K30" s="22">
        <v>11211</v>
      </c>
      <c r="L30" s="14">
        <f>ROUND(+K30*H30,0)</f>
        <v>5606</v>
      </c>
      <c r="M30" s="14"/>
      <c r="N30" s="25">
        <f>ROUND(+K30,0)</f>
        <v>11211</v>
      </c>
      <c r="O30" s="14">
        <f>ROUND(+L30,0)</f>
        <v>5606</v>
      </c>
      <c r="P30" s="14"/>
      <c r="Q30" s="24">
        <v>8532</v>
      </c>
      <c r="R30" s="14">
        <f>ROUND(+O30,0)</f>
        <v>5606</v>
      </c>
    </row>
    <row r="31" spans="1:20" ht="13.5" thickBot="1" x14ac:dyDescent="0.25">
      <c r="A31">
        <v>67693</v>
      </c>
      <c r="B31" s="1">
        <v>19</v>
      </c>
      <c r="H31" s="8">
        <f>+$B$2</f>
        <v>0.5</v>
      </c>
      <c r="I31" s="1" t="s">
        <v>51</v>
      </c>
      <c r="J31" s="16">
        <f>ROUND(+G30*H31,0)</f>
        <v>5680</v>
      </c>
      <c r="K31" s="19"/>
      <c r="L31" s="16">
        <v>5605</v>
      </c>
      <c r="M31" s="16"/>
      <c r="N31" s="16"/>
      <c r="O31" s="18">
        <f>ROUND(+L31,0)</f>
        <v>5605</v>
      </c>
      <c r="P31" s="16"/>
      <c r="Q31" s="19"/>
      <c r="R31" s="23">
        <f>ROUND(+Q30-N30+O31,0)</f>
        <v>2926</v>
      </c>
      <c r="S31" s="10">
        <f>+R31-O31</f>
        <v>-2679</v>
      </c>
      <c r="T31" t="s">
        <v>47</v>
      </c>
    </row>
    <row r="32" spans="1:20" x14ac:dyDescent="0.2">
      <c r="J32" s="10">
        <f>SUM(J30:J31)</f>
        <v>11360</v>
      </c>
      <c r="K32" s="13"/>
      <c r="L32" s="10">
        <f>SUM(L30:L31)</f>
        <v>11211</v>
      </c>
      <c r="O32" s="10">
        <f>ROUND(+L32,0)</f>
        <v>11211</v>
      </c>
      <c r="Q32" s="13"/>
      <c r="R32" s="10">
        <f>SUM(R30:R31)</f>
        <v>8532</v>
      </c>
      <c r="S32" s="10">
        <f>+R32-Q30</f>
        <v>0</v>
      </c>
      <c r="T32" t="s">
        <v>46</v>
      </c>
    </row>
    <row r="34" spans="1:20" ht="12" customHeight="1" x14ac:dyDescent="0.2">
      <c r="A34">
        <v>67693</v>
      </c>
      <c r="B34" s="1">
        <v>7</v>
      </c>
      <c r="C34" t="s">
        <v>15</v>
      </c>
      <c r="D34" t="s">
        <v>41</v>
      </c>
      <c r="E34" s="1" t="s">
        <v>26</v>
      </c>
      <c r="F34" s="48">
        <v>2405</v>
      </c>
      <c r="G34">
        <v>1891</v>
      </c>
      <c r="H34" s="8">
        <f>+$B$1</f>
        <v>0.5</v>
      </c>
      <c r="I34" s="1">
        <v>36907</v>
      </c>
      <c r="J34" s="10">
        <f>ROUND(+G34*H34,0)</f>
        <v>946</v>
      </c>
      <c r="K34" s="22">
        <v>1874</v>
      </c>
      <c r="L34" s="14">
        <f>ROUND(+K34*H34,0)</f>
        <v>937</v>
      </c>
      <c r="M34" s="14"/>
      <c r="N34" s="25">
        <f>ROUND(+K34,0)</f>
        <v>1874</v>
      </c>
      <c r="O34" s="14">
        <f>ROUND(+L34,0)</f>
        <v>937</v>
      </c>
      <c r="P34" s="14"/>
      <c r="Q34" s="24">
        <v>1535</v>
      </c>
      <c r="R34" s="14">
        <f>ROUND(+O34,0)</f>
        <v>937</v>
      </c>
    </row>
    <row r="35" spans="1:20" ht="12" customHeight="1" thickBot="1" x14ac:dyDescent="0.25">
      <c r="A35">
        <v>67693</v>
      </c>
      <c r="B35" s="1">
        <v>20</v>
      </c>
      <c r="H35" s="8">
        <f>+$B$2</f>
        <v>0.5</v>
      </c>
      <c r="I35" s="1" t="s">
        <v>51</v>
      </c>
      <c r="J35" s="16">
        <f>ROUND(+G34*H35,0)</f>
        <v>946</v>
      </c>
      <c r="K35" s="19"/>
      <c r="L35" s="16">
        <f>ROUND(+K34*H35,0)</f>
        <v>937</v>
      </c>
      <c r="M35" s="16"/>
      <c r="N35" s="16"/>
      <c r="O35" s="18">
        <f>ROUND(+L35,0)</f>
        <v>937</v>
      </c>
      <c r="P35" s="16"/>
      <c r="Q35" s="19"/>
      <c r="R35" s="23">
        <f>ROUND(+Q34-N34+O35,0)</f>
        <v>598</v>
      </c>
      <c r="S35" s="10">
        <f>+R35-O35</f>
        <v>-339</v>
      </c>
      <c r="T35" t="s">
        <v>47</v>
      </c>
    </row>
    <row r="36" spans="1:20" ht="12" customHeight="1" x14ac:dyDescent="0.2">
      <c r="J36" s="10">
        <f>SUM(J34:J35)</f>
        <v>1892</v>
      </c>
      <c r="K36" s="13"/>
      <c r="L36" s="10">
        <f>SUM(L34:L35)</f>
        <v>1874</v>
      </c>
      <c r="O36" s="10">
        <f>ROUND(+L36,0)</f>
        <v>1874</v>
      </c>
      <c r="Q36" s="13"/>
      <c r="R36" s="10">
        <f>SUM(R34:R35)</f>
        <v>1535</v>
      </c>
      <c r="S36" s="10">
        <f>+R36-Q34</f>
        <v>0</v>
      </c>
      <c r="T36" t="s">
        <v>46</v>
      </c>
    </row>
    <row r="37" spans="1:20" ht="12" customHeight="1" x14ac:dyDescent="0.2"/>
    <row r="38" spans="1:20" x14ac:dyDescent="0.2">
      <c r="A38">
        <v>67693</v>
      </c>
      <c r="B38" s="1">
        <v>8</v>
      </c>
      <c r="C38" t="s">
        <v>16</v>
      </c>
      <c r="D38" t="s">
        <v>42</v>
      </c>
      <c r="E38" s="1" t="s">
        <v>27</v>
      </c>
      <c r="F38" s="48">
        <v>2573</v>
      </c>
      <c r="G38">
        <v>2000</v>
      </c>
      <c r="H38" s="8">
        <f>+$B$1</f>
        <v>0.5</v>
      </c>
      <c r="I38" s="1">
        <v>36907</v>
      </c>
      <c r="J38" s="10">
        <f>ROUND(+G38*H38,0)</f>
        <v>1000</v>
      </c>
      <c r="K38" s="22">
        <v>1710</v>
      </c>
      <c r="L38" s="14">
        <f>ROUND(+K38*H38,0)</f>
        <v>855</v>
      </c>
      <c r="M38" s="14"/>
      <c r="N38" s="25">
        <f>ROUND(+K38,0)</f>
        <v>1710</v>
      </c>
      <c r="O38" s="14">
        <f>ROUND(+L38,0)</f>
        <v>855</v>
      </c>
      <c r="P38" s="14"/>
      <c r="Q38" s="24">
        <v>1464</v>
      </c>
      <c r="R38" s="14">
        <f>ROUND(+O38,0)</f>
        <v>855</v>
      </c>
    </row>
    <row r="39" spans="1:20" ht="13.5" thickBot="1" x14ac:dyDescent="0.25">
      <c r="A39">
        <v>67693</v>
      </c>
      <c r="B39" s="1">
        <v>21</v>
      </c>
      <c r="H39" s="8">
        <f>+$B$2</f>
        <v>0.5</v>
      </c>
      <c r="I39" s="1" t="s">
        <v>51</v>
      </c>
      <c r="J39" s="16">
        <f>ROUND(+G38*H39,0)</f>
        <v>1000</v>
      </c>
      <c r="K39" s="19"/>
      <c r="L39" s="16">
        <f>ROUND(+K38*H39,0)</f>
        <v>855</v>
      </c>
      <c r="M39" s="16"/>
      <c r="N39" s="16"/>
      <c r="O39" s="18">
        <f>ROUND(+L39,0)</f>
        <v>855</v>
      </c>
      <c r="P39" s="16"/>
      <c r="Q39" s="19"/>
      <c r="R39" s="23">
        <f>ROUND(+Q38-N38+O39,0)</f>
        <v>609</v>
      </c>
      <c r="S39" s="10">
        <f>+R39-O39</f>
        <v>-246</v>
      </c>
      <c r="T39" t="s">
        <v>47</v>
      </c>
    </row>
    <row r="40" spans="1:20" x14ac:dyDescent="0.2">
      <c r="J40" s="10">
        <f>SUM(J38:J39)</f>
        <v>2000</v>
      </c>
      <c r="L40" s="10">
        <f>SUM(L38:L39)</f>
        <v>1710</v>
      </c>
      <c r="O40" s="10">
        <f>ROUND(+L40,0)</f>
        <v>1710</v>
      </c>
      <c r="R40" s="10">
        <f>SUM(R38:R39)</f>
        <v>1464</v>
      </c>
      <c r="S40" s="10">
        <f>+R40-Q38</f>
        <v>0</v>
      </c>
      <c r="T40" t="s">
        <v>46</v>
      </c>
    </row>
    <row r="42" spans="1:20" x14ac:dyDescent="0.2">
      <c r="A42">
        <v>67693</v>
      </c>
      <c r="B42" s="1">
        <v>9</v>
      </c>
      <c r="C42" t="s">
        <v>17</v>
      </c>
      <c r="D42" t="s">
        <v>43</v>
      </c>
      <c r="E42" s="1" t="s">
        <v>28</v>
      </c>
      <c r="F42" s="48">
        <v>3128</v>
      </c>
      <c r="G42">
        <v>2470</v>
      </c>
      <c r="H42" s="8">
        <f>+$B$1</f>
        <v>0.5</v>
      </c>
      <c r="I42" s="1">
        <v>36907</v>
      </c>
      <c r="J42" s="54">
        <v>1358</v>
      </c>
      <c r="K42" s="22">
        <v>2285</v>
      </c>
      <c r="L42" s="14">
        <f>ROUND(+K42*H42,0)</f>
        <v>1143</v>
      </c>
      <c r="M42" s="14"/>
      <c r="N42" s="25">
        <f>ROUND(+K42,0)</f>
        <v>2285</v>
      </c>
      <c r="O42" s="14">
        <f>ROUND(+L42,0)</f>
        <v>1143</v>
      </c>
      <c r="P42" s="14"/>
      <c r="Q42" s="24">
        <v>1829</v>
      </c>
      <c r="R42" s="14">
        <f>ROUND(+O42,0)</f>
        <v>1143</v>
      </c>
    </row>
    <row r="43" spans="1:20" ht="13.5" thickBot="1" x14ac:dyDescent="0.25">
      <c r="A43">
        <v>67693</v>
      </c>
      <c r="B43" s="1">
        <v>22</v>
      </c>
      <c r="H43" s="8">
        <f>+$B$2</f>
        <v>0.5</v>
      </c>
      <c r="I43" s="1" t="s">
        <v>51</v>
      </c>
      <c r="J43" s="16">
        <f>ROUND(+G42*H43,0)</f>
        <v>1235</v>
      </c>
      <c r="K43" s="19"/>
      <c r="L43" s="16">
        <v>1142</v>
      </c>
      <c r="M43" s="16"/>
      <c r="N43" s="16"/>
      <c r="O43" s="18">
        <f>ROUND(+L43,0)</f>
        <v>1142</v>
      </c>
      <c r="P43" s="16"/>
      <c r="Q43" s="19"/>
      <c r="R43" s="23">
        <f>ROUND(+Q42-N42+O43,0)</f>
        <v>686</v>
      </c>
      <c r="S43" s="10">
        <f>+R43-O43</f>
        <v>-456</v>
      </c>
      <c r="T43" t="s">
        <v>47</v>
      </c>
    </row>
    <row r="44" spans="1:20" x14ac:dyDescent="0.2">
      <c r="J44" s="10">
        <f>SUM(J42:J43)</f>
        <v>2593</v>
      </c>
      <c r="K44" s="13"/>
      <c r="L44" s="10">
        <f>SUM(L42:L43)</f>
        <v>2285</v>
      </c>
      <c r="O44" s="10">
        <f>ROUND(+L44,0)</f>
        <v>2285</v>
      </c>
      <c r="Q44" s="13"/>
      <c r="R44" s="10">
        <f>SUM(R42:R43)</f>
        <v>1829</v>
      </c>
      <c r="S44" s="10">
        <f>+R44-Q42</f>
        <v>0</v>
      </c>
      <c r="T44" t="s">
        <v>46</v>
      </c>
    </row>
    <row r="46" spans="1:20" s="32" customFormat="1" x14ac:dyDescent="0.2">
      <c r="A46">
        <v>67693</v>
      </c>
      <c r="B46" s="33">
        <v>12</v>
      </c>
      <c r="C46" s="32" t="s">
        <v>18</v>
      </c>
      <c r="D46" s="32" t="s">
        <v>44</v>
      </c>
      <c r="E46" s="33" t="s">
        <v>29</v>
      </c>
      <c r="F46" s="52">
        <v>1654</v>
      </c>
      <c r="G46" s="32">
        <v>1276</v>
      </c>
      <c r="H46" s="8">
        <f>+$B$1</f>
        <v>0.5</v>
      </c>
      <c r="I46" s="33">
        <v>36907</v>
      </c>
      <c r="J46" s="10">
        <f>ROUND(+G46*H46,0)</f>
        <v>638</v>
      </c>
      <c r="K46" s="22">
        <v>1308</v>
      </c>
      <c r="L46" s="36">
        <f>ROUND(+K46*H46,0)</f>
        <v>654</v>
      </c>
      <c r="M46" s="36"/>
      <c r="N46" s="25">
        <f>ROUND(+K46,0)</f>
        <v>1308</v>
      </c>
      <c r="O46" s="36">
        <f>ROUND(+L46,0)</f>
        <v>654</v>
      </c>
      <c r="P46" s="36"/>
      <c r="Q46" s="24">
        <v>1067</v>
      </c>
      <c r="R46" s="36">
        <f>ROUND(+O46,0)</f>
        <v>654</v>
      </c>
    </row>
    <row r="47" spans="1:20" s="32" customFormat="1" ht="13.5" thickBot="1" x14ac:dyDescent="0.25">
      <c r="A47">
        <v>67693</v>
      </c>
      <c r="B47" s="33">
        <v>23</v>
      </c>
      <c r="E47" s="33"/>
      <c r="F47" s="52"/>
      <c r="H47" s="8">
        <f>+$B$2</f>
        <v>0.5</v>
      </c>
      <c r="I47" s="33" t="s">
        <v>52</v>
      </c>
      <c r="J47" s="37">
        <f>ROUND(+G46*H47,0)</f>
        <v>638</v>
      </c>
      <c r="K47" s="38"/>
      <c r="L47" s="37">
        <f>ROUND(+K46*H47,0)</f>
        <v>654</v>
      </c>
      <c r="M47" s="37"/>
      <c r="N47" s="37"/>
      <c r="O47" s="39">
        <f>ROUND(+L47,0)</f>
        <v>654</v>
      </c>
      <c r="P47" s="37"/>
      <c r="Q47" s="38"/>
      <c r="R47" s="23">
        <f>ROUND(+Q46-N46+O47,0)</f>
        <v>413</v>
      </c>
      <c r="S47" s="35">
        <f>+R47-O47</f>
        <v>-241</v>
      </c>
      <c r="T47" s="32" t="s">
        <v>47</v>
      </c>
    </row>
    <row r="48" spans="1:20" s="32" customFormat="1" x14ac:dyDescent="0.2">
      <c r="B48" s="33"/>
      <c r="E48" s="33"/>
      <c r="F48" s="52"/>
      <c r="H48" s="34"/>
      <c r="I48" s="33"/>
      <c r="J48" s="40">
        <f>SUM(J46:J47)</f>
        <v>1276</v>
      </c>
      <c r="K48" s="41"/>
      <c r="L48" s="40">
        <f>SUM(L46:L47)</f>
        <v>1308</v>
      </c>
      <c r="M48" s="40"/>
      <c r="N48" s="35"/>
      <c r="O48" s="35">
        <f>ROUND(+L48,0)</f>
        <v>1308</v>
      </c>
      <c r="P48" s="40"/>
      <c r="Q48" s="41"/>
      <c r="R48" s="35">
        <f>SUM(R46:R47)</f>
        <v>1067</v>
      </c>
      <c r="S48" s="35">
        <f>+R48-Q46</f>
        <v>0</v>
      </c>
      <c r="T48" s="32" t="s">
        <v>46</v>
      </c>
    </row>
    <row r="50" spans="1:21" s="32" customFormat="1" x14ac:dyDescent="0.2">
      <c r="A50">
        <v>67693</v>
      </c>
      <c r="B50" s="33">
        <v>14</v>
      </c>
      <c r="C50" s="32" t="s">
        <v>19</v>
      </c>
      <c r="D50" s="32" t="s">
        <v>45</v>
      </c>
      <c r="E50" s="33" t="s">
        <v>30</v>
      </c>
      <c r="F50" s="52">
        <v>33</v>
      </c>
      <c r="G50" s="32">
        <v>25</v>
      </c>
      <c r="H50" s="8">
        <f>+$B$1</f>
        <v>0.5</v>
      </c>
      <c r="I50" s="33">
        <v>36907</v>
      </c>
      <c r="J50" s="35">
        <f>ROUND(+G50*H50,0)</f>
        <v>13</v>
      </c>
      <c r="K50" s="22">
        <v>27</v>
      </c>
      <c r="L50" s="36">
        <f>ROUND(+K50*H50,0)</f>
        <v>14</v>
      </c>
      <c r="M50" s="36"/>
      <c r="N50" s="25">
        <f>ROUND(+K50,0)</f>
        <v>27</v>
      </c>
      <c r="O50" s="36">
        <f>ROUND(+L50,0)</f>
        <v>14</v>
      </c>
      <c r="P50" s="36"/>
      <c r="Q50" s="24">
        <v>26</v>
      </c>
      <c r="R50" s="36">
        <f>ROUND(+O50,0)</f>
        <v>14</v>
      </c>
    </row>
    <row r="51" spans="1:21" s="32" customFormat="1" ht="13.5" thickBot="1" x14ac:dyDescent="0.25">
      <c r="A51">
        <v>67693</v>
      </c>
      <c r="B51" s="33">
        <v>24</v>
      </c>
      <c r="E51" s="33"/>
      <c r="F51" s="52"/>
      <c r="H51" s="8">
        <f>+$B$2</f>
        <v>0.5</v>
      </c>
      <c r="I51" s="33" t="s">
        <v>52</v>
      </c>
      <c r="J51" s="37">
        <f>ROUND(+G50*H51,0)</f>
        <v>13</v>
      </c>
      <c r="K51" s="37"/>
      <c r="L51" s="37">
        <v>13</v>
      </c>
      <c r="M51" s="37"/>
      <c r="N51" s="37"/>
      <c r="O51" s="39">
        <f>ROUND(+L51,0)</f>
        <v>13</v>
      </c>
      <c r="P51" s="37"/>
      <c r="Q51" s="37"/>
      <c r="R51" s="23">
        <f>ROUND(+Q50-N50+O51,0)</f>
        <v>12</v>
      </c>
      <c r="S51" s="35">
        <f>+R51-O51</f>
        <v>-1</v>
      </c>
      <c r="T51" s="32" t="s">
        <v>47</v>
      </c>
    </row>
    <row r="52" spans="1:21" s="32" customFormat="1" x14ac:dyDescent="0.2">
      <c r="B52" s="33"/>
      <c r="E52" s="33"/>
      <c r="F52" s="52"/>
      <c r="H52" s="34" t="s">
        <v>79</v>
      </c>
      <c r="I52" s="33"/>
      <c r="J52" s="35">
        <f>SUM(J50:J51)</f>
        <v>26</v>
      </c>
      <c r="K52" s="35"/>
      <c r="L52" s="35">
        <f>SUM(L50:L51)</f>
        <v>27</v>
      </c>
      <c r="M52" s="35"/>
      <c r="N52" s="35"/>
      <c r="O52" s="35">
        <f>ROUND(+L52,0)</f>
        <v>27</v>
      </c>
      <c r="P52" s="35"/>
      <c r="Q52" s="35"/>
      <c r="R52" s="35">
        <f>SUM(R50:R51)</f>
        <v>26</v>
      </c>
      <c r="S52" s="35">
        <f>+R52-Q50</f>
        <v>0</v>
      </c>
      <c r="T52" s="32" t="s">
        <v>46</v>
      </c>
    </row>
    <row r="53" spans="1:21" ht="13.5" thickBot="1" x14ac:dyDescent="0.25"/>
    <row r="54" spans="1:21" ht="13.5" thickBot="1" x14ac:dyDescent="0.25">
      <c r="E54" t="s">
        <v>32</v>
      </c>
      <c r="F54" s="50">
        <f>SUM(F6:F52)</f>
        <v>54327</v>
      </c>
      <c r="G54">
        <f>SUM(G6:G52)</f>
        <v>43625</v>
      </c>
      <c r="J54" s="28">
        <f>SUM(J8+J12+J16+J20+J24+J28+J32+J36+J40+J44+J48+J52)</f>
        <v>43755</v>
      </c>
      <c r="K54" s="10">
        <f>SUM(K6:K52)</f>
        <v>43990</v>
      </c>
      <c r="L54" s="28">
        <f>SUM(L8+L12+L16+L20+L24+L28+L32+L36+L40+L44+L48+L52)</f>
        <v>43990</v>
      </c>
      <c r="N54" s="10">
        <f>SUM(N6:N52)</f>
        <v>43990</v>
      </c>
      <c r="O54" s="28">
        <f>SUM(O8+O12+O16+O20+O24+O28+O32+O36+O40+O44+O48+O52)</f>
        <v>43990</v>
      </c>
      <c r="Q54" s="10">
        <f>SUM(Q6:Q52)</f>
        <v>42494</v>
      </c>
      <c r="R54" s="28">
        <f>SUM(R8+R12+R16+R20+R24+R28+R32+R36+R40+R44+R48+R52)</f>
        <v>42494</v>
      </c>
      <c r="S54" s="29">
        <f>S8+S12+S16+S20+S24+S28+S32+S36+S40+S44+S48+S52</f>
        <v>0</v>
      </c>
      <c r="T54" s="30" t="s">
        <v>55</v>
      </c>
      <c r="U54" s="31"/>
    </row>
    <row r="57" spans="1:21" x14ac:dyDescent="0.2">
      <c r="A57">
        <v>63281</v>
      </c>
      <c r="B57" s="1">
        <v>40</v>
      </c>
      <c r="H57" s="1">
        <v>22</v>
      </c>
      <c r="I57" t="s">
        <v>33</v>
      </c>
      <c r="J57" s="10">
        <f>SUMIF($I$6:$I$51,"22STOW",$J$6:$J$51)</f>
        <v>246</v>
      </c>
      <c r="L57" s="10">
        <f>SUMIF($I$6:$I$51,"22STOW",$L$6:$L$51)</f>
        <v>192</v>
      </c>
      <c r="O57" s="10">
        <f>SUMIF($I$6:$I$51,"22STOW",$O$6:$O$51)</f>
        <v>192</v>
      </c>
      <c r="R57" s="10">
        <f>SUMIF($I$6:$I$51,"22STOW",$R$6:$R$51)</f>
        <v>145</v>
      </c>
    </row>
    <row r="58" spans="1:21" x14ac:dyDescent="0.2">
      <c r="A58">
        <v>63281</v>
      </c>
      <c r="B58" s="1">
        <v>53</v>
      </c>
      <c r="C58" t="s">
        <v>54</v>
      </c>
      <c r="H58" s="1" t="s">
        <v>48</v>
      </c>
      <c r="I58" t="s">
        <v>33</v>
      </c>
      <c r="J58" s="10">
        <f>SUMIF($I$6:$I$51,"23nSTOW",$J$6:$J$51)</f>
        <v>4495</v>
      </c>
      <c r="L58" s="10">
        <f>SUMIF($I$6:$I$51,"23nSTOW",$L$6:$L$51)</f>
        <v>4254</v>
      </c>
      <c r="O58" s="10">
        <f>SUMIF($I$6:$I$51,"23nSTOW",$O$6:$O$51)</f>
        <v>4254</v>
      </c>
      <c r="R58" s="10">
        <f>SUMIF($I$6:$I$51,"23nSTOW",$R$6:$R$51)</f>
        <v>5687</v>
      </c>
    </row>
    <row r="59" spans="1:21" x14ac:dyDescent="0.2">
      <c r="A59">
        <v>63281</v>
      </c>
      <c r="B59" s="1">
        <v>54</v>
      </c>
      <c r="C59" t="s">
        <v>54</v>
      </c>
      <c r="H59" s="1">
        <v>23</v>
      </c>
      <c r="I59" t="s">
        <v>33</v>
      </c>
      <c r="J59" s="10">
        <f>SUMIF($I$6:$I$51,"23STOW",$J$6:$J$51)</f>
        <v>16424</v>
      </c>
      <c r="L59" s="10">
        <f>SUMIF($I$6:$I$51,"23STOW",$L$6:$L$51)</f>
        <v>16878</v>
      </c>
      <c r="O59" s="10">
        <f>SUMIF($I$6:$I$51,"23STOW",$O$6:$O$51)</f>
        <v>16878</v>
      </c>
      <c r="R59" s="10">
        <f>SUMIF($I$6:$I$51,"23STOW",$R$6:$R$51)</f>
        <v>14238</v>
      </c>
    </row>
    <row r="60" spans="1:21" x14ac:dyDescent="0.2">
      <c r="A60">
        <v>63281</v>
      </c>
      <c r="B60" s="1">
        <v>55</v>
      </c>
      <c r="C60" t="s">
        <v>54</v>
      </c>
      <c r="H60" s="1">
        <v>24</v>
      </c>
      <c r="I60" t="s">
        <v>33</v>
      </c>
      <c r="J60" s="10">
        <f>SUMIF($I$6:$I$51,"24STOW",$J$6:$J$51)</f>
        <v>651</v>
      </c>
      <c r="L60" s="10">
        <f>SUMIF($I$6:$I$51,"24STOW",$L$6:$L$51)</f>
        <v>667</v>
      </c>
      <c r="O60" s="10">
        <f>SUMIF($I$6:$I$51,"24STOW",$O$6:$O$51)</f>
        <v>667</v>
      </c>
      <c r="R60" s="10">
        <f>SUMIF($I$6:$I$51,"24STOW",$R$6:$R$51)</f>
        <v>425</v>
      </c>
    </row>
    <row r="62" spans="1:21" x14ac:dyDescent="0.2">
      <c r="A62">
        <v>63281</v>
      </c>
      <c r="B62" s="1">
        <v>52</v>
      </c>
      <c r="D62" s="55" t="s">
        <v>80</v>
      </c>
      <c r="E62" s="56">
        <v>20070</v>
      </c>
      <c r="F62" s="50"/>
      <c r="G62" s="10">
        <f>+J62/0.97816</f>
        <v>22303.099697391019</v>
      </c>
      <c r="I62" t="s">
        <v>33</v>
      </c>
      <c r="J62" s="10">
        <f>SUM(J57:J60)</f>
        <v>21816</v>
      </c>
      <c r="K62" s="10">
        <f>+L62/0.97816</f>
        <v>22482.007033614133</v>
      </c>
      <c r="L62" s="10">
        <f>SUM(L57:L60)</f>
        <v>21991</v>
      </c>
      <c r="N62" s="10">
        <f>+O62/0.97816</f>
        <v>22482.007033614133</v>
      </c>
      <c r="O62" s="10">
        <f>SUM(O57:O60)</f>
        <v>21991</v>
      </c>
      <c r="Q62" s="10">
        <f>+R62/0.97816</f>
        <v>20952.604890815408</v>
      </c>
      <c r="R62" s="10">
        <f>SUM(R57:R60)</f>
        <v>20495</v>
      </c>
    </row>
    <row r="64" spans="1:21" x14ac:dyDescent="0.2">
      <c r="H64" s="1"/>
      <c r="I64">
        <v>63281</v>
      </c>
      <c r="J64" s="1" t="s">
        <v>72</v>
      </c>
      <c r="L64" s="42">
        <f>SUMIF($A$6:$A$51,63281,$L$6:$L$51)</f>
        <v>0</v>
      </c>
      <c r="O64" s="42">
        <f>SUMIF($A$6:$A$51,63281,$O$6:$O$51)</f>
        <v>0</v>
      </c>
      <c r="R64" s="42">
        <f>SUMIF($A$6:$A$51,63281,$R$6:$R$51)</f>
        <v>0</v>
      </c>
    </row>
    <row r="67" spans="4:18" x14ac:dyDescent="0.2">
      <c r="D67" t="s">
        <v>85</v>
      </c>
      <c r="F67">
        <v>67693</v>
      </c>
      <c r="G67" s="1" t="s">
        <v>84</v>
      </c>
      <c r="L67" s="10">
        <f>SUMIF($A$6:$A$53,"67693",$L$6:$L$53)</f>
        <v>43990</v>
      </c>
      <c r="O67" s="10">
        <f>SUMIF($A$6:$A$53,"67693",$O$6:$O$53)</f>
        <v>43990</v>
      </c>
      <c r="R67" s="10">
        <f>SUMIF($A$6:$A$53,"67693",$R$6:$R$53)</f>
        <v>42494</v>
      </c>
    </row>
    <row r="68" spans="4:18" x14ac:dyDescent="0.2">
      <c r="F68">
        <v>38021</v>
      </c>
      <c r="G68" s="1" t="s">
        <v>84</v>
      </c>
      <c r="L68" s="10">
        <f>SUMIF($A$6:$A$53,"38021",$L$6:$L$53)</f>
        <v>0</v>
      </c>
      <c r="O68" s="10">
        <f>SUMIF($A$6:$A$53,"38021",$O$6:$O$53)</f>
        <v>0</v>
      </c>
      <c r="R68" s="10">
        <f>SUMIF($A$6:$A$53,"38021",$R$6:$R$53)</f>
        <v>0</v>
      </c>
    </row>
    <row r="69" spans="4:18" x14ac:dyDescent="0.2">
      <c r="F69" s="58">
        <v>40998</v>
      </c>
      <c r="G69" t="s">
        <v>84</v>
      </c>
      <c r="L69" s="10">
        <f>SUMIF($A$6:$A$53,"40998",$L$6:$L$53)</f>
        <v>0</v>
      </c>
      <c r="O69" s="10">
        <f>SUMIF($A$6:$A$53,"40998",$O$6:$O$53)</f>
        <v>0</v>
      </c>
      <c r="R69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U70"/>
  <sheetViews>
    <sheetView topLeftCell="C46" workbookViewId="0">
      <selection activeCell="Q5" sqref="Q5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0.5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0.5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0.5</v>
      </c>
      <c r="I6" s="1">
        <v>36907</v>
      </c>
      <c r="J6" s="10">
        <f>ROUND(+G6*H6,0)</f>
        <v>246</v>
      </c>
      <c r="K6" s="22">
        <v>338</v>
      </c>
      <c r="L6" s="14">
        <v>104</v>
      </c>
      <c r="M6" s="14"/>
      <c r="N6" s="25">
        <f>ROUND(+K6,0)</f>
        <v>338</v>
      </c>
      <c r="O6" s="14">
        <f>ROUND(+L6,0)</f>
        <v>104</v>
      </c>
      <c r="P6" s="14"/>
      <c r="Q6" s="24">
        <v>104</v>
      </c>
      <c r="R6" s="14">
        <f>+O6</f>
        <v>104</v>
      </c>
    </row>
    <row r="7" spans="1:20" ht="13.5" thickBot="1" x14ac:dyDescent="0.25">
      <c r="A7">
        <v>67693</v>
      </c>
      <c r="B7" s="1">
        <v>15</v>
      </c>
      <c r="H7" s="8">
        <f>+$B$2</f>
        <v>0.5</v>
      </c>
      <c r="I7" s="1" t="s">
        <v>49</v>
      </c>
      <c r="J7" s="16">
        <f>ROUND(+G6*H7,0)</f>
        <v>246</v>
      </c>
      <c r="K7" s="16"/>
      <c r="L7" s="16">
        <v>234</v>
      </c>
      <c r="M7" s="16"/>
      <c r="N7" s="16"/>
      <c r="O7" s="18">
        <f>ROUND(+L7,0)</f>
        <v>234</v>
      </c>
      <c r="P7" s="14"/>
      <c r="R7" s="23">
        <f>ROUND(+Q6-N6+O7,0)</f>
        <v>0</v>
      </c>
      <c r="S7" s="10">
        <f>+R7-O7</f>
        <v>-234</v>
      </c>
      <c r="T7" t="s">
        <v>47</v>
      </c>
    </row>
    <row r="8" spans="1:20" x14ac:dyDescent="0.2">
      <c r="J8" s="10">
        <f>SUM(J6:J7)</f>
        <v>492</v>
      </c>
      <c r="L8" s="10">
        <f>SUM(L6:L7)</f>
        <v>338</v>
      </c>
      <c r="O8" s="10">
        <f>ROUND(+L8,0)</f>
        <v>338</v>
      </c>
      <c r="R8" s="10">
        <f>SUM(R6:R7)</f>
        <v>104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0.5</v>
      </c>
      <c r="I10" s="1">
        <v>36907</v>
      </c>
      <c r="J10" s="10">
        <f>ROUND(+G10*H10,0)</f>
        <v>3204</v>
      </c>
      <c r="K10" s="22">
        <v>5728</v>
      </c>
      <c r="L10" s="14">
        <f>ROUND(+K10*H10,0)</f>
        <v>2864</v>
      </c>
      <c r="M10" s="14"/>
      <c r="N10" s="25">
        <f>ROUND(+K10,0)</f>
        <v>5728</v>
      </c>
      <c r="O10" s="14">
        <f>ROUND(+L10,0)</f>
        <v>2864</v>
      </c>
      <c r="P10" s="14"/>
      <c r="Q10" s="24">
        <v>8110</v>
      </c>
      <c r="R10" s="14">
        <f>ROUND(+O10,0)</f>
        <v>2864</v>
      </c>
    </row>
    <row r="11" spans="1:20" ht="13.5" thickBot="1" x14ac:dyDescent="0.25">
      <c r="A11">
        <v>67693</v>
      </c>
      <c r="B11" s="1">
        <v>25</v>
      </c>
      <c r="H11" s="8">
        <f>+$B$2</f>
        <v>0.5</v>
      </c>
      <c r="I11" s="1" t="s">
        <v>50</v>
      </c>
      <c r="J11" s="16">
        <f>ROUND(+G10*H11,0)</f>
        <v>3204</v>
      </c>
      <c r="K11" s="19"/>
      <c r="L11" s="16">
        <f>ROUND(+K10*H11,0)</f>
        <v>2864</v>
      </c>
      <c r="M11" s="16"/>
      <c r="N11" s="16"/>
      <c r="O11" s="18">
        <f>ROUND(+L11,0)</f>
        <v>2864</v>
      </c>
      <c r="P11" s="16"/>
      <c r="Q11" s="19"/>
      <c r="R11" s="23">
        <f>ROUND(+Q10-N10+O11,0)</f>
        <v>5246</v>
      </c>
      <c r="S11" s="10">
        <f>+R11-O11</f>
        <v>2382</v>
      </c>
      <c r="T11" t="s">
        <v>47</v>
      </c>
    </row>
    <row r="12" spans="1:20" x14ac:dyDescent="0.2">
      <c r="J12" s="10">
        <f>SUM(J10:J11)</f>
        <v>6408</v>
      </c>
      <c r="K12" s="13"/>
      <c r="L12" s="10">
        <f>SUM(L10:L11)</f>
        <v>5728</v>
      </c>
      <c r="M12" s="14"/>
      <c r="O12" s="10">
        <f>ROUND(+L12,0)</f>
        <v>5728</v>
      </c>
      <c r="P12" s="14"/>
      <c r="Q12" s="13"/>
      <c r="R12" s="10">
        <f>SUM(R10:R11)</f>
        <v>8110</v>
      </c>
      <c r="S12" s="10">
        <f>+R12-Q10</f>
        <v>0</v>
      </c>
      <c r="T12" t="s">
        <v>46</v>
      </c>
    </row>
    <row r="14" spans="1:20" x14ac:dyDescent="0.2">
      <c r="A14">
        <v>67693</v>
      </c>
      <c r="B14" s="1">
        <v>11</v>
      </c>
      <c r="C14" t="s">
        <v>10</v>
      </c>
      <c r="D14" t="s">
        <v>36</v>
      </c>
      <c r="E14" s="1" t="s">
        <v>21</v>
      </c>
      <c r="F14" s="48">
        <v>2977</v>
      </c>
      <c r="G14">
        <v>2582</v>
      </c>
      <c r="H14" s="8">
        <f>+$B$1</f>
        <v>0.5</v>
      </c>
      <c r="I14" s="1">
        <v>36907</v>
      </c>
      <c r="J14" s="10">
        <f>ROUND(+G14*H14,0)</f>
        <v>1291</v>
      </c>
      <c r="K14" s="22">
        <v>2441</v>
      </c>
      <c r="L14" s="14">
        <v>1220</v>
      </c>
      <c r="M14" s="14"/>
      <c r="N14" s="25">
        <f>ROUND(+K14,0)</f>
        <v>2441</v>
      </c>
      <c r="O14" s="14">
        <f>ROUND(+L14,0)</f>
        <v>1220</v>
      </c>
      <c r="P14" s="14"/>
      <c r="Q14" s="24">
        <v>3403</v>
      </c>
      <c r="R14" s="14">
        <f>ROUND(+O14,0)</f>
        <v>1220</v>
      </c>
    </row>
    <row r="15" spans="1:20" ht="13.5" thickBot="1" x14ac:dyDescent="0.25">
      <c r="A15">
        <v>67693</v>
      </c>
      <c r="B15" s="1">
        <v>26</v>
      </c>
      <c r="H15" s="8">
        <f>+$B$2</f>
        <v>0.5</v>
      </c>
      <c r="I15" s="1" t="s">
        <v>50</v>
      </c>
      <c r="J15" s="16">
        <f>ROUND(+G14*H15,0)</f>
        <v>1291</v>
      </c>
      <c r="K15" s="19"/>
      <c r="L15" s="16">
        <f>ROUND(+K14*H15,0)</f>
        <v>1221</v>
      </c>
      <c r="M15" s="16"/>
      <c r="N15" s="16"/>
      <c r="O15" s="18">
        <f>ROUND(+L15,0)</f>
        <v>1221</v>
      </c>
      <c r="P15" s="16"/>
      <c r="Q15" s="19"/>
      <c r="R15" s="23">
        <f>ROUND(+Q14-N14+O15,0)</f>
        <v>2183</v>
      </c>
      <c r="S15" s="10">
        <f>+R15-O15</f>
        <v>962</v>
      </c>
      <c r="T15" t="s">
        <v>47</v>
      </c>
    </row>
    <row r="16" spans="1:20" x14ac:dyDescent="0.2">
      <c r="J16" s="10">
        <f>SUM(J14:J15)</f>
        <v>2582</v>
      </c>
      <c r="K16" s="13"/>
      <c r="L16" s="10">
        <f>SUM(L14:L15)</f>
        <v>2441</v>
      </c>
      <c r="O16" s="10">
        <f>ROUND(+L16,0)</f>
        <v>2441</v>
      </c>
      <c r="Q16" s="13"/>
      <c r="R16" s="10">
        <f>SUM(R14:R15)</f>
        <v>3403</v>
      </c>
      <c r="S16" s="10">
        <f>+R16-Q14</f>
        <v>0</v>
      </c>
      <c r="T16" t="s">
        <v>46</v>
      </c>
    </row>
    <row r="18" spans="1:20" x14ac:dyDescent="0.2">
      <c r="A18">
        <v>67693</v>
      </c>
      <c r="B18" s="1">
        <v>3</v>
      </c>
      <c r="C18" t="s">
        <v>11</v>
      </c>
      <c r="D18" t="s">
        <v>37</v>
      </c>
      <c r="E18" s="1" t="s">
        <v>22</v>
      </c>
      <c r="F18" s="48">
        <v>15138</v>
      </c>
      <c r="G18" s="6">
        <v>11909</v>
      </c>
      <c r="H18" s="8">
        <f>+$B$1</f>
        <v>0.5</v>
      </c>
      <c r="I18" s="1">
        <v>36907</v>
      </c>
      <c r="J18" s="10">
        <f>ROUND(+G18*H18,0)</f>
        <v>5955</v>
      </c>
      <c r="K18" s="22">
        <v>14500</v>
      </c>
      <c r="L18" s="59">
        <v>2449</v>
      </c>
      <c r="M18" s="14"/>
      <c r="N18" s="25">
        <f>ROUND(+K18,0)</f>
        <v>14500</v>
      </c>
      <c r="O18" s="14">
        <f>ROUND(+L18,0)</f>
        <v>2449</v>
      </c>
      <c r="P18" s="14"/>
      <c r="Q18" s="24">
        <v>17244</v>
      </c>
      <c r="R18" s="14">
        <f>ROUND(+O18,0)</f>
        <v>2449</v>
      </c>
    </row>
    <row r="19" spans="1:20" x14ac:dyDescent="0.2">
      <c r="A19">
        <v>67693</v>
      </c>
      <c r="B19" s="1">
        <v>33</v>
      </c>
      <c r="C19" s="55" t="s">
        <v>87</v>
      </c>
      <c r="G19" s="6"/>
      <c r="K19" s="22"/>
      <c r="L19" s="59">
        <v>4801</v>
      </c>
      <c r="M19" s="14"/>
      <c r="N19" s="25"/>
      <c r="O19" s="59">
        <v>4801</v>
      </c>
      <c r="P19" s="14"/>
      <c r="Q19" s="24"/>
      <c r="R19" s="59">
        <v>4801</v>
      </c>
    </row>
    <row r="20" spans="1:20" ht="13.5" thickBot="1" x14ac:dyDescent="0.25">
      <c r="A20">
        <v>67693</v>
      </c>
      <c r="B20" s="1">
        <v>16</v>
      </c>
      <c r="H20" s="8">
        <f>+$B$2</f>
        <v>0.5</v>
      </c>
      <c r="I20" s="1" t="s">
        <v>51</v>
      </c>
      <c r="J20" s="16">
        <f>ROUND(+G18*H20,0)</f>
        <v>5955</v>
      </c>
      <c r="K20" s="19"/>
      <c r="L20" s="16">
        <f>ROUND(+K18*H20,0)</f>
        <v>7250</v>
      </c>
      <c r="M20" s="16"/>
      <c r="N20" s="16"/>
      <c r="O20" s="18">
        <f>ROUND(+L20,0)</f>
        <v>7250</v>
      </c>
      <c r="P20" s="16"/>
      <c r="Q20" s="19"/>
      <c r="R20" s="23">
        <f>ROUND(+Q18-N18+O20,0)</f>
        <v>9994</v>
      </c>
      <c r="S20" s="10">
        <f>+R20-O20</f>
        <v>2744</v>
      </c>
      <c r="T20" t="s">
        <v>47</v>
      </c>
    </row>
    <row r="21" spans="1:20" x14ac:dyDescent="0.2">
      <c r="J21" s="14">
        <f>SUM(J18:J20)</f>
        <v>11910</v>
      </c>
      <c r="K21" s="13"/>
      <c r="L21" s="10">
        <f>SUM(L18:L20)</f>
        <v>14500</v>
      </c>
      <c r="M21" s="14"/>
      <c r="O21" s="10">
        <f>ROUND(+L21,0)</f>
        <v>14500</v>
      </c>
      <c r="P21" s="14"/>
      <c r="Q21" s="13"/>
      <c r="R21" s="10">
        <f>SUM(R18:R20)</f>
        <v>17244</v>
      </c>
      <c r="S21" s="10">
        <f>+R21-Q18</f>
        <v>0</v>
      </c>
      <c r="T21" t="s">
        <v>46</v>
      </c>
    </row>
    <row r="23" spans="1:20" x14ac:dyDescent="0.2">
      <c r="A23">
        <v>67693</v>
      </c>
      <c r="B23" s="1">
        <v>4</v>
      </c>
      <c r="C23" t="s">
        <v>12</v>
      </c>
      <c r="D23" t="s">
        <v>38</v>
      </c>
      <c r="E23" s="1" t="s">
        <v>23</v>
      </c>
      <c r="F23" s="48">
        <v>2273</v>
      </c>
      <c r="G23">
        <v>1789</v>
      </c>
      <c r="H23" s="8">
        <f>+$B$1</f>
        <v>0.5</v>
      </c>
      <c r="I23" s="1">
        <v>36907</v>
      </c>
      <c r="J23" s="10">
        <f>ROUND(+G23*H23,0)</f>
        <v>895</v>
      </c>
      <c r="K23" s="22">
        <v>2086</v>
      </c>
      <c r="L23" s="14">
        <f>ROUND(+K23*H23,0)</f>
        <v>1043</v>
      </c>
      <c r="M23" s="14"/>
      <c r="N23" s="25">
        <f>ROUND(+K23,0)</f>
        <v>2086</v>
      </c>
      <c r="O23" s="14">
        <f>ROUND(+L23,0)</f>
        <v>1043</v>
      </c>
      <c r="P23" s="14"/>
      <c r="Q23" s="24">
        <v>2190</v>
      </c>
      <c r="R23" s="14">
        <f>ROUND(+O23,0)</f>
        <v>1043</v>
      </c>
    </row>
    <row r="24" spans="1:20" ht="13.5" thickBot="1" x14ac:dyDescent="0.25">
      <c r="A24">
        <v>67693</v>
      </c>
      <c r="B24" s="1">
        <v>17</v>
      </c>
      <c r="H24" s="8">
        <f>+$B$2</f>
        <v>0.5</v>
      </c>
      <c r="I24" s="1" t="s">
        <v>51</v>
      </c>
      <c r="J24" s="16">
        <f>ROUND(+G23*H24,0)</f>
        <v>895</v>
      </c>
      <c r="K24" s="19"/>
      <c r="L24" s="18">
        <f>ROUND(+K23*H24,0)</f>
        <v>1043</v>
      </c>
      <c r="M24" s="18"/>
      <c r="N24" s="16"/>
      <c r="O24" s="18">
        <f>ROUND(+L24,0)</f>
        <v>1043</v>
      </c>
      <c r="P24" s="18"/>
      <c r="Q24" s="19"/>
      <c r="R24" s="23">
        <f>ROUND(+Q23-N23+O24,0)</f>
        <v>1147</v>
      </c>
      <c r="S24" s="10">
        <f>+R24-O24</f>
        <v>104</v>
      </c>
      <c r="T24" t="s">
        <v>47</v>
      </c>
    </row>
    <row r="25" spans="1:20" x14ac:dyDescent="0.2">
      <c r="J25" s="10">
        <f>SUM(J23:J24)</f>
        <v>1790</v>
      </c>
      <c r="K25" s="13"/>
      <c r="L25" s="10">
        <f>SUM(L23:L24)</f>
        <v>2086</v>
      </c>
      <c r="O25" s="10">
        <f>ROUND(+L25,0)</f>
        <v>2086</v>
      </c>
      <c r="Q25" s="13"/>
      <c r="R25" s="10">
        <f>SUM(R23:R24)</f>
        <v>2190</v>
      </c>
      <c r="S25" s="10">
        <f>+R25-Q23</f>
        <v>0</v>
      </c>
      <c r="T25" t="s">
        <v>46</v>
      </c>
    </row>
    <row r="27" spans="1:20" x14ac:dyDescent="0.2">
      <c r="A27">
        <v>67693</v>
      </c>
      <c r="B27" s="1">
        <v>5</v>
      </c>
      <c r="C27" t="s">
        <v>13</v>
      </c>
      <c r="D27" t="s">
        <v>39</v>
      </c>
      <c r="E27" s="1" t="s">
        <v>24</v>
      </c>
      <c r="F27" s="48">
        <v>1763</v>
      </c>
      <c r="G27">
        <v>1425</v>
      </c>
      <c r="H27" s="8">
        <f>+$B$1</f>
        <v>0.5</v>
      </c>
      <c r="I27" s="1">
        <v>36907</v>
      </c>
      <c r="J27" s="10">
        <f>ROUND(+G27*H27,0)</f>
        <v>713</v>
      </c>
      <c r="K27" s="22">
        <v>1248</v>
      </c>
      <c r="L27" s="14">
        <f>ROUND(+K27*H27,0)</f>
        <v>624</v>
      </c>
      <c r="M27" s="14"/>
      <c r="N27" s="25">
        <f>ROUND(+K27,0)</f>
        <v>1248</v>
      </c>
      <c r="O27" s="14">
        <f>ROUND(+L27,0)</f>
        <v>624</v>
      </c>
      <c r="P27" s="14"/>
      <c r="Q27" s="24">
        <v>1893</v>
      </c>
      <c r="R27" s="14">
        <f>ROUND(+O27,0)</f>
        <v>624</v>
      </c>
    </row>
    <row r="28" spans="1:20" ht="13.5" thickBot="1" x14ac:dyDescent="0.25">
      <c r="A28">
        <v>67693</v>
      </c>
      <c r="B28" s="1">
        <v>18</v>
      </c>
      <c r="H28" s="8">
        <f>+$B$2</f>
        <v>0.5</v>
      </c>
      <c r="I28" s="1" t="s">
        <v>51</v>
      </c>
      <c r="J28" s="16">
        <f>ROUND(+G27*H28,0)</f>
        <v>713</v>
      </c>
      <c r="K28" s="19"/>
      <c r="L28" s="16">
        <f>ROUND(+K27*H28,0)</f>
        <v>624</v>
      </c>
      <c r="M28" s="16"/>
      <c r="N28" s="16"/>
      <c r="O28" s="18">
        <f>ROUND(+L28,0)</f>
        <v>624</v>
      </c>
      <c r="P28" s="16"/>
      <c r="Q28" s="19"/>
      <c r="R28" s="23">
        <f>ROUND(+Q27-N27+O28,0)</f>
        <v>1269</v>
      </c>
      <c r="S28" s="10">
        <f>+R28-O28</f>
        <v>645</v>
      </c>
      <c r="T28" t="s">
        <v>47</v>
      </c>
    </row>
    <row r="29" spans="1:20" x14ac:dyDescent="0.2">
      <c r="J29" s="10">
        <f>SUM(J27:J28)</f>
        <v>1426</v>
      </c>
      <c r="K29" s="13"/>
      <c r="L29" s="10">
        <f>SUM(L27:L28)</f>
        <v>1248</v>
      </c>
      <c r="O29" s="10">
        <f>ROUND(+L29,0)</f>
        <v>1248</v>
      </c>
      <c r="Q29" s="13"/>
      <c r="R29" s="10">
        <f>SUM(R27:R28)</f>
        <v>1893</v>
      </c>
      <c r="S29" s="10">
        <f>+R29-Q27</f>
        <v>0</v>
      </c>
      <c r="T29" t="s">
        <v>46</v>
      </c>
    </row>
    <row r="31" spans="1:20" x14ac:dyDescent="0.2">
      <c r="A31">
        <v>67693</v>
      </c>
      <c r="B31" s="1">
        <v>6</v>
      </c>
      <c r="C31" t="s">
        <v>14</v>
      </c>
      <c r="D31" t="s">
        <v>40</v>
      </c>
      <c r="E31" s="1" t="s">
        <v>25</v>
      </c>
      <c r="F31" s="48">
        <v>14119</v>
      </c>
      <c r="G31" s="6">
        <v>11359</v>
      </c>
      <c r="H31" s="8">
        <f>+$B$1</f>
        <v>0.5</v>
      </c>
      <c r="I31" s="1">
        <v>36907</v>
      </c>
      <c r="J31" s="10">
        <f>ROUND(+G31*H31,0)</f>
        <v>5680</v>
      </c>
      <c r="K31" s="22">
        <v>10541</v>
      </c>
      <c r="L31" s="14">
        <v>5270</v>
      </c>
      <c r="M31" s="14"/>
      <c r="N31" s="25">
        <f>ROUND(+K31,0)</f>
        <v>10541</v>
      </c>
      <c r="O31" s="14">
        <f>ROUND(+L31,0)</f>
        <v>5270</v>
      </c>
      <c r="P31" s="14"/>
      <c r="Q31" s="24">
        <v>11881</v>
      </c>
      <c r="R31" s="14">
        <f>ROUND(+O31,0)</f>
        <v>5270</v>
      </c>
    </row>
    <row r="32" spans="1:20" ht="13.5" thickBot="1" x14ac:dyDescent="0.25">
      <c r="A32">
        <v>67693</v>
      </c>
      <c r="B32" s="1">
        <v>19</v>
      </c>
      <c r="H32" s="8">
        <f>+$B$2</f>
        <v>0.5</v>
      </c>
      <c r="I32" s="1" t="s">
        <v>51</v>
      </c>
      <c r="J32" s="16">
        <f>ROUND(+G31*H32,0)</f>
        <v>5680</v>
      </c>
      <c r="K32" s="19"/>
      <c r="L32" s="16">
        <f>ROUND(+K31*H32,0)</f>
        <v>5271</v>
      </c>
      <c r="M32" s="16"/>
      <c r="N32" s="16"/>
      <c r="O32" s="18">
        <f>ROUND(+L32,0)</f>
        <v>5271</v>
      </c>
      <c r="P32" s="16"/>
      <c r="Q32" s="19"/>
      <c r="R32" s="23">
        <f>ROUND(+Q31-N31+O32,0)</f>
        <v>6611</v>
      </c>
      <c r="S32" s="10">
        <f>+R32-O32</f>
        <v>1340</v>
      </c>
      <c r="T32" t="s">
        <v>47</v>
      </c>
    </row>
    <row r="33" spans="1:20" x14ac:dyDescent="0.2">
      <c r="J33" s="10">
        <f>SUM(J31:J32)</f>
        <v>11360</v>
      </c>
      <c r="K33" s="13"/>
      <c r="L33" s="10">
        <f>SUM(L31:L32)</f>
        <v>10541</v>
      </c>
      <c r="O33" s="10">
        <f>ROUND(+L33,0)</f>
        <v>10541</v>
      </c>
      <c r="Q33" s="13"/>
      <c r="R33" s="10">
        <f>SUM(R31:R32)</f>
        <v>11881</v>
      </c>
      <c r="S33" s="10">
        <f>+R33-Q31</f>
        <v>0</v>
      </c>
      <c r="T33" t="s">
        <v>46</v>
      </c>
    </row>
    <row r="35" spans="1:20" ht="12" customHeight="1" x14ac:dyDescent="0.2">
      <c r="A35">
        <v>67693</v>
      </c>
      <c r="B35" s="1">
        <v>7</v>
      </c>
      <c r="C35" t="s">
        <v>15</v>
      </c>
      <c r="D35" t="s">
        <v>41</v>
      </c>
      <c r="E35" s="1" t="s">
        <v>26</v>
      </c>
      <c r="F35" s="48">
        <v>2405</v>
      </c>
      <c r="G35">
        <v>1891</v>
      </c>
      <c r="H35" s="8">
        <f>+$B$1</f>
        <v>0.5</v>
      </c>
      <c r="I35" s="1">
        <v>36907</v>
      </c>
      <c r="J35" s="10">
        <f>ROUND(+G35*H35,0)</f>
        <v>946</v>
      </c>
      <c r="K35" s="22">
        <v>1874</v>
      </c>
      <c r="L35" s="14">
        <f>ROUND(+K35*H35,0)</f>
        <v>937</v>
      </c>
      <c r="M35" s="14"/>
      <c r="N35" s="25">
        <f>ROUND(+K35,0)</f>
        <v>1874</v>
      </c>
      <c r="O35" s="14">
        <f>ROUND(+L35,0)</f>
        <v>937</v>
      </c>
      <c r="P35" s="14"/>
      <c r="Q35" s="24">
        <v>1874</v>
      </c>
      <c r="R35" s="14">
        <f>ROUND(+O35,0)</f>
        <v>937</v>
      </c>
    </row>
    <row r="36" spans="1:20" ht="12" customHeight="1" thickBot="1" x14ac:dyDescent="0.25">
      <c r="A36">
        <v>67693</v>
      </c>
      <c r="B36" s="1">
        <v>20</v>
      </c>
      <c r="H36" s="8">
        <f>+$B$2</f>
        <v>0.5</v>
      </c>
      <c r="I36" s="1" t="s">
        <v>51</v>
      </c>
      <c r="J36" s="16">
        <f>ROUND(+G35*H36,0)</f>
        <v>946</v>
      </c>
      <c r="K36" s="19"/>
      <c r="L36" s="16">
        <f>ROUND(+K35*H36,0)</f>
        <v>937</v>
      </c>
      <c r="M36" s="16"/>
      <c r="N36" s="16"/>
      <c r="O36" s="18">
        <f>ROUND(+L36,0)</f>
        <v>937</v>
      </c>
      <c r="P36" s="16"/>
      <c r="Q36" s="19"/>
      <c r="R36" s="23">
        <f>ROUND(+Q35-N35+O36,0)</f>
        <v>937</v>
      </c>
      <c r="S36" s="10">
        <f>+R36-O36</f>
        <v>0</v>
      </c>
      <c r="T36" t="s">
        <v>47</v>
      </c>
    </row>
    <row r="37" spans="1:20" ht="12" customHeight="1" x14ac:dyDescent="0.2">
      <c r="J37" s="10">
        <f>SUM(J35:J36)</f>
        <v>1892</v>
      </c>
      <c r="K37" s="13"/>
      <c r="L37" s="10">
        <f>SUM(L35:L36)</f>
        <v>1874</v>
      </c>
      <c r="O37" s="10">
        <f>ROUND(+L37,0)</f>
        <v>1874</v>
      </c>
      <c r="Q37" s="13"/>
      <c r="R37" s="10">
        <f>SUM(R35:R36)</f>
        <v>1874</v>
      </c>
      <c r="S37" s="10">
        <f>+R37-Q35</f>
        <v>0</v>
      </c>
      <c r="T37" t="s">
        <v>46</v>
      </c>
    </row>
    <row r="38" spans="1:20" ht="12" customHeight="1" x14ac:dyDescent="0.2"/>
    <row r="39" spans="1:20" x14ac:dyDescent="0.2">
      <c r="A39">
        <v>67693</v>
      </c>
      <c r="B39" s="1">
        <v>8</v>
      </c>
      <c r="C39" t="s">
        <v>16</v>
      </c>
      <c r="D39" t="s">
        <v>42</v>
      </c>
      <c r="E39" s="1" t="s">
        <v>27</v>
      </c>
      <c r="F39" s="48">
        <v>2573</v>
      </c>
      <c r="G39">
        <v>2000</v>
      </c>
      <c r="H39" s="8">
        <f>+$B$1</f>
        <v>0.5</v>
      </c>
      <c r="I39" s="1">
        <v>36907</v>
      </c>
      <c r="J39" s="10">
        <f>ROUND(+G39*H39,0)</f>
        <v>1000</v>
      </c>
      <c r="K39" s="22">
        <v>1587</v>
      </c>
      <c r="L39" s="14">
        <v>793</v>
      </c>
      <c r="M39" s="14"/>
      <c r="N39" s="25">
        <f>ROUND(+K39,0)</f>
        <v>1587</v>
      </c>
      <c r="O39" s="14">
        <f>ROUND(+L39,0)</f>
        <v>793</v>
      </c>
      <c r="P39" s="14"/>
      <c r="Q39" s="24">
        <v>1587</v>
      </c>
      <c r="R39" s="14">
        <f>ROUND(+O39,0)</f>
        <v>793</v>
      </c>
    </row>
    <row r="40" spans="1:20" ht="13.5" thickBot="1" x14ac:dyDescent="0.25">
      <c r="A40">
        <v>67693</v>
      </c>
      <c r="B40" s="1">
        <v>21</v>
      </c>
      <c r="H40" s="8">
        <f>+$B$2</f>
        <v>0.5</v>
      </c>
      <c r="I40" s="1" t="s">
        <v>51</v>
      </c>
      <c r="J40" s="16">
        <f>ROUND(+G39*H40,0)</f>
        <v>1000</v>
      </c>
      <c r="K40" s="19"/>
      <c r="L40" s="16">
        <f>ROUND(+K39*H40,0)</f>
        <v>794</v>
      </c>
      <c r="M40" s="16"/>
      <c r="N40" s="16"/>
      <c r="O40" s="18">
        <f>ROUND(+L40,0)</f>
        <v>794</v>
      </c>
      <c r="P40" s="16"/>
      <c r="Q40" s="19"/>
      <c r="R40" s="23">
        <f>ROUND(+Q39-N39+O40,0)</f>
        <v>794</v>
      </c>
      <c r="S40" s="10">
        <f>+R40-O40</f>
        <v>0</v>
      </c>
      <c r="T40" t="s">
        <v>47</v>
      </c>
    </row>
    <row r="41" spans="1:20" x14ac:dyDescent="0.2">
      <c r="J41" s="10">
        <f>SUM(J39:J40)</f>
        <v>2000</v>
      </c>
      <c r="L41" s="10">
        <f>SUM(L39:L40)</f>
        <v>1587</v>
      </c>
      <c r="O41" s="10">
        <f>ROUND(+L41,0)</f>
        <v>1587</v>
      </c>
      <c r="R41" s="10">
        <f>SUM(R39:R40)</f>
        <v>1587</v>
      </c>
      <c r="S41" s="10">
        <f>+R41-Q39</f>
        <v>0</v>
      </c>
      <c r="T41" t="s">
        <v>46</v>
      </c>
    </row>
    <row r="43" spans="1:20" x14ac:dyDescent="0.2">
      <c r="A43">
        <v>67693</v>
      </c>
      <c r="B43" s="1">
        <v>9</v>
      </c>
      <c r="C43" t="s">
        <v>17</v>
      </c>
      <c r="D43" t="s">
        <v>43</v>
      </c>
      <c r="E43" s="1" t="s">
        <v>28</v>
      </c>
      <c r="F43" s="48">
        <v>3128</v>
      </c>
      <c r="G43">
        <v>2470</v>
      </c>
      <c r="H43" s="8">
        <f>+$B$1</f>
        <v>0.5</v>
      </c>
      <c r="I43" s="1">
        <v>36907</v>
      </c>
      <c r="J43" s="54">
        <v>1358</v>
      </c>
      <c r="K43" s="22">
        <v>2133</v>
      </c>
      <c r="L43" s="14">
        <v>1066</v>
      </c>
      <c r="M43" s="14"/>
      <c r="N43" s="25">
        <f>ROUND(+K43,0)</f>
        <v>2133</v>
      </c>
      <c r="O43" s="14">
        <f>ROUND(+L43,0)</f>
        <v>1066</v>
      </c>
      <c r="P43" s="14"/>
      <c r="Q43" s="24">
        <v>2589</v>
      </c>
      <c r="R43" s="14">
        <f>ROUND(+O43,0)</f>
        <v>1066</v>
      </c>
    </row>
    <row r="44" spans="1:20" ht="13.5" thickBot="1" x14ac:dyDescent="0.25">
      <c r="A44">
        <v>67693</v>
      </c>
      <c r="B44" s="1">
        <v>22</v>
      </c>
      <c r="H44" s="8">
        <f>+$B$2</f>
        <v>0.5</v>
      </c>
      <c r="I44" s="1" t="s">
        <v>51</v>
      </c>
      <c r="J44" s="16">
        <f>ROUND(+G43*H44,0)</f>
        <v>1235</v>
      </c>
      <c r="K44" s="19"/>
      <c r="L44" s="16">
        <f>ROUND(+K43*H44,0)</f>
        <v>1067</v>
      </c>
      <c r="M44" s="16"/>
      <c r="N44" s="16"/>
      <c r="O44" s="18">
        <f>ROUND(+L44,0)</f>
        <v>1067</v>
      </c>
      <c r="P44" s="16"/>
      <c r="Q44" s="19"/>
      <c r="R44" s="23">
        <f>ROUND(+Q43-N43+O44,0)</f>
        <v>1523</v>
      </c>
      <c r="S44" s="10">
        <f>+R44-O44</f>
        <v>456</v>
      </c>
      <c r="T44" t="s">
        <v>47</v>
      </c>
    </row>
    <row r="45" spans="1:20" x14ac:dyDescent="0.2">
      <c r="J45" s="10">
        <f>SUM(J43:J44)</f>
        <v>2593</v>
      </c>
      <c r="K45" s="13"/>
      <c r="L45" s="10">
        <f>SUM(L43:L44)</f>
        <v>2133</v>
      </c>
      <c r="O45" s="10">
        <f>ROUND(+L45,0)</f>
        <v>2133</v>
      </c>
      <c r="Q45" s="13"/>
      <c r="R45" s="10">
        <f>SUM(R43:R44)</f>
        <v>2589</v>
      </c>
      <c r="S45" s="10">
        <f>+R45-Q43</f>
        <v>0</v>
      </c>
      <c r="T45" t="s">
        <v>46</v>
      </c>
    </row>
    <row r="47" spans="1:20" s="32" customFormat="1" x14ac:dyDescent="0.2">
      <c r="A47">
        <v>67693</v>
      </c>
      <c r="B47" s="33">
        <v>12</v>
      </c>
      <c r="C47" s="32" t="s">
        <v>18</v>
      </c>
      <c r="D47" s="32" t="s">
        <v>44</v>
      </c>
      <c r="E47" s="33" t="s">
        <v>29</v>
      </c>
      <c r="F47" s="52">
        <v>1654</v>
      </c>
      <c r="G47" s="32">
        <v>1276</v>
      </c>
      <c r="H47" s="8">
        <f>+$B$1</f>
        <v>0.5</v>
      </c>
      <c r="I47" s="33">
        <v>36907</v>
      </c>
      <c r="J47" s="10">
        <f>ROUND(+G47*H47,0)</f>
        <v>638</v>
      </c>
      <c r="K47" s="22">
        <v>747</v>
      </c>
      <c r="L47" s="36">
        <v>373</v>
      </c>
      <c r="M47" s="36"/>
      <c r="N47" s="25">
        <f>ROUND(+K47,0)</f>
        <v>747</v>
      </c>
      <c r="O47" s="36">
        <f>ROUND(+L47,0)</f>
        <v>373</v>
      </c>
      <c r="P47" s="36"/>
      <c r="Q47" s="24">
        <v>1627</v>
      </c>
      <c r="R47" s="36">
        <f>ROUND(+O47,0)</f>
        <v>373</v>
      </c>
    </row>
    <row r="48" spans="1:20" s="32" customFormat="1" ht="13.5" thickBot="1" x14ac:dyDescent="0.25">
      <c r="A48">
        <v>67693</v>
      </c>
      <c r="B48" s="33">
        <v>23</v>
      </c>
      <c r="E48" s="33"/>
      <c r="F48" s="52"/>
      <c r="H48" s="8">
        <f>+$B$2</f>
        <v>0.5</v>
      </c>
      <c r="I48" s="33" t="s">
        <v>52</v>
      </c>
      <c r="J48" s="37">
        <f>ROUND(+G47*H48,0)</f>
        <v>638</v>
      </c>
      <c r="K48" s="38"/>
      <c r="L48" s="37">
        <f>ROUND(+K47*H48,0)</f>
        <v>374</v>
      </c>
      <c r="M48" s="37"/>
      <c r="N48" s="37"/>
      <c r="O48" s="39">
        <f>ROUND(+L48,0)</f>
        <v>374</v>
      </c>
      <c r="P48" s="37"/>
      <c r="Q48" s="38"/>
      <c r="R48" s="23">
        <f>ROUND(+Q47-N47+O48,0)</f>
        <v>1254</v>
      </c>
      <c r="S48" s="35">
        <f>+R48-O48</f>
        <v>880</v>
      </c>
      <c r="T48" s="32" t="s">
        <v>47</v>
      </c>
    </row>
    <row r="49" spans="1:21" s="32" customFormat="1" x14ac:dyDescent="0.2">
      <c r="B49" s="33"/>
      <c r="E49" s="33"/>
      <c r="F49" s="52"/>
      <c r="H49" s="34"/>
      <c r="I49" s="33"/>
      <c r="J49" s="40">
        <f>SUM(J47:J48)</f>
        <v>1276</v>
      </c>
      <c r="K49" s="41"/>
      <c r="L49" s="40">
        <f>SUM(L47:L48)</f>
        <v>747</v>
      </c>
      <c r="M49" s="40"/>
      <c r="N49" s="35"/>
      <c r="O49" s="35">
        <f>ROUND(+L49,0)</f>
        <v>747</v>
      </c>
      <c r="P49" s="40"/>
      <c r="Q49" s="41"/>
      <c r="R49" s="35">
        <f>SUM(R47:R48)</f>
        <v>1627</v>
      </c>
      <c r="S49" s="35">
        <f>+R49-Q47</f>
        <v>0</v>
      </c>
      <c r="T49" s="32" t="s">
        <v>46</v>
      </c>
    </row>
    <row r="51" spans="1:21" s="32" customFormat="1" x14ac:dyDescent="0.2">
      <c r="A51">
        <v>67693</v>
      </c>
      <c r="B51" s="33">
        <v>14</v>
      </c>
      <c r="C51" s="32" t="s">
        <v>19</v>
      </c>
      <c r="D51" s="32" t="s">
        <v>45</v>
      </c>
      <c r="E51" s="33" t="s">
        <v>30</v>
      </c>
      <c r="F51" s="52">
        <v>33</v>
      </c>
      <c r="G51" s="32">
        <v>25</v>
      </c>
      <c r="H51" s="8">
        <f>+$B$1</f>
        <v>0.5</v>
      </c>
      <c r="I51" s="33">
        <v>36907</v>
      </c>
      <c r="J51" s="35">
        <f>ROUND(+G51*H51,0)</f>
        <v>13</v>
      </c>
      <c r="K51" s="22">
        <v>21</v>
      </c>
      <c r="L51" s="36">
        <v>10</v>
      </c>
      <c r="M51" s="36"/>
      <c r="N51" s="25">
        <f>ROUND(+K51,0)</f>
        <v>21</v>
      </c>
      <c r="O51" s="36">
        <f>ROUND(+L51,0)</f>
        <v>10</v>
      </c>
      <c r="P51" s="36"/>
      <c r="Q51" s="24">
        <v>34</v>
      </c>
      <c r="R51" s="36">
        <f>ROUND(+O51,0)</f>
        <v>10</v>
      </c>
    </row>
    <row r="52" spans="1:21" s="32" customFormat="1" ht="13.5" thickBot="1" x14ac:dyDescent="0.25">
      <c r="A52">
        <v>67693</v>
      </c>
      <c r="B52" s="33">
        <v>24</v>
      </c>
      <c r="E52" s="33"/>
      <c r="F52" s="52"/>
      <c r="H52" s="8">
        <f>+$B$2</f>
        <v>0.5</v>
      </c>
      <c r="I52" s="33" t="s">
        <v>52</v>
      </c>
      <c r="J52" s="37">
        <f>ROUND(+G51*H52,0)</f>
        <v>13</v>
      </c>
      <c r="K52" s="37"/>
      <c r="L52" s="37">
        <f>ROUND(+K51*H52,0)</f>
        <v>11</v>
      </c>
      <c r="M52" s="37"/>
      <c r="N52" s="37"/>
      <c r="O52" s="39">
        <f>ROUND(+L52,0)</f>
        <v>11</v>
      </c>
      <c r="P52" s="37"/>
      <c r="Q52" s="37"/>
      <c r="R52" s="23">
        <f>ROUND(+Q51-N51+O52,0)</f>
        <v>24</v>
      </c>
      <c r="S52" s="35">
        <f>+R52-O52</f>
        <v>13</v>
      </c>
      <c r="T52" s="32" t="s">
        <v>47</v>
      </c>
    </row>
    <row r="53" spans="1:21" s="32" customFormat="1" x14ac:dyDescent="0.2">
      <c r="B53" s="33"/>
      <c r="E53" s="33"/>
      <c r="F53" s="52"/>
      <c r="H53" s="34" t="s">
        <v>79</v>
      </c>
      <c r="I53" s="33"/>
      <c r="J53" s="35">
        <f>SUM(J51:J52)</f>
        <v>26</v>
      </c>
      <c r="K53" s="35"/>
      <c r="L53" s="35">
        <f>SUM(L51:L52)</f>
        <v>21</v>
      </c>
      <c r="M53" s="35"/>
      <c r="N53" s="35"/>
      <c r="O53" s="35">
        <f>ROUND(+L53,0)</f>
        <v>21</v>
      </c>
      <c r="P53" s="35"/>
      <c r="Q53" s="35"/>
      <c r="R53" s="35">
        <f>SUM(R51:R52)</f>
        <v>34</v>
      </c>
      <c r="S53" s="35">
        <f>+R53-Q51</f>
        <v>0</v>
      </c>
      <c r="T53" s="32" t="s">
        <v>46</v>
      </c>
    </row>
    <row r="54" spans="1:21" ht="13.5" thickBot="1" x14ac:dyDescent="0.25"/>
    <row r="55" spans="1:21" ht="13.5" thickBot="1" x14ac:dyDescent="0.25">
      <c r="E55" t="s">
        <v>32</v>
      </c>
      <c r="F55" s="50">
        <f>SUM(F6:F53)</f>
        <v>54327</v>
      </c>
      <c r="G55">
        <f>SUM(G6:G53)</f>
        <v>43625</v>
      </c>
      <c r="J55" s="28">
        <f>SUM(J8+J12+J16+J21+J25+J29+J33+J37+J41+J45+J49+J53)</f>
        <v>43755</v>
      </c>
      <c r="K55" s="10">
        <f>SUM(K6:K53)</f>
        <v>43244</v>
      </c>
      <c r="L55" s="28">
        <f>SUM(L8+L12+L16+L21+L25+L29+L33+L37+L41+L45+L49+L53)</f>
        <v>43244</v>
      </c>
      <c r="N55" s="10">
        <f>SUM(N6:N53)</f>
        <v>43244</v>
      </c>
      <c r="O55" s="28">
        <f>SUM(O8+O12+O16+O21+O25+O29+O33+O37+O41+O45+O49+O53)</f>
        <v>43244</v>
      </c>
      <c r="Q55" s="10">
        <f>SUM(Q6:Q53)</f>
        <v>52536</v>
      </c>
      <c r="R55" s="28">
        <f>SUM(R8+R12+R16+R21+R25+R29+R33+R37+R41+R45+R49+R53)</f>
        <v>52536</v>
      </c>
      <c r="S55" s="29">
        <f>S8+S12+S16+S21+S25+S29+S33+S37+S41+S45+S49+S53</f>
        <v>0</v>
      </c>
      <c r="T55" s="30" t="s">
        <v>55</v>
      </c>
      <c r="U55" s="31"/>
    </row>
    <row r="58" spans="1:21" x14ac:dyDescent="0.2">
      <c r="A58">
        <v>63281</v>
      </c>
      <c r="B58" s="1">
        <v>40</v>
      </c>
      <c r="H58" s="1">
        <v>22</v>
      </c>
      <c r="I58" t="s">
        <v>33</v>
      </c>
      <c r="J58" s="10">
        <f>SUMIF($I$6:$I$52,"22STOW",$J$6:$J$52)</f>
        <v>246</v>
      </c>
      <c r="L58" s="10">
        <f>SUMIF($I$6:$I$52,"22STOW",$L$6:$L$52)</f>
        <v>234</v>
      </c>
      <c r="O58" s="10">
        <f>SUMIF($I$6:$I$52,"22STOW",$O$6:$O$52)</f>
        <v>234</v>
      </c>
      <c r="R58" s="10">
        <f>SUMIF($I$6:$I$52,"22STOW",$R$6:$R$52)</f>
        <v>0</v>
      </c>
    </row>
    <row r="59" spans="1:21" x14ac:dyDescent="0.2">
      <c r="A59">
        <v>63281</v>
      </c>
      <c r="B59" s="1">
        <v>53</v>
      </c>
      <c r="C59" t="s">
        <v>54</v>
      </c>
      <c r="H59" s="1" t="s">
        <v>48</v>
      </c>
      <c r="I59" t="s">
        <v>33</v>
      </c>
      <c r="J59" s="10">
        <f>SUMIF($I$6:$I$52,"23nSTOW",$J$6:$J$52)</f>
        <v>4495</v>
      </c>
      <c r="L59" s="10">
        <f>SUMIF($I$6:$I$52,"23nSTOW",$L$6:$L$52)</f>
        <v>4085</v>
      </c>
      <c r="O59" s="10">
        <f>SUMIF($I$6:$I$52,"23nSTOW",$O$6:$O$52)</f>
        <v>4085</v>
      </c>
      <c r="R59" s="10">
        <f>SUMIF($I$6:$I$52,"23nSTOW",$R$6:$R$52)</f>
        <v>7429</v>
      </c>
    </row>
    <row r="60" spans="1:21" x14ac:dyDescent="0.2">
      <c r="A60">
        <v>63281</v>
      </c>
      <c r="B60" s="1">
        <v>54</v>
      </c>
      <c r="C60" t="s">
        <v>54</v>
      </c>
      <c r="H60" s="1">
        <v>23</v>
      </c>
      <c r="I60" t="s">
        <v>33</v>
      </c>
      <c r="J60" s="10">
        <f>SUMIF($I$6:$I$52,"23STOW",$J$6:$J$52)</f>
        <v>16424</v>
      </c>
      <c r="L60" s="10">
        <f>SUMIF($I$6:$I$52,"23STOW",$L$6:$L$52)</f>
        <v>16986</v>
      </c>
      <c r="O60" s="10">
        <f>SUMIF($I$6:$I$52,"23STOW",$O$6:$O$52)</f>
        <v>16986</v>
      </c>
      <c r="R60" s="10">
        <f>SUMIF($I$6:$I$52,"23STOW",$R$6:$R$52)</f>
        <v>22275</v>
      </c>
    </row>
    <row r="61" spans="1:21" x14ac:dyDescent="0.2">
      <c r="A61">
        <v>63281</v>
      </c>
      <c r="B61" s="1">
        <v>55</v>
      </c>
      <c r="C61" t="s">
        <v>54</v>
      </c>
      <c r="H61" s="1">
        <v>24</v>
      </c>
      <c r="I61" t="s">
        <v>33</v>
      </c>
      <c r="J61" s="10">
        <f>SUMIF($I$6:$I$52,"24STOW",$J$6:$J$52)</f>
        <v>651</v>
      </c>
      <c r="L61" s="10">
        <f>SUMIF($I$6:$I$52,"24STOW",$L$6:$L$52)</f>
        <v>385</v>
      </c>
      <c r="O61" s="10">
        <f>SUMIF($I$6:$I$52,"24STOW",$O$6:$O$52)</f>
        <v>385</v>
      </c>
      <c r="R61" s="10">
        <f>SUMIF($I$6:$I$52,"24STOW",$R$6:$R$52)</f>
        <v>1278</v>
      </c>
    </row>
    <row r="63" spans="1:21" x14ac:dyDescent="0.2">
      <c r="A63">
        <v>63281</v>
      </c>
      <c r="B63" s="1">
        <v>52</v>
      </c>
      <c r="D63" s="55" t="s">
        <v>80</v>
      </c>
      <c r="E63" s="56">
        <v>20070</v>
      </c>
      <c r="F63" s="50"/>
      <c r="G63" s="10">
        <f>+J63/0.97816</f>
        <v>22303.099697391019</v>
      </c>
      <c r="I63" t="s">
        <v>33</v>
      </c>
      <c r="J63" s="10">
        <f>SUM(J58:J61)</f>
        <v>21816</v>
      </c>
      <c r="K63" s="10">
        <f>+L63/0.97816</f>
        <v>22174.286415310376</v>
      </c>
      <c r="L63" s="10">
        <f>SUM(L58:L61)</f>
        <v>21690</v>
      </c>
      <c r="N63" s="10">
        <f>+O63/0.97816</f>
        <v>22174.286415310376</v>
      </c>
      <c r="O63" s="10">
        <f>SUM(O58:O61)</f>
        <v>21690</v>
      </c>
      <c r="Q63" s="10">
        <f>+R63/0.97816</f>
        <v>31673.754804939887</v>
      </c>
      <c r="R63" s="10">
        <f>SUM(R58:R61)</f>
        <v>30982</v>
      </c>
    </row>
    <row r="65" spans="4:18" x14ac:dyDescent="0.2">
      <c r="H65" s="1"/>
      <c r="I65">
        <v>63281</v>
      </c>
      <c r="J65" s="1" t="s">
        <v>72</v>
      </c>
      <c r="L65" s="42">
        <f>SUMIF($A$6:$A$52,63281,$L$6:$L$52)</f>
        <v>0</v>
      </c>
      <c r="O65" s="42">
        <f>SUMIF($A$6:$A$52,63281,$O$6:$O$52)</f>
        <v>0</v>
      </c>
      <c r="R65" s="42">
        <f>SUMIF($A$6:$A$52,63281,$R$6:$R$52)</f>
        <v>0</v>
      </c>
    </row>
    <row r="68" spans="4:18" x14ac:dyDescent="0.2">
      <c r="D68" t="s">
        <v>85</v>
      </c>
      <c r="F68">
        <v>67693</v>
      </c>
      <c r="G68" s="1" t="s">
        <v>84</v>
      </c>
      <c r="L68" s="10">
        <f>SUMIF($A$6:$A$54,"67693",$L$6:$L$54)</f>
        <v>43244</v>
      </c>
      <c r="O68" s="10">
        <f>SUMIF($A$6:$A$54,"67693",$O$6:$O$54)</f>
        <v>43244</v>
      </c>
      <c r="R68" s="10">
        <f>SUMIF($A$6:$A$54,"67693",$R$6:$R$54)</f>
        <v>52536</v>
      </c>
    </row>
    <row r="69" spans="4:18" x14ac:dyDescent="0.2">
      <c r="F69">
        <v>38021</v>
      </c>
      <c r="G69" s="1" t="s">
        <v>84</v>
      </c>
      <c r="L69" s="10">
        <f>SUMIF($A$6:$A$54,"38021",$L$6:$L$54)</f>
        <v>0</v>
      </c>
      <c r="O69" s="10">
        <f>SUMIF($A$6:$A$54,"38021",$O$6:$O$54)</f>
        <v>0</v>
      </c>
      <c r="R69" s="10">
        <f>SUMIF($A$6:$A$54,"38021",$R$6:$R$54)</f>
        <v>0</v>
      </c>
    </row>
    <row r="70" spans="4:18" x14ac:dyDescent="0.2">
      <c r="F70" s="58">
        <v>40998</v>
      </c>
      <c r="G70" t="s">
        <v>84</v>
      </c>
      <c r="L70" s="10">
        <f>SUMIF($A$6:$A$53,"40998",$L$6:$L$53)</f>
        <v>0</v>
      </c>
      <c r="O70" s="10">
        <f>SUMIF($A$6:$A$53,"40998",$O$6:$O$53)</f>
        <v>0</v>
      </c>
      <c r="R70" s="10">
        <f>SUMIF($A$6:$A$53,"40998",$R$6:$R$53)</f>
        <v>0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U74"/>
  <sheetViews>
    <sheetView topLeftCell="E45" workbookViewId="0">
      <selection activeCell="Q5" sqref="Q5"/>
    </sheetView>
  </sheetViews>
  <sheetFormatPr defaultRowHeight="12.75" x14ac:dyDescent="0.2"/>
  <cols>
    <col min="2" max="2" width="9.140625" style="1"/>
    <col min="4" max="4" width="10.5703125" bestFit="1" customWidth="1"/>
    <col min="5" max="5" width="9.140625" style="1"/>
    <col min="6" max="6" width="9.140625" style="48"/>
    <col min="8" max="8" width="9.28515625" style="8" customWidth="1"/>
    <col min="9" max="9" width="9.140625" style="1"/>
    <col min="10" max="12" width="9.140625" style="10"/>
    <col min="13" max="13" width="3.28515625" style="10" customWidth="1"/>
    <col min="14" max="15" width="9.140625" style="10"/>
    <col min="16" max="16" width="2.85546875" style="10" customWidth="1"/>
    <col min="17" max="18" width="9.140625" style="10"/>
    <col min="21" max="21" width="10.42578125" customWidth="1"/>
  </cols>
  <sheetData>
    <row r="1" spans="1:20" x14ac:dyDescent="0.2">
      <c r="A1">
        <v>36907</v>
      </c>
      <c r="B1" s="26">
        <v>0.6</v>
      </c>
      <c r="D1" t="s">
        <v>57</v>
      </c>
      <c r="E1" s="1">
        <v>227081</v>
      </c>
    </row>
    <row r="2" spans="1:20" ht="13.5" thickBot="1" x14ac:dyDescent="0.25">
      <c r="A2" s="17" t="s">
        <v>33</v>
      </c>
      <c r="B2" s="27">
        <v>0.4</v>
      </c>
      <c r="D2" t="s">
        <v>58</v>
      </c>
      <c r="E2" s="1">
        <v>231214</v>
      </c>
      <c r="F2" s="48" t="s">
        <v>81</v>
      </c>
      <c r="G2" s="4"/>
      <c r="H2" s="7"/>
      <c r="K2" s="12"/>
      <c r="L2" s="12"/>
      <c r="M2" s="12"/>
      <c r="N2" s="12"/>
      <c r="O2" s="12"/>
      <c r="P2" s="12"/>
      <c r="Q2" s="12"/>
      <c r="R2" s="12"/>
    </row>
    <row r="3" spans="1:20" x14ac:dyDescent="0.2">
      <c r="A3" s="17" t="s">
        <v>32</v>
      </c>
      <c r="B3" s="26">
        <f>SUM(B1:B2)</f>
        <v>1</v>
      </c>
      <c r="G3" s="5"/>
      <c r="H3" s="7"/>
      <c r="K3" s="21"/>
      <c r="L3" s="21"/>
      <c r="M3" s="21"/>
      <c r="N3" s="21"/>
      <c r="O3" s="21"/>
      <c r="P3" s="21"/>
      <c r="Q3" s="21"/>
      <c r="R3" s="21"/>
    </row>
    <row r="5" spans="1:20" s="2" customFormat="1" x14ac:dyDescent="0.2">
      <c r="A5" s="2" t="s">
        <v>1</v>
      </c>
      <c r="B5" s="3" t="s">
        <v>2</v>
      </c>
      <c r="C5" s="2" t="s">
        <v>8</v>
      </c>
      <c r="D5" s="2" t="s">
        <v>9</v>
      </c>
      <c r="E5" s="3" t="s">
        <v>3</v>
      </c>
      <c r="F5" s="51" t="s">
        <v>71</v>
      </c>
      <c r="G5" s="2" t="s">
        <v>4</v>
      </c>
      <c r="H5" s="9"/>
      <c r="I5" s="3" t="s">
        <v>31</v>
      </c>
      <c r="J5" s="11"/>
      <c r="K5" s="11" t="s">
        <v>5</v>
      </c>
      <c r="L5" s="11"/>
      <c r="M5" s="11"/>
      <c r="N5" s="11" t="s">
        <v>6</v>
      </c>
      <c r="O5" s="11"/>
      <c r="P5" s="11"/>
      <c r="Q5" s="11" t="s">
        <v>56</v>
      </c>
      <c r="R5" s="11"/>
    </row>
    <row r="6" spans="1:20" x14ac:dyDescent="0.2">
      <c r="A6">
        <v>67693</v>
      </c>
      <c r="B6" s="1">
        <v>2</v>
      </c>
      <c r="C6" t="s">
        <v>0</v>
      </c>
      <c r="D6" t="s">
        <v>34</v>
      </c>
      <c r="E6" s="1">
        <v>22</v>
      </c>
      <c r="F6" s="48">
        <v>887</v>
      </c>
      <c r="G6">
        <v>491</v>
      </c>
      <c r="H6" s="8">
        <f>+$B$1</f>
        <v>0.6</v>
      </c>
      <c r="I6" s="1">
        <v>36907</v>
      </c>
      <c r="J6" s="10">
        <f>ROUND(+G6*H6,0)</f>
        <v>295</v>
      </c>
      <c r="K6" s="22">
        <v>1276</v>
      </c>
      <c r="L6" s="14">
        <f>ROUND(+K6*H6,0)</f>
        <v>766</v>
      </c>
      <c r="M6" s="14"/>
      <c r="N6" s="25">
        <f>ROUND(+K6,0)</f>
        <v>1276</v>
      </c>
      <c r="O6" s="59">
        <v>510</v>
      </c>
      <c r="P6" s="14"/>
      <c r="Q6" s="24">
        <v>1464</v>
      </c>
      <c r="R6" s="14">
        <f>+O6</f>
        <v>510</v>
      </c>
    </row>
    <row r="7" spans="1:20" ht="13.5" thickBot="1" x14ac:dyDescent="0.25">
      <c r="A7">
        <v>67693</v>
      </c>
      <c r="B7" s="1">
        <v>15</v>
      </c>
      <c r="H7" s="8">
        <f>+$B$2</f>
        <v>0.4</v>
      </c>
      <c r="I7" s="1" t="s">
        <v>49</v>
      </c>
      <c r="J7" s="16">
        <f>ROUND(+G6*H7,0)</f>
        <v>196</v>
      </c>
      <c r="K7" s="16"/>
      <c r="L7" s="16">
        <f>ROUND(+K6*H7,0)</f>
        <v>510</v>
      </c>
      <c r="M7" s="16"/>
      <c r="N7" s="16"/>
      <c r="O7" s="68">
        <v>766</v>
      </c>
      <c r="P7" s="14"/>
      <c r="R7" s="23">
        <f>ROUND(+Q6-N6+O7,0)</f>
        <v>954</v>
      </c>
      <c r="S7" s="10">
        <f>+R7-O7</f>
        <v>188</v>
      </c>
      <c r="T7" t="s">
        <v>47</v>
      </c>
    </row>
    <row r="8" spans="1:20" x14ac:dyDescent="0.2">
      <c r="J8" s="10">
        <f>SUM(J6:J7)</f>
        <v>491</v>
      </c>
      <c r="L8" s="10">
        <f>SUM(L6:L7)</f>
        <v>1276</v>
      </c>
      <c r="O8" s="10">
        <f>ROUND(+L8,0)</f>
        <v>1276</v>
      </c>
      <c r="R8" s="10">
        <f>SUM(R6:R7)</f>
        <v>1464</v>
      </c>
      <c r="S8" s="10">
        <f>+R8-Q6</f>
        <v>0</v>
      </c>
      <c r="T8" t="s">
        <v>46</v>
      </c>
    </row>
    <row r="10" spans="1:20" x14ac:dyDescent="0.2">
      <c r="A10">
        <v>67693</v>
      </c>
      <c r="B10" s="1">
        <v>10</v>
      </c>
      <c r="C10" t="s">
        <v>7</v>
      </c>
      <c r="D10" t="s">
        <v>35</v>
      </c>
      <c r="E10" s="1" t="s">
        <v>20</v>
      </c>
      <c r="F10" s="48">
        <v>7377</v>
      </c>
      <c r="G10">
        <v>6408</v>
      </c>
      <c r="H10" s="8">
        <f>+$B$1</f>
        <v>0.6</v>
      </c>
      <c r="I10" s="1">
        <v>36907</v>
      </c>
      <c r="J10" s="10">
        <f>ROUND(+G10*H10,0)</f>
        <v>3845</v>
      </c>
      <c r="K10" s="22">
        <v>11171</v>
      </c>
      <c r="L10" s="14">
        <f>ROUND(+K10*H10,0)-3000</f>
        <v>3703</v>
      </c>
      <c r="M10" s="14"/>
      <c r="N10" s="25">
        <f>ROUND(+K10,0)</f>
        <v>11171</v>
      </c>
      <c r="O10" s="14">
        <f>ROUND(+L10,0)</f>
        <v>3703</v>
      </c>
      <c r="P10" s="14"/>
      <c r="Q10" s="24">
        <v>12532</v>
      </c>
      <c r="R10" s="14">
        <f>ROUND(+O10,0)</f>
        <v>3703</v>
      </c>
    </row>
    <row r="11" spans="1:20" s="60" customFormat="1" x14ac:dyDescent="0.2">
      <c r="A11" s="60">
        <v>40998</v>
      </c>
      <c r="B11" s="61">
        <v>92</v>
      </c>
      <c r="E11" s="61"/>
      <c r="F11" s="62"/>
      <c r="G11" s="63"/>
      <c r="H11" s="64"/>
      <c r="I11" s="61"/>
      <c r="J11" s="65">
        <v>0</v>
      </c>
      <c r="K11" s="24"/>
      <c r="L11" s="66">
        <v>3000</v>
      </c>
      <c r="M11" s="24"/>
      <c r="N11" s="24"/>
      <c r="O11" s="66">
        <f>L11</f>
        <v>3000</v>
      </c>
      <c r="P11" s="24"/>
      <c r="Q11" s="24"/>
      <c r="R11" s="66">
        <f>L11</f>
        <v>3000</v>
      </c>
    </row>
    <row r="12" spans="1:20" ht="13.5" thickBot="1" x14ac:dyDescent="0.25">
      <c r="A12">
        <v>67693</v>
      </c>
      <c r="B12" s="1">
        <v>25</v>
      </c>
      <c r="H12" s="8">
        <f>+$B$2</f>
        <v>0.4</v>
      </c>
      <c r="I12" s="1" t="s">
        <v>50</v>
      </c>
      <c r="J12" s="16">
        <f>ROUND(+G10*H12,0)</f>
        <v>2563</v>
      </c>
      <c r="K12" s="19"/>
      <c r="L12" s="16">
        <f>ROUND(+K10*H12,0)</f>
        <v>4468</v>
      </c>
      <c r="M12" s="16"/>
      <c r="N12" s="16"/>
      <c r="O12" s="18">
        <f>ROUND(+L12,0)</f>
        <v>4468</v>
      </c>
      <c r="P12" s="16"/>
      <c r="Q12" s="19"/>
      <c r="R12" s="23">
        <f>ROUND(+Q10-N10+O12,0)</f>
        <v>5829</v>
      </c>
      <c r="S12" s="10">
        <f>+R12-O12</f>
        <v>1361</v>
      </c>
      <c r="T12" t="s">
        <v>47</v>
      </c>
    </row>
    <row r="13" spans="1:20" x14ac:dyDescent="0.2">
      <c r="J13" s="10">
        <f>SUM(J10:J12)</f>
        <v>6408</v>
      </c>
      <c r="K13" s="13"/>
      <c r="L13" s="10">
        <f>SUM(L10:L12)</f>
        <v>11171</v>
      </c>
      <c r="M13" s="14"/>
      <c r="O13" s="10">
        <f>ROUND(+L13,0)</f>
        <v>11171</v>
      </c>
      <c r="P13" s="14"/>
      <c r="Q13" s="13"/>
      <c r="R13" s="10">
        <f>SUM(R10:R12)</f>
        <v>12532</v>
      </c>
      <c r="S13" s="10">
        <f>+R13-Q10</f>
        <v>0</v>
      </c>
      <c r="T13" t="s">
        <v>46</v>
      </c>
    </row>
    <row r="15" spans="1:20" x14ac:dyDescent="0.2">
      <c r="A15">
        <v>67693</v>
      </c>
      <c r="B15" s="1">
        <v>11</v>
      </c>
      <c r="C15" t="s">
        <v>10</v>
      </c>
      <c r="D15" t="s">
        <v>36</v>
      </c>
      <c r="E15" s="1" t="s">
        <v>21</v>
      </c>
      <c r="F15" s="48">
        <v>2977</v>
      </c>
      <c r="G15">
        <v>2582</v>
      </c>
      <c r="H15" s="8">
        <f>+$B$1</f>
        <v>0.6</v>
      </c>
      <c r="I15" s="1">
        <v>36907</v>
      </c>
      <c r="J15" s="10">
        <f>ROUND(+G15*H15,0)</f>
        <v>1549</v>
      </c>
      <c r="K15" s="22">
        <v>4639</v>
      </c>
      <c r="L15" s="14">
        <f>ROUND(+K15*H15,0)</f>
        <v>2783</v>
      </c>
      <c r="M15" s="14"/>
      <c r="N15" s="25">
        <f>ROUND(+K15,0)</f>
        <v>4639</v>
      </c>
      <c r="O15" s="14">
        <f>ROUND(+L15,0)</f>
        <v>2783</v>
      </c>
      <c r="P15" s="14"/>
      <c r="Q15" s="24">
        <v>5051</v>
      </c>
      <c r="R15" s="14">
        <f>ROUND(+O15,0)</f>
        <v>2783</v>
      </c>
    </row>
    <row r="16" spans="1:20" ht="13.5" thickBot="1" x14ac:dyDescent="0.25">
      <c r="A16">
        <v>67693</v>
      </c>
      <c r="B16" s="1">
        <v>26</v>
      </c>
      <c r="H16" s="8">
        <f>+$B$2</f>
        <v>0.4</v>
      </c>
      <c r="I16" s="1" t="s">
        <v>50</v>
      </c>
      <c r="J16" s="16">
        <f>ROUND(+G15*H16,0)</f>
        <v>1033</v>
      </c>
      <c r="K16" s="19"/>
      <c r="L16" s="16">
        <f>ROUND(+K15*H16,0)</f>
        <v>1856</v>
      </c>
      <c r="M16" s="16"/>
      <c r="N16" s="16"/>
      <c r="O16" s="18">
        <f>ROUND(+L16,0)</f>
        <v>1856</v>
      </c>
      <c r="P16" s="16"/>
      <c r="Q16" s="19"/>
      <c r="R16" s="23">
        <f>ROUND(+Q15-N15+O16,0)</f>
        <v>2268</v>
      </c>
      <c r="S16" s="10">
        <f>+R16-O16</f>
        <v>412</v>
      </c>
      <c r="T16" t="s">
        <v>47</v>
      </c>
    </row>
    <row r="17" spans="1:20" x14ac:dyDescent="0.2">
      <c r="J17" s="10">
        <f>SUM(J15:J16)</f>
        <v>2582</v>
      </c>
      <c r="K17" s="13"/>
      <c r="L17" s="10">
        <f>SUM(L15:L16)</f>
        <v>4639</v>
      </c>
      <c r="O17" s="10">
        <f>ROUND(+L17,0)</f>
        <v>4639</v>
      </c>
      <c r="Q17" s="13"/>
      <c r="R17" s="10">
        <f>SUM(R15:R16)</f>
        <v>5051</v>
      </c>
      <c r="S17" s="10">
        <f>+R17-Q15</f>
        <v>0</v>
      </c>
      <c r="T17" t="s">
        <v>46</v>
      </c>
    </row>
    <row r="19" spans="1:20" x14ac:dyDescent="0.2">
      <c r="A19">
        <v>67693</v>
      </c>
      <c r="B19" s="1">
        <v>3</v>
      </c>
      <c r="C19" t="s">
        <v>11</v>
      </c>
      <c r="D19" t="s">
        <v>37</v>
      </c>
      <c r="E19" s="1" t="s">
        <v>22</v>
      </c>
      <c r="F19" s="48">
        <v>15138</v>
      </c>
      <c r="G19" s="6">
        <v>11909</v>
      </c>
      <c r="H19" s="8">
        <f>+$B$1</f>
        <v>0.6</v>
      </c>
      <c r="I19" s="1">
        <v>36907</v>
      </c>
      <c r="J19" s="10">
        <f>ROUND(+G19*H19,0)</f>
        <v>7145</v>
      </c>
      <c r="K19" s="22">
        <v>24790</v>
      </c>
      <c r="L19" s="14">
        <f>ROUND(+K19*H19,0)-4000-10874</f>
        <v>0</v>
      </c>
      <c r="M19" s="14"/>
      <c r="N19" s="25">
        <f>ROUND(+K19,0)</f>
        <v>24790</v>
      </c>
      <c r="O19" s="14">
        <f>ROUND(+L19,0)</f>
        <v>0</v>
      </c>
      <c r="P19" s="14"/>
      <c r="Q19" s="24">
        <v>25476</v>
      </c>
      <c r="R19" s="14">
        <f>ROUND(+O19,0)</f>
        <v>0</v>
      </c>
    </row>
    <row r="20" spans="1:20" s="60" customFormat="1" x14ac:dyDescent="0.2">
      <c r="A20" s="60">
        <v>40998</v>
      </c>
      <c r="B20" s="61">
        <v>90</v>
      </c>
      <c r="E20" s="61"/>
      <c r="F20" s="62"/>
      <c r="G20" s="63"/>
      <c r="H20" s="64"/>
      <c r="I20" s="61"/>
      <c r="J20" s="65">
        <v>0</v>
      </c>
      <c r="K20" s="24"/>
      <c r="L20" s="66">
        <v>10874</v>
      </c>
      <c r="M20" s="24"/>
      <c r="N20" s="24"/>
      <c r="O20" s="66">
        <f>L20</f>
        <v>10874</v>
      </c>
      <c r="P20" s="24"/>
      <c r="Q20" s="24"/>
      <c r="R20" s="66">
        <f>L20</f>
        <v>10874</v>
      </c>
    </row>
    <row r="21" spans="1:20" s="60" customFormat="1" x14ac:dyDescent="0.2">
      <c r="A21" s="60">
        <v>66930</v>
      </c>
      <c r="B21" s="67" t="s">
        <v>86</v>
      </c>
      <c r="E21" s="61"/>
      <c r="F21" s="62"/>
      <c r="G21" s="63"/>
      <c r="H21" s="64"/>
      <c r="I21" s="61"/>
      <c r="J21" s="65">
        <v>0</v>
      </c>
      <c r="K21" s="24"/>
      <c r="L21" s="66">
        <v>4000</v>
      </c>
      <c r="M21" s="24"/>
      <c r="N21" s="24"/>
      <c r="O21" s="66">
        <f>L21</f>
        <v>4000</v>
      </c>
      <c r="P21" s="24"/>
      <c r="Q21" s="24"/>
      <c r="R21" s="66">
        <f>L21</f>
        <v>4000</v>
      </c>
    </row>
    <row r="22" spans="1:20" ht="13.5" thickBot="1" x14ac:dyDescent="0.25">
      <c r="A22">
        <v>67693</v>
      </c>
      <c r="B22" s="1">
        <v>16</v>
      </c>
      <c r="H22" s="8">
        <f>+$B$2</f>
        <v>0.4</v>
      </c>
      <c r="I22" s="1" t="s">
        <v>51</v>
      </c>
      <c r="J22" s="16">
        <f>ROUND(+G19*H22,0)</f>
        <v>4764</v>
      </c>
      <c r="K22" s="19"/>
      <c r="L22" s="16">
        <f>ROUND(+K19*H22,0)</f>
        <v>9916</v>
      </c>
      <c r="M22" s="16"/>
      <c r="N22" s="16"/>
      <c r="O22" s="18">
        <f>ROUND(+L22,0)</f>
        <v>9916</v>
      </c>
      <c r="P22" s="16"/>
      <c r="Q22" s="19"/>
      <c r="R22" s="23">
        <f>ROUND(+Q19-N19+O22,0)</f>
        <v>10602</v>
      </c>
      <c r="S22" s="10">
        <f>+R22-O22</f>
        <v>686</v>
      </c>
      <c r="T22" t="s">
        <v>47</v>
      </c>
    </row>
    <row r="23" spans="1:20" x14ac:dyDescent="0.2">
      <c r="J23" s="14">
        <f>SUM(J19:J22)</f>
        <v>11909</v>
      </c>
      <c r="K23" s="13"/>
      <c r="L23" s="10">
        <f>SUM(L19:L22)</f>
        <v>24790</v>
      </c>
      <c r="M23" s="14"/>
      <c r="O23" s="10">
        <f>ROUND(+L23,0)</f>
        <v>24790</v>
      </c>
      <c r="P23" s="14"/>
      <c r="Q23" s="13"/>
      <c r="R23" s="10">
        <f>SUM(R19:R22)</f>
        <v>25476</v>
      </c>
      <c r="S23" s="10">
        <f>+R23-Q19</f>
        <v>0</v>
      </c>
      <c r="T23" t="s">
        <v>46</v>
      </c>
    </row>
    <row r="25" spans="1:20" x14ac:dyDescent="0.2">
      <c r="A25">
        <v>67693</v>
      </c>
      <c r="B25" s="1">
        <v>4</v>
      </c>
      <c r="C25" t="s">
        <v>12</v>
      </c>
      <c r="D25" t="s">
        <v>38</v>
      </c>
      <c r="E25" s="1" t="s">
        <v>23</v>
      </c>
      <c r="F25" s="48">
        <v>2273</v>
      </c>
      <c r="G25">
        <v>1789</v>
      </c>
      <c r="H25" s="8">
        <f>+$B$1</f>
        <v>0.6</v>
      </c>
      <c r="I25" s="1">
        <v>36907</v>
      </c>
      <c r="J25" s="10">
        <f>ROUND(+G25*H25,0)</f>
        <v>1073</v>
      </c>
      <c r="K25" s="22">
        <v>3656</v>
      </c>
      <c r="L25" s="14">
        <f>ROUND(+K25*H25,0)</f>
        <v>2194</v>
      </c>
      <c r="M25" s="14"/>
      <c r="N25" s="25">
        <f>ROUND(+K25,0)</f>
        <v>3656</v>
      </c>
      <c r="O25" s="14">
        <f>ROUND(+L25,0)</f>
        <v>2194</v>
      </c>
      <c r="P25" s="14"/>
      <c r="Q25" s="24">
        <v>3761</v>
      </c>
      <c r="R25" s="14">
        <f>ROUND(+O25,0)</f>
        <v>2194</v>
      </c>
    </row>
    <row r="26" spans="1:20" ht="13.5" thickBot="1" x14ac:dyDescent="0.25">
      <c r="A26">
        <v>67693</v>
      </c>
      <c r="B26" s="1">
        <v>17</v>
      </c>
      <c r="H26" s="8">
        <f>+$B$2</f>
        <v>0.4</v>
      </c>
      <c r="I26" s="1" t="s">
        <v>51</v>
      </c>
      <c r="J26" s="16">
        <f>ROUND(+G25*H26,0)</f>
        <v>716</v>
      </c>
      <c r="K26" s="19"/>
      <c r="L26" s="18">
        <f>ROUND(+K25*H26,0)</f>
        <v>1462</v>
      </c>
      <c r="M26" s="18"/>
      <c r="N26" s="16"/>
      <c r="O26" s="18">
        <f>ROUND(+L26,0)</f>
        <v>1462</v>
      </c>
      <c r="P26" s="18"/>
      <c r="Q26" s="19"/>
      <c r="R26" s="23">
        <f>ROUND(+Q25-N25+O26,0)</f>
        <v>1567</v>
      </c>
      <c r="S26" s="10">
        <f>+R26-O26</f>
        <v>105</v>
      </c>
      <c r="T26" t="s">
        <v>47</v>
      </c>
    </row>
    <row r="27" spans="1:20" x14ac:dyDescent="0.2">
      <c r="J27" s="10">
        <f>SUM(J25:J26)</f>
        <v>1789</v>
      </c>
      <c r="K27" s="13"/>
      <c r="L27" s="10">
        <f>SUM(L25:L26)</f>
        <v>3656</v>
      </c>
      <c r="O27" s="10">
        <f>ROUND(+L27,0)</f>
        <v>3656</v>
      </c>
      <c r="Q27" s="13"/>
      <c r="R27" s="10">
        <f>SUM(R25:R26)</f>
        <v>3761</v>
      </c>
      <c r="S27" s="10">
        <f>+R27-Q25</f>
        <v>0</v>
      </c>
      <c r="T27" t="s">
        <v>46</v>
      </c>
    </row>
    <row r="29" spans="1:20" x14ac:dyDescent="0.2">
      <c r="A29">
        <v>67693</v>
      </c>
      <c r="B29" s="1">
        <v>5</v>
      </c>
      <c r="C29" t="s">
        <v>13</v>
      </c>
      <c r="D29" t="s">
        <v>39</v>
      </c>
      <c r="E29" s="1" t="s">
        <v>24</v>
      </c>
      <c r="F29" s="48">
        <v>1763</v>
      </c>
      <c r="G29">
        <v>1425</v>
      </c>
      <c r="H29" s="8">
        <f>+$B$1</f>
        <v>0.6</v>
      </c>
      <c r="I29" s="1">
        <v>36907</v>
      </c>
      <c r="J29" s="10">
        <f>ROUND(+G29*H29,0)</f>
        <v>855</v>
      </c>
      <c r="K29" s="22">
        <v>2700</v>
      </c>
      <c r="L29" s="14">
        <f>ROUND(+K29*H29,0)</f>
        <v>1620</v>
      </c>
      <c r="M29" s="14"/>
      <c r="N29" s="25">
        <f>ROUND(+K29,0)</f>
        <v>2700</v>
      </c>
      <c r="O29" s="14">
        <f>ROUND(+L29,0)</f>
        <v>1620</v>
      </c>
      <c r="P29" s="14"/>
      <c r="Q29" s="24">
        <v>3102</v>
      </c>
      <c r="R29" s="14">
        <f>ROUND(+O29,0)</f>
        <v>1620</v>
      </c>
    </row>
    <row r="30" spans="1:20" ht="13.5" thickBot="1" x14ac:dyDescent="0.25">
      <c r="A30">
        <v>67693</v>
      </c>
      <c r="B30" s="1">
        <v>18</v>
      </c>
      <c r="H30" s="8">
        <f>+$B$2</f>
        <v>0.4</v>
      </c>
      <c r="I30" s="1" t="s">
        <v>51</v>
      </c>
      <c r="J30" s="16">
        <f>ROUND(+G29*H30,0)</f>
        <v>570</v>
      </c>
      <c r="K30" s="19"/>
      <c r="L30" s="16">
        <f>ROUND(+K29*H30,0)</f>
        <v>1080</v>
      </c>
      <c r="M30" s="16"/>
      <c r="N30" s="16"/>
      <c r="O30" s="18">
        <f>ROUND(+L30,0)</f>
        <v>1080</v>
      </c>
      <c r="P30" s="16"/>
      <c r="Q30" s="19"/>
      <c r="R30" s="23">
        <f>ROUND(+Q29-N29+O30,0)</f>
        <v>1482</v>
      </c>
      <c r="S30" s="10">
        <f>+R30-O30</f>
        <v>402</v>
      </c>
      <c r="T30" t="s">
        <v>47</v>
      </c>
    </row>
    <row r="31" spans="1:20" x14ac:dyDescent="0.2">
      <c r="J31" s="10">
        <f>SUM(J29:J30)</f>
        <v>1425</v>
      </c>
      <c r="K31" s="13"/>
      <c r="L31" s="10">
        <f>SUM(L29:L30)</f>
        <v>2700</v>
      </c>
      <c r="O31" s="10">
        <f>ROUND(+L31,0)</f>
        <v>2700</v>
      </c>
      <c r="Q31" s="13"/>
      <c r="R31" s="10">
        <f>SUM(R29:R30)</f>
        <v>3102</v>
      </c>
      <c r="S31" s="10">
        <f>+R31-Q29</f>
        <v>0</v>
      </c>
      <c r="T31" t="s">
        <v>46</v>
      </c>
    </row>
    <row r="33" spans="1:20" x14ac:dyDescent="0.2">
      <c r="A33">
        <v>67693</v>
      </c>
      <c r="B33" s="1">
        <v>6</v>
      </c>
      <c r="C33" t="s">
        <v>14</v>
      </c>
      <c r="D33" t="s">
        <v>40</v>
      </c>
      <c r="E33" s="1" t="s">
        <v>25</v>
      </c>
      <c r="F33" s="48">
        <v>14119</v>
      </c>
      <c r="G33" s="6">
        <v>11359</v>
      </c>
      <c r="H33" s="8">
        <f>+$B$1</f>
        <v>0.6</v>
      </c>
      <c r="I33" s="1">
        <v>36907</v>
      </c>
      <c r="J33" s="10">
        <f>ROUND(+G33*H33,0)</f>
        <v>6815</v>
      </c>
      <c r="K33" s="22">
        <v>20587</v>
      </c>
      <c r="L33" s="14">
        <f>ROUND(+K33*H33,0)-4000-8352</f>
        <v>0</v>
      </c>
      <c r="M33" s="14"/>
      <c r="N33" s="25">
        <f>ROUND(+K33,0)</f>
        <v>20587</v>
      </c>
      <c r="O33" s="14">
        <f>ROUND(+L33,0)</f>
        <v>0</v>
      </c>
      <c r="P33" s="14"/>
      <c r="Q33" s="24">
        <v>23266</v>
      </c>
      <c r="R33" s="14">
        <f>ROUND(+O33,0)</f>
        <v>0</v>
      </c>
    </row>
    <row r="34" spans="1:20" s="60" customFormat="1" x14ac:dyDescent="0.2">
      <c r="A34" s="60">
        <v>40998</v>
      </c>
      <c r="B34" s="61">
        <v>91</v>
      </c>
      <c r="E34" s="61"/>
      <c r="F34" s="62"/>
      <c r="G34" s="63"/>
      <c r="H34" s="64"/>
      <c r="I34" s="61"/>
      <c r="J34" s="65">
        <v>0</v>
      </c>
      <c r="K34" s="24"/>
      <c r="L34" s="66">
        <v>8352</v>
      </c>
      <c r="M34" s="24"/>
      <c r="N34" s="24"/>
      <c r="O34" s="66">
        <f>L34</f>
        <v>8352</v>
      </c>
      <c r="P34" s="24"/>
      <c r="Q34" s="24"/>
      <c r="R34" s="66">
        <f>L34</f>
        <v>8352</v>
      </c>
    </row>
    <row r="35" spans="1:20" s="60" customFormat="1" x14ac:dyDescent="0.2">
      <c r="A35" s="60">
        <v>66931</v>
      </c>
      <c r="B35" s="67" t="s">
        <v>86</v>
      </c>
      <c r="E35" s="61"/>
      <c r="F35" s="62"/>
      <c r="G35" s="63"/>
      <c r="H35" s="64"/>
      <c r="I35" s="61"/>
      <c r="J35" s="65">
        <v>0</v>
      </c>
      <c r="K35" s="24"/>
      <c r="L35" s="66">
        <v>4000</v>
      </c>
      <c r="M35" s="24"/>
      <c r="N35" s="24"/>
      <c r="O35" s="66">
        <f>L35</f>
        <v>4000</v>
      </c>
      <c r="P35" s="24"/>
      <c r="Q35" s="24"/>
      <c r="R35" s="66">
        <f>L35</f>
        <v>4000</v>
      </c>
    </row>
    <row r="36" spans="1:20" ht="13.5" thickBot="1" x14ac:dyDescent="0.25">
      <c r="A36">
        <v>67693</v>
      </c>
      <c r="B36" s="1">
        <v>19</v>
      </c>
      <c r="H36" s="8">
        <f>+$B$2</f>
        <v>0.4</v>
      </c>
      <c r="I36" s="1" t="s">
        <v>51</v>
      </c>
      <c r="J36" s="16">
        <f>ROUND(+G33*H36,0)</f>
        <v>4544</v>
      </c>
      <c r="K36" s="19"/>
      <c r="L36" s="16">
        <f>ROUND(+K33*H36,0)</f>
        <v>8235</v>
      </c>
      <c r="M36" s="16"/>
      <c r="N36" s="16"/>
      <c r="O36" s="18">
        <f>ROUND(+L36,0)</f>
        <v>8235</v>
      </c>
      <c r="P36" s="16"/>
      <c r="Q36" s="19"/>
      <c r="R36" s="23">
        <f>ROUND(+Q33-N33+O36,0)</f>
        <v>10914</v>
      </c>
      <c r="S36" s="10">
        <f>+R36-O36</f>
        <v>2679</v>
      </c>
      <c r="T36" t="s">
        <v>47</v>
      </c>
    </row>
    <row r="37" spans="1:20" x14ac:dyDescent="0.2">
      <c r="J37" s="10">
        <f>SUM(J33:J36)</f>
        <v>11359</v>
      </c>
      <c r="K37" s="13"/>
      <c r="L37" s="10">
        <f>SUM(L33:L36)</f>
        <v>20587</v>
      </c>
      <c r="O37" s="10">
        <f>ROUND(+L37,0)</f>
        <v>20587</v>
      </c>
      <c r="Q37" s="13"/>
      <c r="R37" s="10">
        <f>SUM(R33:R36)</f>
        <v>23266</v>
      </c>
      <c r="S37" s="10">
        <f>+R37-Q33</f>
        <v>0</v>
      </c>
      <c r="T37" t="s">
        <v>46</v>
      </c>
    </row>
    <row r="39" spans="1:20" ht="12" customHeight="1" x14ac:dyDescent="0.2">
      <c r="A39">
        <v>67693</v>
      </c>
      <c r="B39" s="1">
        <v>7</v>
      </c>
      <c r="C39" t="s">
        <v>15</v>
      </c>
      <c r="D39" t="s">
        <v>41</v>
      </c>
      <c r="E39" s="1" t="s">
        <v>26</v>
      </c>
      <c r="F39" s="48">
        <v>2405</v>
      </c>
      <c r="G39">
        <v>1891</v>
      </c>
      <c r="H39" s="8">
        <f>+$B$1</f>
        <v>0.6</v>
      </c>
      <c r="I39" s="1">
        <v>36907</v>
      </c>
      <c r="J39" s="10">
        <f>ROUND(+G39*H39,0)</f>
        <v>1135</v>
      </c>
      <c r="K39" s="22">
        <v>3678</v>
      </c>
      <c r="L39" s="14">
        <f>ROUND(+K39*H39,0)</f>
        <v>2207</v>
      </c>
      <c r="M39" s="14"/>
      <c r="N39" s="25">
        <f>ROUND(+K39,0)</f>
        <v>3678</v>
      </c>
      <c r="O39" s="14">
        <f>ROUND(+L39,0)</f>
        <v>2207</v>
      </c>
      <c r="P39" s="14"/>
      <c r="Q39" s="24">
        <v>4016</v>
      </c>
      <c r="R39" s="14">
        <f>ROUND(+O39,0)</f>
        <v>2207</v>
      </c>
    </row>
    <row r="40" spans="1:20" ht="12" customHeight="1" thickBot="1" x14ac:dyDescent="0.25">
      <c r="A40">
        <v>67693</v>
      </c>
      <c r="B40" s="1">
        <v>20</v>
      </c>
      <c r="H40" s="8">
        <f>+$B$2</f>
        <v>0.4</v>
      </c>
      <c r="I40" s="1" t="s">
        <v>51</v>
      </c>
      <c r="J40" s="16">
        <f>ROUND(+G39*H40,0)</f>
        <v>756</v>
      </c>
      <c r="K40" s="19"/>
      <c r="L40" s="16">
        <f>ROUND(+K39*H40,0)</f>
        <v>1471</v>
      </c>
      <c r="M40" s="16"/>
      <c r="N40" s="16"/>
      <c r="O40" s="18">
        <f>ROUND(+L40,0)</f>
        <v>1471</v>
      </c>
      <c r="P40" s="16"/>
      <c r="Q40" s="19"/>
      <c r="R40" s="23">
        <f>ROUND(+Q39-N39+O40,0)</f>
        <v>1809</v>
      </c>
      <c r="S40" s="10">
        <f>+R40-O40</f>
        <v>338</v>
      </c>
      <c r="T40" t="s">
        <v>47</v>
      </c>
    </row>
    <row r="41" spans="1:20" ht="12" customHeight="1" x14ac:dyDescent="0.2">
      <c r="J41" s="10">
        <f>SUM(J39:J40)</f>
        <v>1891</v>
      </c>
      <c r="K41" s="13"/>
      <c r="L41" s="10">
        <f>SUM(L39:L40)</f>
        <v>3678</v>
      </c>
      <c r="O41" s="10">
        <f>ROUND(+L41,0)</f>
        <v>3678</v>
      </c>
      <c r="Q41" s="13"/>
      <c r="R41" s="10">
        <f>SUM(R39:R40)</f>
        <v>4016</v>
      </c>
      <c r="S41" s="10">
        <f>+R41-Q39</f>
        <v>0</v>
      </c>
      <c r="T41" t="s">
        <v>46</v>
      </c>
    </row>
    <row r="42" spans="1:20" ht="12" customHeight="1" x14ac:dyDescent="0.2"/>
    <row r="43" spans="1:20" x14ac:dyDescent="0.2">
      <c r="A43">
        <v>67693</v>
      </c>
      <c r="B43" s="1">
        <v>8</v>
      </c>
      <c r="C43" t="s">
        <v>16</v>
      </c>
      <c r="D43" t="s">
        <v>42</v>
      </c>
      <c r="E43" s="1" t="s">
        <v>27</v>
      </c>
      <c r="F43" s="48">
        <v>2573</v>
      </c>
      <c r="G43">
        <v>2000</v>
      </c>
      <c r="H43" s="8">
        <f>+$B$1</f>
        <v>0.6</v>
      </c>
      <c r="I43" s="1">
        <v>36907</v>
      </c>
      <c r="J43" s="10">
        <f>ROUND(+G43*H43,0)</f>
        <v>1200</v>
      </c>
      <c r="K43" s="22">
        <v>3683</v>
      </c>
      <c r="L43" s="14">
        <f>ROUND(+K43*H43,0)</f>
        <v>2210</v>
      </c>
      <c r="M43" s="14"/>
      <c r="N43" s="25">
        <f>ROUND(+K43,0)</f>
        <v>3683</v>
      </c>
      <c r="O43" s="14">
        <f>ROUND(+L43,0)</f>
        <v>2210</v>
      </c>
      <c r="P43" s="14"/>
      <c r="Q43" s="24">
        <v>4175</v>
      </c>
      <c r="R43" s="14">
        <f>ROUND(+O43,0)</f>
        <v>2210</v>
      </c>
    </row>
    <row r="44" spans="1:20" ht="13.5" thickBot="1" x14ac:dyDescent="0.25">
      <c r="A44">
        <v>67693</v>
      </c>
      <c r="B44" s="1">
        <v>21</v>
      </c>
      <c r="H44" s="8">
        <f>+$B$2</f>
        <v>0.4</v>
      </c>
      <c r="I44" s="1" t="s">
        <v>51</v>
      </c>
      <c r="J44" s="16">
        <f>ROUND(+G43*H44,0)</f>
        <v>800</v>
      </c>
      <c r="K44" s="19"/>
      <c r="L44" s="16">
        <f>ROUND(+K43*H44,0)</f>
        <v>1473</v>
      </c>
      <c r="M44" s="16"/>
      <c r="N44" s="16"/>
      <c r="O44" s="18">
        <f>ROUND(+L44,0)</f>
        <v>1473</v>
      </c>
      <c r="P44" s="16"/>
      <c r="Q44" s="19"/>
      <c r="R44" s="23">
        <f>ROUND(+Q43-N43+O44,0)</f>
        <v>1965</v>
      </c>
      <c r="S44" s="10">
        <f>+R44-O44</f>
        <v>492</v>
      </c>
      <c r="T44" t="s">
        <v>47</v>
      </c>
    </row>
    <row r="45" spans="1:20" x14ac:dyDescent="0.2">
      <c r="J45" s="10">
        <f>SUM(J43:J44)</f>
        <v>2000</v>
      </c>
      <c r="L45" s="10">
        <f>SUM(L43:L44)</f>
        <v>3683</v>
      </c>
      <c r="O45" s="10">
        <f>ROUND(+L45,0)</f>
        <v>3683</v>
      </c>
      <c r="R45" s="10">
        <f>SUM(R43:R44)</f>
        <v>4175</v>
      </c>
      <c r="S45" s="10">
        <f>+R45-Q43</f>
        <v>0</v>
      </c>
      <c r="T45" t="s">
        <v>46</v>
      </c>
    </row>
    <row r="47" spans="1:20" x14ac:dyDescent="0.2">
      <c r="A47">
        <v>67693</v>
      </c>
      <c r="B47" s="1">
        <v>9</v>
      </c>
      <c r="C47" t="s">
        <v>17</v>
      </c>
      <c r="D47" t="s">
        <v>43</v>
      </c>
      <c r="E47" s="1" t="s">
        <v>28</v>
      </c>
      <c r="F47" s="48">
        <v>3128</v>
      </c>
      <c r="G47">
        <v>2470</v>
      </c>
      <c r="H47" s="8">
        <f>+$B$1</f>
        <v>0.6</v>
      </c>
      <c r="I47" s="1">
        <v>36907</v>
      </c>
      <c r="J47" s="54">
        <v>1358</v>
      </c>
      <c r="K47" s="22">
        <v>4565</v>
      </c>
      <c r="L47" s="14">
        <f>ROUND(+K47*H47,0)</f>
        <v>2739</v>
      </c>
      <c r="M47" s="14"/>
      <c r="N47" s="25">
        <f>ROUND(+K47,0)</f>
        <v>4565</v>
      </c>
      <c r="O47" s="14">
        <f>ROUND(+L47,0)</f>
        <v>2739</v>
      </c>
      <c r="P47" s="14"/>
      <c r="Q47" s="24">
        <v>5021</v>
      </c>
      <c r="R47" s="14">
        <f>ROUND(+O47,0)</f>
        <v>2739</v>
      </c>
    </row>
    <row r="48" spans="1:20" ht="13.5" thickBot="1" x14ac:dyDescent="0.25">
      <c r="A48">
        <v>67693</v>
      </c>
      <c r="B48" s="1">
        <v>22</v>
      </c>
      <c r="H48" s="8">
        <f>+$B$2</f>
        <v>0.4</v>
      </c>
      <c r="I48" s="1" t="s">
        <v>51</v>
      </c>
      <c r="J48" s="16">
        <f>ROUND(+G47*H48,0)</f>
        <v>988</v>
      </c>
      <c r="K48" s="19"/>
      <c r="L48" s="16">
        <f>ROUND(+K47*H48,0)</f>
        <v>1826</v>
      </c>
      <c r="M48" s="16"/>
      <c r="N48" s="16"/>
      <c r="O48" s="18">
        <f>ROUND(+L48,0)</f>
        <v>1826</v>
      </c>
      <c r="P48" s="16"/>
      <c r="Q48" s="19"/>
      <c r="R48" s="23">
        <f>ROUND(+Q47-N47+O48,0)</f>
        <v>2282</v>
      </c>
      <c r="S48" s="10">
        <f>+R48-O48</f>
        <v>456</v>
      </c>
      <c r="T48" t="s">
        <v>47</v>
      </c>
    </row>
    <row r="49" spans="1:21" x14ac:dyDescent="0.2">
      <c r="J49" s="10">
        <f>SUM(J47:J48)</f>
        <v>2346</v>
      </c>
      <c r="K49" s="13"/>
      <c r="L49" s="10">
        <f>SUM(L47:L48)</f>
        <v>4565</v>
      </c>
      <c r="O49" s="10">
        <f>ROUND(+L49,0)</f>
        <v>4565</v>
      </c>
      <c r="Q49" s="13"/>
      <c r="R49" s="10">
        <f>SUM(R47:R48)</f>
        <v>5021</v>
      </c>
      <c r="S49" s="10">
        <f>+R49-Q47</f>
        <v>0</v>
      </c>
      <c r="T49" t="s">
        <v>46</v>
      </c>
    </row>
    <row r="51" spans="1:21" s="32" customFormat="1" x14ac:dyDescent="0.2">
      <c r="A51">
        <v>67693</v>
      </c>
      <c r="B51" s="33">
        <v>12</v>
      </c>
      <c r="C51" s="32" t="s">
        <v>18</v>
      </c>
      <c r="D51" s="32" t="s">
        <v>44</v>
      </c>
      <c r="E51" s="33" t="s">
        <v>29</v>
      </c>
      <c r="F51" s="52">
        <v>1654</v>
      </c>
      <c r="G51" s="32">
        <v>1276</v>
      </c>
      <c r="H51" s="8">
        <f>+$B$1</f>
        <v>0.6</v>
      </c>
      <c r="I51" s="33">
        <v>36907</v>
      </c>
      <c r="J51" s="10">
        <f>ROUND(+G51*H51,0)</f>
        <v>766</v>
      </c>
      <c r="K51" s="22">
        <v>2268</v>
      </c>
      <c r="L51" s="36">
        <f>ROUND(+K51*H51,0)</f>
        <v>1361</v>
      </c>
      <c r="M51" s="36"/>
      <c r="N51" s="25">
        <f>ROUND(+K51,0)</f>
        <v>2268</v>
      </c>
      <c r="O51" s="36">
        <f>ROUND(+L51,0)</f>
        <v>1361</v>
      </c>
      <c r="P51" s="36"/>
      <c r="Q51" s="24">
        <v>2588</v>
      </c>
      <c r="R51" s="36">
        <f>ROUND(+O51,0)</f>
        <v>1361</v>
      </c>
    </row>
    <row r="52" spans="1:21" s="32" customFormat="1" ht="13.5" thickBot="1" x14ac:dyDescent="0.25">
      <c r="A52">
        <v>67693</v>
      </c>
      <c r="B52" s="33">
        <v>23</v>
      </c>
      <c r="E52" s="33"/>
      <c r="F52" s="52"/>
      <c r="H52" s="8">
        <f>+$B$2</f>
        <v>0.4</v>
      </c>
      <c r="I52" s="33" t="s">
        <v>52</v>
      </c>
      <c r="J52" s="37">
        <f>ROUND(+G51*H52,0)</f>
        <v>510</v>
      </c>
      <c r="K52" s="38"/>
      <c r="L52" s="37">
        <f>ROUND(+K51*H52,0)</f>
        <v>907</v>
      </c>
      <c r="M52" s="37"/>
      <c r="N52" s="37"/>
      <c r="O52" s="39">
        <f>ROUND(+L52,0)</f>
        <v>907</v>
      </c>
      <c r="P52" s="37"/>
      <c r="Q52" s="38"/>
      <c r="R52" s="23">
        <f>ROUND(+Q51-N51+O52,0)</f>
        <v>1227</v>
      </c>
      <c r="S52" s="35">
        <f>+R52-O52</f>
        <v>320</v>
      </c>
      <c r="T52" s="32" t="s">
        <v>47</v>
      </c>
    </row>
    <row r="53" spans="1:21" s="32" customFormat="1" x14ac:dyDescent="0.2">
      <c r="B53" s="33"/>
      <c r="E53" s="33"/>
      <c r="F53" s="52"/>
      <c r="H53" s="34"/>
      <c r="I53" s="33"/>
      <c r="J53" s="40">
        <f>SUM(J51:J52)</f>
        <v>1276</v>
      </c>
      <c r="K53" s="41"/>
      <c r="L53" s="40">
        <f>SUM(L51:L52)</f>
        <v>2268</v>
      </c>
      <c r="M53" s="40"/>
      <c r="N53" s="35"/>
      <c r="O53" s="35">
        <f>ROUND(+L53,0)</f>
        <v>2268</v>
      </c>
      <c r="P53" s="40"/>
      <c r="Q53" s="41"/>
      <c r="R53" s="35">
        <f>SUM(R51:R52)</f>
        <v>2588</v>
      </c>
      <c r="S53" s="35">
        <f>+R53-Q51</f>
        <v>0</v>
      </c>
      <c r="T53" s="32" t="s">
        <v>46</v>
      </c>
    </row>
    <row r="55" spans="1:21" s="32" customFormat="1" x14ac:dyDescent="0.2">
      <c r="A55">
        <v>67693</v>
      </c>
      <c r="B55" s="33">
        <v>14</v>
      </c>
      <c r="C55" s="32" t="s">
        <v>19</v>
      </c>
      <c r="D55" s="32" t="s">
        <v>45</v>
      </c>
      <c r="E55" s="33" t="s">
        <v>30</v>
      </c>
      <c r="F55" s="52">
        <v>33</v>
      </c>
      <c r="G55" s="32">
        <v>25</v>
      </c>
      <c r="H55" s="8">
        <f>+$B$1</f>
        <v>0.6</v>
      </c>
      <c r="I55" s="33">
        <v>36907</v>
      </c>
      <c r="J55" s="35">
        <f>ROUND(+G55*H55,0)</f>
        <v>15</v>
      </c>
      <c r="K55" s="22">
        <v>49</v>
      </c>
      <c r="L55" s="36">
        <f>ROUND(+K55*H55,0)</f>
        <v>29</v>
      </c>
      <c r="M55" s="36"/>
      <c r="N55" s="25">
        <f>ROUND(+K55,0)</f>
        <v>49</v>
      </c>
      <c r="O55" s="36">
        <f>ROUND(+L55,0)</f>
        <v>29</v>
      </c>
      <c r="P55" s="36"/>
      <c r="Q55" s="24">
        <v>57</v>
      </c>
      <c r="R55" s="36">
        <f>ROUND(+O55,0)</f>
        <v>29</v>
      </c>
    </row>
    <row r="56" spans="1:21" s="32" customFormat="1" ht="13.5" thickBot="1" x14ac:dyDescent="0.25">
      <c r="A56">
        <v>67693</v>
      </c>
      <c r="B56" s="33">
        <v>24</v>
      </c>
      <c r="E56" s="33"/>
      <c r="F56" s="52"/>
      <c r="H56" s="8">
        <f>+$B$2</f>
        <v>0.4</v>
      </c>
      <c r="I56" s="33" t="s">
        <v>52</v>
      </c>
      <c r="J56" s="37">
        <f>ROUND(+G55*H56,0)</f>
        <v>10</v>
      </c>
      <c r="K56" s="37"/>
      <c r="L56" s="37">
        <f>ROUND(+K55*H56,0)</f>
        <v>20</v>
      </c>
      <c r="M56" s="37"/>
      <c r="N56" s="37"/>
      <c r="O56" s="39">
        <f>ROUND(+L56,0)</f>
        <v>20</v>
      </c>
      <c r="P56" s="37"/>
      <c r="Q56" s="37"/>
      <c r="R56" s="23">
        <f>ROUND(+Q55-N55+O56,0)</f>
        <v>28</v>
      </c>
      <c r="S56" s="35">
        <f>+R56-O56</f>
        <v>8</v>
      </c>
      <c r="T56" s="32" t="s">
        <v>47</v>
      </c>
    </row>
    <row r="57" spans="1:21" s="32" customFormat="1" x14ac:dyDescent="0.2">
      <c r="B57" s="33"/>
      <c r="E57" s="33"/>
      <c r="F57" s="52"/>
      <c r="H57" s="34" t="s">
        <v>79</v>
      </c>
      <c r="I57" s="33"/>
      <c r="J57" s="35">
        <f>SUM(J55:J56)</f>
        <v>25</v>
      </c>
      <c r="K57" s="35"/>
      <c r="L57" s="35">
        <f>SUM(L55:L56)</f>
        <v>49</v>
      </c>
      <c r="M57" s="35"/>
      <c r="N57" s="35"/>
      <c r="O57" s="35">
        <f>ROUND(+L57,0)</f>
        <v>49</v>
      </c>
      <c r="P57" s="35"/>
      <c r="Q57" s="35"/>
      <c r="R57" s="35">
        <f>SUM(R55:R56)</f>
        <v>57</v>
      </c>
      <c r="S57" s="35">
        <f>+R57-Q55</f>
        <v>0</v>
      </c>
      <c r="T57" s="32" t="s">
        <v>46</v>
      </c>
    </row>
    <row r="58" spans="1:21" ht="13.5" thickBot="1" x14ac:dyDescent="0.25"/>
    <row r="59" spans="1:21" ht="13.5" thickBot="1" x14ac:dyDescent="0.25">
      <c r="E59" t="s">
        <v>32</v>
      </c>
      <c r="F59" s="50">
        <f>SUM(F6:F57)</f>
        <v>54327</v>
      </c>
      <c r="G59">
        <f>SUM(G6:G57)</f>
        <v>43625</v>
      </c>
      <c r="J59" s="28">
        <f>SUM(J8+J13+J17+J23+J27+J31+J37+J41+J45+J49+J53+J57)</f>
        <v>43501</v>
      </c>
      <c r="K59" s="10">
        <f>SUM(K6:K57)</f>
        <v>83062</v>
      </c>
      <c r="L59" s="28">
        <f>SUM(L8+L13+L17+L23+L27+L31+L37+L41+L45+L49+L53+L57)</f>
        <v>83062</v>
      </c>
      <c r="N59" s="10">
        <f>SUM(N6:N57)</f>
        <v>83062</v>
      </c>
      <c r="O59" s="28">
        <f>SUM(O8+O13+O17+O23+O27+O31+O37+O41+O45+O49+O53+O57)</f>
        <v>83062</v>
      </c>
      <c r="Q59" s="10">
        <f>SUM(Q6:Q57)</f>
        <v>90509</v>
      </c>
      <c r="R59" s="28">
        <f>SUM(R8+R13+R17+R23+R27+R31+R37+R41+R45+R49+R53+R57)</f>
        <v>90509</v>
      </c>
      <c r="S59" s="29">
        <f>S8+S13+S17+S23+S27+S31+S37+S41+S45+S49+S53+S57</f>
        <v>0</v>
      </c>
      <c r="T59" s="30" t="s">
        <v>55</v>
      </c>
      <c r="U59" s="31"/>
    </row>
    <row r="62" spans="1:21" x14ac:dyDescent="0.2">
      <c r="A62">
        <v>63281</v>
      </c>
      <c r="B62" s="1">
        <v>40</v>
      </c>
      <c r="H62" s="1">
        <v>22</v>
      </c>
      <c r="I62" t="s">
        <v>33</v>
      </c>
      <c r="J62" s="10">
        <f>SUMIF($I$6:$I$56,"22STOW",$J$6:$J$56)</f>
        <v>196</v>
      </c>
      <c r="L62" s="10">
        <f>SUMIF($I$6:$I$56,"22STOW",$L$6:$L$56)</f>
        <v>510</v>
      </c>
      <c r="O62" s="10">
        <f>SUMIF($I$6:$I$56,"22STOW",$O$6:$O$56)</f>
        <v>766</v>
      </c>
      <c r="R62" s="10">
        <f>SUMIF($I$6:$I$56,"22STOW",$R$6:$R$56)</f>
        <v>954</v>
      </c>
    </row>
    <row r="63" spans="1:21" x14ac:dyDescent="0.2">
      <c r="A63">
        <v>63281</v>
      </c>
      <c r="B63" s="1">
        <v>53</v>
      </c>
      <c r="C63" t="s">
        <v>54</v>
      </c>
      <c r="H63" s="1" t="s">
        <v>48</v>
      </c>
      <c r="I63" t="s">
        <v>33</v>
      </c>
      <c r="J63" s="10">
        <f>SUMIF($I$6:$I$56,"23nSTOW",$J$6:$J$56)</f>
        <v>3596</v>
      </c>
      <c r="L63" s="10">
        <f>SUMIF($I$6:$I$56,"23nSTOW",$L$6:$L$56)</f>
        <v>6324</v>
      </c>
      <c r="O63" s="10">
        <f>SUMIF($I$6:$I$56,"23nSTOW",$O$6:$O$56)</f>
        <v>6324</v>
      </c>
      <c r="R63" s="10">
        <f>SUMIF($I$6:$I$56,"23nSTOW",$R$6:$R$56)</f>
        <v>8097</v>
      </c>
    </row>
    <row r="64" spans="1:21" x14ac:dyDescent="0.2">
      <c r="A64">
        <v>63281</v>
      </c>
      <c r="B64" s="1">
        <v>54</v>
      </c>
      <c r="C64" t="s">
        <v>54</v>
      </c>
      <c r="H64" s="1">
        <v>23</v>
      </c>
      <c r="I64" t="s">
        <v>33</v>
      </c>
      <c r="J64" s="10">
        <f>SUMIF($I$6:$I$56,"23STOW",$J$6:$J$56)</f>
        <v>13138</v>
      </c>
      <c r="L64" s="10">
        <f>SUMIF($I$6:$I$56,"23STOW",$L$6:$L$56)</f>
        <v>25463</v>
      </c>
      <c r="O64" s="10">
        <f>SUMIF($I$6:$I$56,"23STOW",$O$6:$O$56)</f>
        <v>25463</v>
      </c>
      <c r="R64" s="10">
        <f>SUMIF($I$6:$I$56,"23STOW",$R$6:$R$56)</f>
        <v>30621</v>
      </c>
    </row>
    <row r="65" spans="1:18" x14ac:dyDescent="0.2">
      <c r="A65">
        <v>63281</v>
      </c>
      <c r="B65" s="1">
        <v>55</v>
      </c>
      <c r="C65" t="s">
        <v>54</v>
      </c>
      <c r="H65" s="1">
        <v>24</v>
      </c>
      <c r="I65" t="s">
        <v>33</v>
      </c>
      <c r="J65" s="10">
        <f>SUMIF($I$6:$I$56,"24STOW",$J$6:$J$56)</f>
        <v>520</v>
      </c>
      <c r="L65" s="10">
        <f>SUMIF($I$6:$I$56,"24STOW",$L$6:$L$56)</f>
        <v>927</v>
      </c>
      <c r="O65" s="10">
        <f>SUMIF($I$6:$I$56,"24STOW",$O$6:$O$56)</f>
        <v>927</v>
      </c>
      <c r="R65" s="10">
        <f>SUMIF($I$6:$I$56,"24STOW",$R$6:$R$56)</f>
        <v>1255</v>
      </c>
    </row>
    <row r="67" spans="1:18" x14ac:dyDescent="0.2">
      <c r="A67">
        <v>63281</v>
      </c>
      <c r="B67" s="1">
        <v>52</v>
      </c>
      <c r="D67" s="55" t="s">
        <v>80</v>
      </c>
      <c r="E67" s="56">
        <v>20070</v>
      </c>
      <c r="F67" s="50"/>
      <c r="G67" s="10">
        <f>+J67/0.97816</f>
        <v>17839.617240533247</v>
      </c>
      <c r="I67" t="s">
        <v>33</v>
      </c>
      <c r="J67" s="10">
        <f>SUM(J62:J65)</f>
        <v>17450</v>
      </c>
      <c r="K67" s="10">
        <f>+L67/0.97816</f>
        <v>33965.813363866851</v>
      </c>
      <c r="L67" s="10">
        <f>SUM(L62:L65)</f>
        <v>33224</v>
      </c>
      <c r="N67" s="10">
        <f>+O67/0.97816</f>
        <v>34227.529238570372</v>
      </c>
      <c r="O67" s="10">
        <f>SUM(O62:O65)</f>
        <v>33480</v>
      </c>
      <c r="Q67" s="10">
        <f>+R67/0.97816</f>
        <v>41840.803140590499</v>
      </c>
      <c r="R67" s="10">
        <f>SUM(R62:R65)</f>
        <v>40927</v>
      </c>
    </row>
    <row r="69" spans="1:18" x14ac:dyDescent="0.2">
      <c r="H69" s="1"/>
      <c r="I69">
        <v>63281</v>
      </c>
      <c r="J69" s="1" t="s">
        <v>72</v>
      </c>
      <c r="L69" s="42">
        <f>SUMIF($A$6:$A$56,63281,$L$6:$L$56)</f>
        <v>0</v>
      </c>
      <c r="O69" s="42">
        <f>SUMIF($A$6:$A$56,63281,$O$6:$O$56)</f>
        <v>0</v>
      </c>
      <c r="R69" s="42">
        <f>SUMIF($A$6:$A$56,63281,$R$6:$R$56)</f>
        <v>0</v>
      </c>
    </row>
    <row r="72" spans="1:18" x14ac:dyDescent="0.2">
      <c r="D72" t="s">
        <v>85</v>
      </c>
      <c r="F72">
        <v>67693</v>
      </c>
      <c r="G72" s="1" t="s">
        <v>84</v>
      </c>
      <c r="L72" s="10">
        <f>SUMIF($A$6:$A$58,"67693",$L$6:$L$58)</f>
        <v>52836</v>
      </c>
      <c r="O72" s="10">
        <f>SUMIF($A$6:$A$58,"67693",$O$6:$O$58)</f>
        <v>52836</v>
      </c>
      <c r="R72" s="10">
        <f>SUMIF($A$6:$A$58,"67693",$R$6:$R$58)</f>
        <v>60283</v>
      </c>
    </row>
    <row r="73" spans="1:18" x14ac:dyDescent="0.2">
      <c r="F73">
        <v>38021</v>
      </c>
      <c r="G73" s="1" t="s">
        <v>84</v>
      </c>
      <c r="L73" s="10">
        <f>SUMIF($A$6:$A$58,"38021",$L$6:$L$58)</f>
        <v>0</v>
      </c>
      <c r="O73" s="10">
        <f>SUMIF($A$6:$A$58,"38021",$O$6:$O$58)</f>
        <v>0</v>
      </c>
      <c r="R73" s="10">
        <f>SUMIF($A$6:$A$58,"38021",$R$6:$R$58)</f>
        <v>0</v>
      </c>
    </row>
    <row r="74" spans="1:18" x14ac:dyDescent="0.2">
      <c r="F74" s="58">
        <v>40998</v>
      </c>
      <c r="G74" t="s">
        <v>84</v>
      </c>
      <c r="L74" s="10">
        <f>SUMIF($A$6:$A$53,"40998",$L$6:$L$53)</f>
        <v>22226</v>
      </c>
      <c r="O74" s="10">
        <f>SUMIF($A$6:$A$53,"40998",$O$6:$O$53)</f>
        <v>22226</v>
      </c>
      <c r="R74" s="10">
        <f>SUMIF($A$6:$A$53,"40998",$R$6:$R$53)</f>
        <v>22226</v>
      </c>
    </row>
  </sheetData>
  <printOptions horizontalCentered="1" gridLines="1"/>
  <pageMargins left="0.28999999999999998" right="0.17" top="1" bottom="1" header="0.5" footer="0.5"/>
  <pageSetup scale="57" orientation="portrait" horizontalDpi="4294967292" r:id="rId1"/>
  <headerFooter alignWithMargins="0">
    <oddFooter xml:space="preserve">&amp;Lr:\gascontrol\tco\1099&amp;C&amp;A&amp;R&amp;D  &amp;T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Apr 1</vt:lpstr>
      <vt:lpstr>Apr 2</vt:lpstr>
      <vt:lpstr>Apr 3</vt:lpstr>
      <vt:lpstr>Apr 3 intra-day</vt:lpstr>
      <vt:lpstr>April 4</vt:lpstr>
      <vt:lpstr>April 5</vt:lpstr>
      <vt:lpstr>April 6</vt:lpstr>
      <vt:lpstr>April 7</vt:lpstr>
      <vt:lpstr>April 8</vt:lpstr>
      <vt:lpstr>April 9</vt:lpstr>
      <vt:lpstr>April  10</vt:lpstr>
      <vt:lpstr>April  11</vt:lpstr>
      <vt:lpstr>April  12</vt:lpstr>
      <vt:lpstr>April  13</vt:lpstr>
      <vt:lpstr>April 14</vt:lpstr>
      <vt:lpstr>April 15</vt:lpstr>
      <vt:lpstr>April 16</vt:lpstr>
      <vt:lpstr>April 17</vt:lpstr>
      <vt:lpstr>April 18</vt:lpstr>
      <vt:lpstr>April 19</vt:lpstr>
      <vt:lpstr>April 20</vt:lpstr>
      <vt:lpstr>April 21</vt:lpstr>
      <vt:lpstr>Apr 22</vt:lpstr>
      <vt:lpstr>Apr 23</vt:lpstr>
      <vt:lpstr>Apr 24</vt:lpstr>
      <vt:lpstr>Apr 25</vt:lpstr>
      <vt:lpstr>Apr 26</vt:lpstr>
      <vt:lpstr>Apr 27</vt:lpstr>
      <vt:lpstr>copy this one</vt:lpstr>
      <vt:lpstr>copy form-interconnects</vt:lpstr>
      <vt:lpstr>copy form-intra days</vt:lpstr>
      <vt:lpstr>Choice Flow</vt:lpstr>
      <vt:lpstr>Sheet3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2000-04-26T20:02:40Z</cp:lastPrinted>
  <dcterms:created xsi:type="dcterms:W3CDTF">1999-09-30T17:11:22Z</dcterms:created>
  <dcterms:modified xsi:type="dcterms:W3CDTF">2023-09-17T19:05:58Z</dcterms:modified>
</cp:coreProperties>
</file>