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25B44B-DCED-4B57-8329-AFA9A4C989E7}" xr6:coauthVersionLast="47" xr6:coauthVersionMax="47" xr10:uidLastSave="{00000000-0000-0000-0000-000000000000}"/>
  <bookViews>
    <workbookView xWindow="-120" yWindow="-120" windowWidth="38640" windowHeight="15720"/>
  </bookViews>
  <sheets>
    <sheet name="Mar  Setup" sheetId="1" r:id="rId1"/>
  </sheets>
  <definedNames>
    <definedName name="_xlnm.Print_Area" localSheetId="0">'Mar  Setup'!$BI$1:$HL$147</definedName>
    <definedName name="_xlnm.Print_Titles" localSheetId="0">'Mar  Setup'!$A:$BD,'Mar  Setup'!$1:$7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HL3" i="1" l="1"/>
  <c r="N8" i="1"/>
  <c r="O8" i="1"/>
  <c r="Q8" i="1"/>
  <c r="R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B8" i="1"/>
  <c r="BC8" i="1"/>
  <c r="BD8" i="1"/>
  <c r="HL8" i="1"/>
  <c r="N9" i="1"/>
  <c r="O9" i="1"/>
  <c r="Q9" i="1"/>
  <c r="R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B9" i="1"/>
  <c r="BC9" i="1"/>
  <c r="BD9" i="1"/>
  <c r="HL9" i="1"/>
  <c r="N10" i="1"/>
  <c r="O10" i="1"/>
  <c r="Q10" i="1"/>
  <c r="R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B10" i="1"/>
  <c r="BC10" i="1"/>
  <c r="BD10" i="1"/>
  <c r="HL10" i="1"/>
  <c r="N11" i="1"/>
  <c r="O11" i="1"/>
  <c r="Q11" i="1"/>
  <c r="R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B11" i="1"/>
  <c r="BC11" i="1"/>
  <c r="BD11" i="1"/>
  <c r="HL11" i="1"/>
  <c r="N12" i="1"/>
  <c r="O12" i="1"/>
  <c r="Q12" i="1"/>
  <c r="R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B12" i="1"/>
  <c r="BC12" i="1"/>
  <c r="BD12" i="1"/>
  <c r="HL12" i="1"/>
  <c r="N13" i="1"/>
  <c r="O13" i="1"/>
  <c r="Q13" i="1"/>
  <c r="R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B13" i="1"/>
  <c r="BC13" i="1"/>
  <c r="BD13" i="1"/>
  <c r="HL13" i="1"/>
  <c r="N14" i="1"/>
  <c r="O14" i="1"/>
  <c r="Q14" i="1"/>
  <c r="R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B14" i="1"/>
  <c r="BC14" i="1"/>
  <c r="BD14" i="1"/>
  <c r="HL14" i="1"/>
  <c r="N15" i="1"/>
  <c r="O15" i="1"/>
  <c r="Q15" i="1"/>
  <c r="R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B15" i="1"/>
  <c r="BC15" i="1"/>
  <c r="BD15" i="1"/>
  <c r="HL15" i="1"/>
  <c r="N16" i="1"/>
  <c r="O16" i="1"/>
  <c r="Q16" i="1"/>
  <c r="R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B16" i="1"/>
  <c r="BC16" i="1"/>
  <c r="BD16" i="1"/>
  <c r="HL16" i="1"/>
  <c r="N17" i="1"/>
  <c r="O17" i="1"/>
  <c r="Q17" i="1"/>
  <c r="R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B17" i="1"/>
  <c r="BC17" i="1"/>
  <c r="BD17" i="1"/>
  <c r="HL17" i="1"/>
  <c r="N18" i="1"/>
  <c r="O18" i="1"/>
  <c r="Q18" i="1"/>
  <c r="R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B18" i="1"/>
  <c r="BC18" i="1"/>
  <c r="BD18" i="1"/>
  <c r="HL18" i="1"/>
  <c r="N19" i="1"/>
  <c r="O19" i="1"/>
  <c r="Q19" i="1"/>
  <c r="R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B19" i="1"/>
  <c r="BC19" i="1"/>
  <c r="BD19" i="1"/>
  <c r="HL19" i="1"/>
  <c r="N20" i="1"/>
  <c r="O20" i="1"/>
  <c r="Q20" i="1"/>
  <c r="R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B20" i="1"/>
  <c r="BC20" i="1"/>
  <c r="BD20" i="1"/>
  <c r="HL20" i="1"/>
  <c r="N21" i="1"/>
  <c r="O21" i="1"/>
  <c r="Q21" i="1"/>
  <c r="R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B21" i="1"/>
  <c r="BC21" i="1"/>
  <c r="BD21" i="1"/>
  <c r="HL21" i="1"/>
  <c r="N22" i="1"/>
  <c r="O22" i="1"/>
  <c r="Q22" i="1"/>
  <c r="R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B22" i="1"/>
  <c r="BC22" i="1"/>
  <c r="BD22" i="1"/>
  <c r="HL22" i="1"/>
  <c r="N23" i="1"/>
  <c r="O23" i="1"/>
  <c r="Q23" i="1"/>
  <c r="R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B23" i="1"/>
  <c r="BC23" i="1"/>
  <c r="BD23" i="1"/>
  <c r="HL23" i="1"/>
  <c r="N24" i="1"/>
  <c r="O24" i="1"/>
  <c r="Q24" i="1"/>
  <c r="R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B24" i="1"/>
  <c r="BC24" i="1"/>
  <c r="BD24" i="1"/>
  <c r="HL24" i="1"/>
  <c r="N25" i="1"/>
  <c r="O25" i="1"/>
  <c r="Q25" i="1"/>
  <c r="R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B25" i="1"/>
  <c r="BC25" i="1"/>
  <c r="BD25" i="1"/>
  <c r="HL25" i="1"/>
  <c r="N26" i="1"/>
  <c r="O26" i="1"/>
  <c r="Q26" i="1"/>
  <c r="R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B26" i="1"/>
  <c r="BC26" i="1"/>
  <c r="BD26" i="1"/>
  <c r="HL26" i="1"/>
  <c r="N27" i="1"/>
  <c r="O27" i="1"/>
  <c r="Q27" i="1"/>
  <c r="R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B27" i="1"/>
  <c r="BC27" i="1"/>
  <c r="BD27" i="1"/>
  <c r="HL27" i="1"/>
  <c r="N28" i="1"/>
  <c r="O28" i="1"/>
  <c r="Q28" i="1"/>
  <c r="R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B28" i="1"/>
  <c r="BC28" i="1"/>
  <c r="BD28" i="1"/>
  <c r="BK28" i="1"/>
  <c r="HL28" i="1"/>
  <c r="N29" i="1"/>
  <c r="O29" i="1"/>
  <c r="Q29" i="1"/>
  <c r="R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B29" i="1"/>
  <c r="BC29" i="1"/>
  <c r="BD29" i="1"/>
  <c r="HL29" i="1"/>
  <c r="N30" i="1"/>
  <c r="O30" i="1"/>
  <c r="Q30" i="1"/>
  <c r="R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B30" i="1"/>
  <c r="BC30" i="1"/>
  <c r="BD30" i="1"/>
  <c r="HL30" i="1"/>
  <c r="N31" i="1"/>
  <c r="O31" i="1"/>
  <c r="Q31" i="1"/>
  <c r="R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B31" i="1"/>
  <c r="BC31" i="1"/>
  <c r="BD31" i="1"/>
  <c r="HL31" i="1"/>
  <c r="N32" i="1"/>
  <c r="O32" i="1"/>
  <c r="Q32" i="1"/>
  <c r="R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B32" i="1"/>
  <c r="BC32" i="1"/>
  <c r="BD32" i="1"/>
  <c r="HL32" i="1"/>
  <c r="N33" i="1"/>
  <c r="O33" i="1"/>
  <c r="Q33" i="1"/>
  <c r="R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B33" i="1"/>
  <c r="BC33" i="1"/>
  <c r="BD33" i="1"/>
  <c r="HL33" i="1"/>
  <c r="N34" i="1"/>
  <c r="O34" i="1"/>
  <c r="Q34" i="1"/>
  <c r="R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B34" i="1"/>
  <c r="BC34" i="1"/>
  <c r="BD34" i="1"/>
  <c r="HL34" i="1"/>
  <c r="N35" i="1"/>
  <c r="O35" i="1"/>
  <c r="Q35" i="1"/>
  <c r="R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B35" i="1"/>
  <c r="BC35" i="1"/>
  <c r="BD35" i="1"/>
  <c r="HL35" i="1"/>
  <c r="N36" i="1"/>
  <c r="O36" i="1"/>
  <c r="Q36" i="1"/>
  <c r="R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B36" i="1"/>
  <c r="BC36" i="1"/>
  <c r="BD36" i="1"/>
  <c r="HL36" i="1"/>
  <c r="N37" i="1"/>
  <c r="O37" i="1"/>
  <c r="Q37" i="1"/>
  <c r="R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B37" i="1"/>
  <c r="BC37" i="1"/>
  <c r="BD37" i="1"/>
  <c r="HL37" i="1"/>
  <c r="N38" i="1"/>
  <c r="O38" i="1"/>
  <c r="Q38" i="1"/>
  <c r="R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B38" i="1"/>
  <c r="BC38" i="1"/>
  <c r="BD38" i="1"/>
  <c r="HL38" i="1"/>
  <c r="N39" i="1"/>
  <c r="O39" i="1"/>
  <c r="Q39" i="1"/>
  <c r="R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B39" i="1"/>
  <c r="BC39" i="1"/>
  <c r="BD39" i="1"/>
  <c r="HL39" i="1"/>
  <c r="N40" i="1"/>
  <c r="O40" i="1"/>
  <c r="Q40" i="1"/>
  <c r="R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B40" i="1"/>
  <c r="BC40" i="1"/>
  <c r="BD40" i="1"/>
  <c r="HL40" i="1"/>
  <c r="N41" i="1"/>
  <c r="O41" i="1"/>
  <c r="Q41" i="1"/>
  <c r="R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B41" i="1"/>
  <c r="BC41" i="1"/>
  <c r="BD41" i="1"/>
  <c r="HL41" i="1"/>
  <c r="N42" i="1"/>
  <c r="O42" i="1"/>
  <c r="Q42" i="1"/>
  <c r="R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B42" i="1"/>
  <c r="BC42" i="1"/>
  <c r="BD42" i="1"/>
  <c r="HL42" i="1"/>
  <c r="N43" i="1"/>
  <c r="O43" i="1"/>
  <c r="Q43" i="1"/>
  <c r="R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B43" i="1"/>
  <c r="BC43" i="1"/>
  <c r="BD43" i="1"/>
  <c r="HL43" i="1"/>
  <c r="N44" i="1"/>
  <c r="O44" i="1"/>
  <c r="Q44" i="1"/>
  <c r="R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B44" i="1"/>
  <c r="BC44" i="1"/>
  <c r="BD44" i="1"/>
  <c r="HL44" i="1"/>
  <c r="N45" i="1"/>
  <c r="O45" i="1"/>
  <c r="Q45" i="1"/>
  <c r="R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B45" i="1"/>
  <c r="BC45" i="1"/>
  <c r="BD45" i="1"/>
  <c r="HL45" i="1"/>
  <c r="N46" i="1"/>
  <c r="O46" i="1"/>
  <c r="Q46" i="1"/>
  <c r="R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B46" i="1"/>
  <c r="BC46" i="1"/>
  <c r="BD46" i="1"/>
  <c r="HL46" i="1"/>
  <c r="N47" i="1"/>
  <c r="O47" i="1"/>
  <c r="Q47" i="1"/>
  <c r="R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B47" i="1"/>
  <c r="BC47" i="1"/>
  <c r="BD47" i="1"/>
  <c r="HL47" i="1"/>
  <c r="N48" i="1"/>
  <c r="O48" i="1"/>
  <c r="Q48" i="1"/>
  <c r="R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B48" i="1"/>
  <c r="BC48" i="1"/>
  <c r="BD48" i="1"/>
  <c r="HL48" i="1"/>
  <c r="N49" i="1"/>
  <c r="O49" i="1"/>
  <c r="Q49" i="1"/>
  <c r="R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B49" i="1"/>
  <c r="BC49" i="1"/>
  <c r="BD49" i="1"/>
  <c r="HL49" i="1"/>
  <c r="N50" i="1"/>
  <c r="O50" i="1"/>
  <c r="Q50" i="1"/>
  <c r="R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B50" i="1"/>
  <c r="BC50" i="1"/>
  <c r="BD50" i="1"/>
  <c r="HL50" i="1"/>
  <c r="N51" i="1"/>
  <c r="O51" i="1"/>
  <c r="Q51" i="1"/>
  <c r="R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B51" i="1"/>
  <c r="BC51" i="1"/>
  <c r="BD51" i="1"/>
  <c r="HL51" i="1"/>
  <c r="N52" i="1"/>
  <c r="O52" i="1"/>
  <c r="Q52" i="1"/>
  <c r="R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B52" i="1"/>
  <c r="BC52" i="1"/>
  <c r="BD52" i="1"/>
  <c r="HL52" i="1"/>
  <c r="N53" i="1"/>
  <c r="O53" i="1"/>
  <c r="Q53" i="1"/>
  <c r="R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B53" i="1"/>
  <c r="BC53" i="1"/>
  <c r="BD53" i="1"/>
  <c r="HL53" i="1"/>
  <c r="N54" i="1"/>
  <c r="O54" i="1"/>
  <c r="Q54" i="1"/>
  <c r="R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B54" i="1"/>
  <c r="BC54" i="1"/>
  <c r="BD54" i="1"/>
  <c r="HL54" i="1"/>
  <c r="N55" i="1"/>
  <c r="O55" i="1"/>
  <c r="Q55" i="1"/>
  <c r="R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B55" i="1"/>
  <c r="BC55" i="1"/>
  <c r="BD55" i="1"/>
  <c r="HL55" i="1"/>
  <c r="N56" i="1"/>
  <c r="O56" i="1"/>
  <c r="Q56" i="1"/>
  <c r="R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B56" i="1"/>
  <c r="BC56" i="1"/>
  <c r="BD56" i="1"/>
  <c r="HL56" i="1"/>
  <c r="N57" i="1"/>
  <c r="O57" i="1"/>
  <c r="Q57" i="1"/>
  <c r="R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B57" i="1"/>
  <c r="BC57" i="1"/>
  <c r="BD57" i="1"/>
  <c r="HL57" i="1"/>
  <c r="N58" i="1"/>
  <c r="O58" i="1"/>
  <c r="Q58" i="1"/>
  <c r="R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B58" i="1"/>
  <c r="BC58" i="1"/>
  <c r="BD58" i="1"/>
  <c r="HL58" i="1"/>
  <c r="N59" i="1"/>
  <c r="O59" i="1"/>
  <c r="Q59" i="1"/>
  <c r="R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B59" i="1"/>
  <c r="BC59" i="1"/>
  <c r="BD59" i="1"/>
  <c r="HL59" i="1"/>
  <c r="N60" i="1"/>
  <c r="O60" i="1"/>
  <c r="Q60" i="1"/>
  <c r="R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B60" i="1"/>
  <c r="BC60" i="1"/>
  <c r="BD60" i="1"/>
  <c r="HL60" i="1"/>
  <c r="N61" i="1"/>
  <c r="O61" i="1"/>
  <c r="Q61" i="1"/>
  <c r="R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B61" i="1"/>
  <c r="BC61" i="1"/>
  <c r="BD61" i="1"/>
  <c r="HL61" i="1"/>
  <c r="N62" i="1"/>
  <c r="O62" i="1"/>
  <c r="Q62" i="1"/>
  <c r="R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B62" i="1"/>
  <c r="BC62" i="1"/>
  <c r="BD62" i="1"/>
  <c r="HL62" i="1"/>
  <c r="N63" i="1"/>
  <c r="O63" i="1"/>
  <c r="Q63" i="1"/>
  <c r="R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B63" i="1"/>
  <c r="BC63" i="1"/>
  <c r="BD63" i="1"/>
  <c r="HL63" i="1"/>
  <c r="N64" i="1"/>
  <c r="O64" i="1"/>
  <c r="Q64" i="1"/>
  <c r="R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B64" i="1"/>
  <c r="BC64" i="1"/>
  <c r="BD64" i="1"/>
  <c r="HL64" i="1"/>
  <c r="N65" i="1"/>
  <c r="O65" i="1"/>
  <c r="Q65" i="1"/>
  <c r="R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B65" i="1"/>
  <c r="BC65" i="1"/>
  <c r="BD65" i="1"/>
  <c r="HL65" i="1"/>
  <c r="N66" i="1"/>
  <c r="O66" i="1"/>
  <c r="Q66" i="1"/>
  <c r="R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B66" i="1"/>
  <c r="BC66" i="1"/>
  <c r="BD66" i="1"/>
  <c r="HL66" i="1"/>
  <c r="N67" i="1"/>
  <c r="O67" i="1"/>
  <c r="Q67" i="1"/>
  <c r="R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B67" i="1"/>
  <c r="BC67" i="1"/>
  <c r="BD67" i="1"/>
  <c r="HL67" i="1"/>
  <c r="N68" i="1"/>
  <c r="O68" i="1"/>
  <c r="Q68" i="1"/>
  <c r="R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B68" i="1"/>
  <c r="BC68" i="1"/>
  <c r="BD68" i="1"/>
  <c r="HL68" i="1"/>
  <c r="N69" i="1"/>
  <c r="O69" i="1"/>
  <c r="Q69" i="1"/>
  <c r="R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B69" i="1"/>
  <c r="BC69" i="1"/>
  <c r="BD69" i="1"/>
  <c r="HL69" i="1"/>
  <c r="N70" i="1"/>
  <c r="O70" i="1"/>
  <c r="Q70" i="1"/>
  <c r="R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B70" i="1"/>
  <c r="BC70" i="1"/>
  <c r="BD70" i="1"/>
  <c r="HL70" i="1"/>
  <c r="N71" i="1"/>
  <c r="O71" i="1"/>
  <c r="Q71" i="1"/>
  <c r="R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B71" i="1"/>
  <c r="BC71" i="1"/>
  <c r="BD71" i="1"/>
  <c r="HL71" i="1"/>
  <c r="N72" i="1"/>
  <c r="O72" i="1"/>
  <c r="Q72" i="1"/>
  <c r="R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B72" i="1"/>
  <c r="BC72" i="1"/>
  <c r="BD72" i="1"/>
  <c r="HL72" i="1"/>
  <c r="N73" i="1"/>
  <c r="O73" i="1"/>
  <c r="Q73" i="1"/>
  <c r="R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B73" i="1"/>
  <c r="BC73" i="1"/>
  <c r="BD73" i="1"/>
  <c r="HL73" i="1"/>
  <c r="N74" i="1"/>
  <c r="O74" i="1"/>
  <c r="Q74" i="1"/>
  <c r="R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B74" i="1"/>
  <c r="BC74" i="1"/>
  <c r="BD74" i="1"/>
  <c r="HL74" i="1"/>
  <c r="N75" i="1"/>
  <c r="O75" i="1"/>
  <c r="Q75" i="1"/>
  <c r="R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B75" i="1"/>
  <c r="BC75" i="1"/>
  <c r="BD75" i="1"/>
  <c r="HL75" i="1"/>
  <c r="N76" i="1"/>
  <c r="O76" i="1"/>
  <c r="Q76" i="1"/>
  <c r="R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B76" i="1"/>
  <c r="BC76" i="1"/>
  <c r="BD76" i="1"/>
  <c r="HL76" i="1"/>
  <c r="N77" i="1"/>
  <c r="O77" i="1"/>
  <c r="Q77" i="1"/>
  <c r="R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B77" i="1"/>
  <c r="BC77" i="1"/>
  <c r="BD77" i="1"/>
  <c r="HL77" i="1"/>
  <c r="N78" i="1"/>
  <c r="O78" i="1"/>
  <c r="Q78" i="1"/>
  <c r="R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B78" i="1"/>
  <c r="BC78" i="1"/>
  <c r="BD78" i="1"/>
  <c r="HL78" i="1"/>
  <c r="N79" i="1"/>
  <c r="O79" i="1"/>
  <c r="Q79" i="1"/>
  <c r="R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B79" i="1"/>
  <c r="BC79" i="1"/>
  <c r="BD79" i="1"/>
  <c r="HL79" i="1"/>
  <c r="N80" i="1"/>
  <c r="O80" i="1"/>
  <c r="Q80" i="1"/>
  <c r="R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B80" i="1"/>
  <c r="BC80" i="1"/>
  <c r="BD80" i="1"/>
  <c r="HL80" i="1"/>
  <c r="N81" i="1"/>
  <c r="O81" i="1"/>
  <c r="Q81" i="1"/>
  <c r="R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B81" i="1"/>
  <c r="BC81" i="1"/>
  <c r="BD81" i="1"/>
  <c r="HL81" i="1"/>
  <c r="O82" i="1"/>
  <c r="Q82" i="1"/>
  <c r="R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B82" i="1"/>
  <c r="BC82" i="1"/>
  <c r="BD82" i="1"/>
  <c r="HL82" i="1"/>
  <c r="G83" i="1"/>
  <c r="N83" i="1"/>
  <c r="O83" i="1"/>
  <c r="Q83" i="1"/>
  <c r="R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B83" i="1"/>
  <c r="BC83" i="1"/>
  <c r="BD83" i="1"/>
  <c r="HL83" i="1"/>
  <c r="G84" i="1"/>
  <c r="N84" i="1"/>
  <c r="O84" i="1"/>
  <c r="Q84" i="1"/>
  <c r="R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B84" i="1"/>
  <c r="BC84" i="1"/>
  <c r="BD84" i="1"/>
  <c r="HL84" i="1"/>
  <c r="G85" i="1"/>
  <c r="N85" i="1"/>
  <c r="O85" i="1"/>
  <c r="Q85" i="1"/>
  <c r="R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B85" i="1"/>
  <c r="BC85" i="1"/>
  <c r="BD85" i="1"/>
  <c r="HL85" i="1"/>
  <c r="G86" i="1"/>
  <c r="N86" i="1"/>
  <c r="O86" i="1"/>
  <c r="Q86" i="1"/>
  <c r="R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B86" i="1"/>
  <c r="BC86" i="1"/>
  <c r="BD86" i="1"/>
  <c r="HL86" i="1"/>
  <c r="G87" i="1"/>
  <c r="N87" i="1"/>
  <c r="O87" i="1"/>
  <c r="Q87" i="1"/>
  <c r="R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B87" i="1"/>
  <c r="BC87" i="1"/>
  <c r="BD87" i="1"/>
  <c r="HL87" i="1"/>
  <c r="G88" i="1"/>
  <c r="N88" i="1"/>
  <c r="O88" i="1"/>
  <c r="Q88" i="1"/>
  <c r="R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B88" i="1"/>
  <c r="BC88" i="1"/>
  <c r="BD88" i="1"/>
  <c r="HL88" i="1"/>
  <c r="N89" i="1"/>
  <c r="O89" i="1"/>
  <c r="Q89" i="1"/>
  <c r="R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B89" i="1"/>
  <c r="BC89" i="1"/>
  <c r="BD89" i="1"/>
  <c r="HL89" i="1"/>
  <c r="N90" i="1"/>
  <c r="O90" i="1"/>
  <c r="Q90" i="1"/>
  <c r="R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B90" i="1"/>
  <c r="BC90" i="1"/>
  <c r="BD90" i="1"/>
  <c r="HL90" i="1"/>
  <c r="N91" i="1"/>
  <c r="O91" i="1"/>
  <c r="Q91" i="1"/>
  <c r="R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B91" i="1"/>
  <c r="BC91" i="1"/>
  <c r="BD91" i="1"/>
  <c r="HL91" i="1"/>
  <c r="N92" i="1"/>
  <c r="O92" i="1"/>
  <c r="Q92" i="1"/>
  <c r="R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B92" i="1"/>
  <c r="BC92" i="1"/>
  <c r="BD92" i="1"/>
  <c r="HL92" i="1"/>
  <c r="N93" i="1"/>
  <c r="O93" i="1"/>
  <c r="Q93" i="1"/>
  <c r="R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B93" i="1"/>
  <c r="BC93" i="1"/>
  <c r="BD93" i="1"/>
  <c r="HL93" i="1"/>
  <c r="N94" i="1"/>
  <c r="O94" i="1"/>
  <c r="Q94" i="1"/>
  <c r="R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B94" i="1"/>
  <c r="BC94" i="1"/>
  <c r="BD94" i="1"/>
  <c r="HL94" i="1"/>
  <c r="N95" i="1"/>
  <c r="O95" i="1"/>
  <c r="Q95" i="1"/>
  <c r="R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B95" i="1"/>
  <c r="BC95" i="1"/>
  <c r="BD95" i="1"/>
  <c r="HL95" i="1"/>
  <c r="N96" i="1"/>
  <c r="O96" i="1"/>
  <c r="Q96" i="1"/>
  <c r="R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B96" i="1"/>
  <c r="BC96" i="1"/>
  <c r="BD96" i="1"/>
  <c r="HL96" i="1"/>
  <c r="N97" i="1"/>
  <c r="O97" i="1"/>
  <c r="Q97" i="1"/>
  <c r="R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B97" i="1"/>
  <c r="BC97" i="1"/>
  <c r="BD97" i="1"/>
  <c r="HL97" i="1"/>
  <c r="N98" i="1"/>
  <c r="O98" i="1"/>
  <c r="Q98" i="1"/>
  <c r="R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B98" i="1"/>
  <c r="BC98" i="1"/>
  <c r="BD98" i="1"/>
  <c r="HL98" i="1"/>
  <c r="N99" i="1"/>
  <c r="O99" i="1"/>
  <c r="Q99" i="1"/>
  <c r="R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B99" i="1"/>
  <c r="BC99" i="1"/>
  <c r="BD99" i="1"/>
  <c r="HL99" i="1"/>
  <c r="N100" i="1"/>
  <c r="O100" i="1"/>
  <c r="Q100" i="1"/>
  <c r="R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B100" i="1"/>
  <c r="BC100" i="1"/>
  <c r="BD100" i="1"/>
  <c r="HL100" i="1"/>
  <c r="H101" i="1"/>
  <c r="N101" i="1"/>
  <c r="O101" i="1"/>
  <c r="Q101" i="1"/>
  <c r="R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B101" i="1"/>
  <c r="BC101" i="1"/>
  <c r="BD101" i="1"/>
  <c r="HL101" i="1"/>
  <c r="H102" i="1"/>
  <c r="N102" i="1"/>
  <c r="O102" i="1"/>
  <c r="Q102" i="1"/>
  <c r="R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B102" i="1"/>
  <c r="BC102" i="1"/>
  <c r="BD102" i="1"/>
  <c r="HL102" i="1"/>
  <c r="H103" i="1"/>
  <c r="N103" i="1"/>
  <c r="O103" i="1"/>
  <c r="Q103" i="1"/>
  <c r="R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B103" i="1"/>
  <c r="BC103" i="1"/>
  <c r="BD103" i="1"/>
  <c r="HL103" i="1"/>
  <c r="H104" i="1"/>
  <c r="N104" i="1"/>
  <c r="O104" i="1"/>
  <c r="Q104" i="1"/>
  <c r="R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B104" i="1"/>
  <c r="BC104" i="1"/>
  <c r="BD104" i="1"/>
  <c r="HL104" i="1"/>
  <c r="H105" i="1"/>
  <c r="N105" i="1"/>
  <c r="O105" i="1"/>
  <c r="Q105" i="1"/>
  <c r="R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B105" i="1"/>
  <c r="BC105" i="1"/>
  <c r="BD105" i="1"/>
  <c r="HL105" i="1"/>
  <c r="H106" i="1"/>
  <c r="N106" i="1"/>
  <c r="O106" i="1"/>
  <c r="Q106" i="1"/>
  <c r="R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B106" i="1"/>
  <c r="BC106" i="1"/>
  <c r="BD106" i="1"/>
  <c r="HL106" i="1"/>
  <c r="H107" i="1"/>
  <c r="N107" i="1"/>
  <c r="O107" i="1"/>
  <c r="Q107" i="1"/>
  <c r="R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B107" i="1"/>
  <c r="BC107" i="1"/>
  <c r="BD107" i="1"/>
  <c r="HL107" i="1"/>
  <c r="H108" i="1"/>
  <c r="N108" i="1"/>
  <c r="O108" i="1"/>
  <c r="Q108" i="1"/>
  <c r="R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B108" i="1"/>
  <c r="BC108" i="1"/>
  <c r="BD108" i="1"/>
  <c r="HL108" i="1"/>
  <c r="H109" i="1"/>
  <c r="N109" i="1"/>
  <c r="O109" i="1"/>
  <c r="Q109" i="1"/>
  <c r="R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B109" i="1"/>
  <c r="BC109" i="1"/>
  <c r="BD109" i="1"/>
  <c r="HL109" i="1"/>
  <c r="H110" i="1"/>
  <c r="N110" i="1"/>
  <c r="O110" i="1"/>
  <c r="Q110" i="1"/>
  <c r="R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B110" i="1"/>
  <c r="BC110" i="1"/>
  <c r="BD110" i="1"/>
  <c r="HL110" i="1"/>
  <c r="N111" i="1"/>
  <c r="O111" i="1"/>
  <c r="Q111" i="1"/>
  <c r="R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B111" i="1"/>
  <c r="BC111" i="1"/>
  <c r="BD111" i="1"/>
  <c r="HL111" i="1"/>
  <c r="N112" i="1"/>
  <c r="O112" i="1"/>
  <c r="Q112" i="1"/>
  <c r="R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B112" i="1"/>
  <c r="BC112" i="1"/>
  <c r="BD112" i="1"/>
  <c r="HL112" i="1"/>
  <c r="N113" i="1"/>
  <c r="O113" i="1"/>
  <c r="Q113" i="1"/>
  <c r="R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B113" i="1"/>
  <c r="BC113" i="1"/>
  <c r="BD113" i="1"/>
  <c r="HL113" i="1"/>
  <c r="N114" i="1"/>
  <c r="O114" i="1"/>
  <c r="Q114" i="1"/>
  <c r="R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B114" i="1"/>
  <c r="BC114" i="1"/>
  <c r="BD114" i="1"/>
  <c r="HL114" i="1"/>
  <c r="N115" i="1"/>
  <c r="O115" i="1"/>
  <c r="Q115" i="1"/>
  <c r="R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B115" i="1"/>
  <c r="BC115" i="1"/>
  <c r="BD115" i="1"/>
  <c r="HL115" i="1"/>
  <c r="N116" i="1"/>
  <c r="O116" i="1"/>
  <c r="Q116" i="1"/>
  <c r="R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B116" i="1"/>
  <c r="BC116" i="1"/>
  <c r="BD116" i="1"/>
  <c r="HL116" i="1"/>
  <c r="N117" i="1"/>
  <c r="O117" i="1"/>
  <c r="Q117" i="1"/>
  <c r="R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B117" i="1"/>
  <c r="BC117" i="1"/>
  <c r="BD117" i="1"/>
  <c r="HL117" i="1"/>
  <c r="N118" i="1"/>
  <c r="O118" i="1"/>
  <c r="Q118" i="1"/>
  <c r="R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B118" i="1"/>
  <c r="BC118" i="1"/>
  <c r="BD118" i="1"/>
  <c r="HL118" i="1"/>
  <c r="N119" i="1"/>
  <c r="O119" i="1"/>
  <c r="Q119" i="1"/>
  <c r="R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B119" i="1"/>
  <c r="BC119" i="1"/>
  <c r="BD119" i="1"/>
  <c r="HL119" i="1"/>
  <c r="N120" i="1"/>
  <c r="O120" i="1"/>
  <c r="Q120" i="1"/>
  <c r="R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B120" i="1"/>
  <c r="BC120" i="1"/>
  <c r="BD120" i="1"/>
  <c r="HL120" i="1"/>
  <c r="N121" i="1"/>
  <c r="O121" i="1"/>
  <c r="Q121" i="1"/>
  <c r="R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B121" i="1"/>
  <c r="BC121" i="1"/>
  <c r="BD121" i="1"/>
  <c r="HL121" i="1"/>
  <c r="N122" i="1"/>
  <c r="O122" i="1"/>
  <c r="Q122" i="1"/>
  <c r="R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B122" i="1"/>
  <c r="BC122" i="1"/>
  <c r="BD122" i="1"/>
  <c r="HL122" i="1"/>
  <c r="N123" i="1"/>
  <c r="O123" i="1"/>
  <c r="Q123" i="1"/>
  <c r="R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B123" i="1"/>
  <c r="BC123" i="1"/>
  <c r="BD123" i="1"/>
  <c r="HL123" i="1"/>
  <c r="N124" i="1"/>
  <c r="O124" i="1"/>
  <c r="Q124" i="1"/>
  <c r="R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B124" i="1"/>
  <c r="BC124" i="1"/>
  <c r="BD124" i="1"/>
  <c r="HL124" i="1"/>
  <c r="N125" i="1"/>
  <c r="O125" i="1"/>
  <c r="Q125" i="1"/>
  <c r="R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B125" i="1"/>
  <c r="BC125" i="1"/>
  <c r="BD125" i="1"/>
  <c r="HL125" i="1"/>
  <c r="N126" i="1"/>
  <c r="O126" i="1"/>
  <c r="Q126" i="1"/>
  <c r="R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B126" i="1"/>
  <c r="BC126" i="1"/>
  <c r="BD126" i="1"/>
  <c r="HL126" i="1"/>
  <c r="N127" i="1"/>
  <c r="O127" i="1"/>
  <c r="Q127" i="1"/>
  <c r="R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B127" i="1"/>
  <c r="BC127" i="1"/>
  <c r="BD127" i="1"/>
  <c r="HL127" i="1"/>
  <c r="N128" i="1"/>
  <c r="O128" i="1"/>
  <c r="Q128" i="1"/>
  <c r="R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B128" i="1"/>
  <c r="BC128" i="1"/>
  <c r="BD128" i="1"/>
  <c r="HL128" i="1"/>
  <c r="N129" i="1"/>
  <c r="O129" i="1"/>
  <c r="Q129" i="1"/>
  <c r="R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B129" i="1"/>
  <c r="BC129" i="1"/>
  <c r="BD129" i="1"/>
  <c r="HL129" i="1"/>
  <c r="N130" i="1"/>
  <c r="O130" i="1"/>
  <c r="Q130" i="1"/>
  <c r="R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B130" i="1"/>
  <c r="BC130" i="1"/>
  <c r="BD130" i="1"/>
  <c r="HL130" i="1"/>
  <c r="N131" i="1"/>
  <c r="O131" i="1"/>
  <c r="Q131" i="1"/>
  <c r="R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B131" i="1"/>
  <c r="BC131" i="1"/>
  <c r="BD131" i="1"/>
  <c r="HL131" i="1"/>
  <c r="N132" i="1"/>
  <c r="O132" i="1"/>
  <c r="Q132" i="1"/>
  <c r="R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B132" i="1"/>
  <c r="BC132" i="1"/>
  <c r="BD132" i="1"/>
  <c r="HL132" i="1"/>
  <c r="N133" i="1"/>
  <c r="O133" i="1"/>
  <c r="Q133" i="1"/>
  <c r="R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B133" i="1"/>
  <c r="BC133" i="1"/>
  <c r="BD133" i="1"/>
  <c r="HL133" i="1"/>
  <c r="N134" i="1"/>
  <c r="O134" i="1"/>
  <c r="Q134" i="1"/>
  <c r="R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B134" i="1"/>
  <c r="BC134" i="1"/>
  <c r="BD134" i="1"/>
  <c r="HL134" i="1"/>
  <c r="N135" i="1"/>
  <c r="O135" i="1"/>
  <c r="Q135" i="1"/>
  <c r="R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B135" i="1"/>
  <c r="BC135" i="1"/>
  <c r="BD135" i="1"/>
  <c r="HL135" i="1"/>
  <c r="N136" i="1"/>
  <c r="O136" i="1"/>
  <c r="Q136" i="1"/>
  <c r="R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B136" i="1"/>
  <c r="BC136" i="1"/>
  <c r="BD136" i="1"/>
  <c r="HL136" i="1"/>
  <c r="N137" i="1"/>
  <c r="O137" i="1"/>
  <c r="Q137" i="1"/>
  <c r="R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B137" i="1"/>
  <c r="BC137" i="1"/>
  <c r="BD137" i="1"/>
  <c r="HL137" i="1"/>
  <c r="N138" i="1"/>
  <c r="O138" i="1"/>
  <c r="Q138" i="1"/>
  <c r="R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B138" i="1"/>
  <c r="BC138" i="1"/>
  <c r="BD138" i="1"/>
  <c r="HL138" i="1"/>
  <c r="N139" i="1"/>
  <c r="O139" i="1"/>
  <c r="Q139" i="1"/>
  <c r="R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B139" i="1"/>
  <c r="BC139" i="1"/>
  <c r="BD139" i="1"/>
  <c r="HL139" i="1"/>
  <c r="N140" i="1"/>
  <c r="O140" i="1"/>
  <c r="Q140" i="1"/>
  <c r="R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B140" i="1"/>
  <c r="BC140" i="1"/>
  <c r="BD140" i="1"/>
  <c r="HL140" i="1"/>
  <c r="N142" i="1"/>
  <c r="O142" i="1"/>
  <c r="Q142" i="1"/>
  <c r="R142" i="1"/>
  <c r="BB142" i="1"/>
  <c r="BC142" i="1"/>
  <c r="BD142" i="1"/>
  <c r="HL142" i="1"/>
  <c r="N143" i="1"/>
  <c r="O143" i="1"/>
  <c r="Q143" i="1"/>
  <c r="R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B143" i="1"/>
  <c r="BC143" i="1"/>
  <c r="BD143" i="1"/>
  <c r="HL143" i="1"/>
  <c r="HM143" i="1"/>
  <c r="F144" i="1"/>
  <c r="Q145" i="1"/>
  <c r="R145" i="1"/>
  <c r="S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B145" i="1"/>
  <c r="BC145" i="1"/>
  <c r="BD145" i="1"/>
  <c r="BG145" i="1"/>
  <c r="BH145" i="1"/>
  <c r="BI145" i="1"/>
  <c r="BK145" i="1"/>
  <c r="BM145" i="1"/>
  <c r="BN145" i="1"/>
  <c r="BP145" i="1"/>
  <c r="BR145" i="1"/>
  <c r="BT145" i="1"/>
  <c r="BV145" i="1"/>
  <c r="BX145" i="1"/>
  <c r="BZ145" i="1"/>
  <c r="CB145" i="1"/>
  <c r="CD145" i="1"/>
  <c r="CF145" i="1"/>
  <c r="CH145" i="1"/>
  <c r="CJ145" i="1"/>
  <c r="CL145" i="1"/>
  <c r="CN145" i="1"/>
  <c r="CP145" i="1"/>
  <c r="CR145" i="1"/>
  <c r="CT145" i="1"/>
  <c r="CV145" i="1"/>
  <c r="CX145" i="1"/>
  <c r="CZ145" i="1"/>
  <c r="DB145" i="1"/>
  <c r="DD145" i="1"/>
  <c r="DF145" i="1"/>
  <c r="DH145" i="1"/>
  <c r="DJ145" i="1"/>
  <c r="DL145" i="1"/>
  <c r="DN145" i="1"/>
  <c r="DP145" i="1"/>
  <c r="DR145" i="1"/>
  <c r="DT145" i="1"/>
  <c r="DV145" i="1"/>
  <c r="DX145" i="1"/>
  <c r="DZ145" i="1"/>
  <c r="EB145" i="1"/>
  <c r="ED145" i="1"/>
  <c r="EF145" i="1"/>
  <c r="EH145" i="1"/>
  <c r="EJ145" i="1"/>
  <c r="EL145" i="1"/>
  <c r="EN145" i="1"/>
  <c r="EP145" i="1"/>
  <c r="ER145" i="1"/>
  <c r="ET145" i="1"/>
  <c r="EV145" i="1"/>
  <c r="EX145" i="1"/>
  <c r="EZ145" i="1"/>
  <c r="FB145" i="1"/>
  <c r="FD145" i="1"/>
  <c r="FF145" i="1"/>
  <c r="FH145" i="1"/>
  <c r="FJ145" i="1"/>
  <c r="FL145" i="1"/>
  <c r="FN145" i="1"/>
  <c r="FP145" i="1"/>
  <c r="FR145" i="1"/>
  <c r="FT145" i="1"/>
  <c r="FV145" i="1"/>
  <c r="FX145" i="1"/>
  <c r="FZ145" i="1"/>
  <c r="GB145" i="1"/>
  <c r="GD145" i="1"/>
  <c r="GF145" i="1"/>
  <c r="GH145" i="1"/>
  <c r="GJ145" i="1"/>
  <c r="GL145" i="1"/>
  <c r="GN145" i="1"/>
  <c r="GP145" i="1"/>
  <c r="GR145" i="1"/>
  <c r="GT145" i="1"/>
  <c r="GV145" i="1"/>
  <c r="GX145" i="1"/>
  <c r="GZ145" i="1"/>
  <c r="HB145" i="1"/>
  <c r="HD145" i="1"/>
  <c r="HF145" i="1"/>
  <c r="HH145" i="1"/>
  <c r="HJ145" i="1"/>
  <c r="BG146" i="1"/>
  <c r="BH146" i="1"/>
  <c r="BI146" i="1"/>
  <c r="BK146" i="1"/>
  <c r="BM146" i="1"/>
  <c r="BN146" i="1"/>
  <c r="BP146" i="1"/>
  <c r="BR146" i="1"/>
  <c r="BT146" i="1"/>
  <c r="BV146" i="1"/>
  <c r="BX146" i="1"/>
  <c r="BZ146" i="1"/>
  <c r="CB146" i="1"/>
  <c r="CD146" i="1"/>
  <c r="CF146" i="1"/>
  <c r="CH146" i="1"/>
  <c r="CJ146" i="1"/>
  <c r="CL146" i="1"/>
  <c r="CN146" i="1"/>
  <c r="CP146" i="1"/>
  <c r="CR146" i="1"/>
  <c r="CT146" i="1"/>
  <c r="CV146" i="1"/>
  <c r="CX146" i="1"/>
  <c r="CZ146" i="1"/>
  <c r="DB146" i="1"/>
  <c r="DD146" i="1"/>
  <c r="DF146" i="1"/>
  <c r="DH146" i="1"/>
  <c r="DJ146" i="1"/>
  <c r="DL146" i="1"/>
  <c r="DN146" i="1"/>
  <c r="DP146" i="1"/>
  <c r="DR146" i="1"/>
  <c r="DT146" i="1"/>
  <c r="DV146" i="1"/>
  <c r="DX146" i="1"/>
  <c r="DZ146" i="1"/>
  <c r="EB146" i="1"/>
  <c r="ED146" i="1"/>
  <c r="EF146" i="1"/>
  <c r="EH146" i="1"/>
  <c r="EJ146" i="1"/>
  <c r="EL146" i="1"/>
  <c r="EN146" i="1"/>
  <c r="EP146" i="1"/>
  <c r="ER146" i="1"/>
  <c r="ET146" i="1"/>
  <c r="EV146" i="1"/>
  <c r="EX146" i="1"/>
  <c r="EZ146" i="1"/>
  <c r="FB146" i="1"/>
  <c r="FD146" i="1"/>
  <c r="FF146" i="1"/>
  <c r="FH146" i="1"/>
  <c r="FJ146" i="1"/>
  <c r="FL146" i="1"/>
  <c r="FN146" i="1"/>
  <c r="FP146" i="1"/>
  <c r="FR146" i="1"/>
  <c r="FT146" i="1"/>
  <c r="FV146" i="1"/>
  <c r="FX146" i="1"/>
  <c r="FZ146" i="1"/>
  <c r="GB146" i="1"/>
  <c r="GD146" i="1"/>
  <c r="GF146" i="1"/>
  <c r="GH146" i="1"/>
  <c r="GJ146" i="1"/>
  <c r="GL146" i="1"/>
  <c r="GN146" i="1"/>
  <c r="GP146" i="1"/>
  <c r="GR146" i="1"/>
  <c r="GT146" i="1"/>
  <c r="GV146" i="1"/>
  <c r="GX146" i="1"/>
  <c r="GZ146" i="1"/>
  <c r="HB146" i="1"/>
  <c r="HD146" i="1"/>
  <c r="HF146" i="1"/>
  <c r="HH146" i="1"/>
  <c r="HJ146" i="1"/>
  <c r="GD147" i="1"/>
  <c r="CF148" i="1"/>
  <c r="FT148" i="1"/>
  <c r="N151" i="1"/>
  <c r="S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B151" i="1"/>
  <c r="BC151" i="1"/>
  <c r="BD151" i="1"/>
  <c r="HL151" i="1"/>
  <c r="N152" i="1"/>
  <c r="Q152" i="1"/>
  <c r="S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B152" i="1"/>
  <c r="BC152" i="1"/>
  <c r="BD152" i="1"/>
  <c r="HL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B153" i="1"/>
  <c r="BC153" i="1"/>
  <c r="BD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B154" i="1"/>
  <c r="BC154" i="1"/>
  <c r="BD154" i="1"/>
  <c r="N155" i="1"/>
  <c r="S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B155" i="1"/>
  <c r="BC155" i="1"/>
  <c r="BD155" i="1"/>
  <c r="HL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B156" i="1"/>
  <c r="BC156" i="1"/>
  <c r="BD156" i="1"/>
  <c r="S158" i="1"/>
  <c r="BD158" i="1"/>
  <c r="S159" i="1"/>
  <c r="BD159" i="1"/>
  <c r="S160" i="1"/>
  <c r="BD160" i="1"/>
  <c r="S161" i="1"/>
  <c r="BD161" i="1"/>
  <c r="S162" i="1"/>
  <c r="BD162" i="1"/>
  <c r="S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B164" i="1"/>
  <c r="BC164" i="1"/>
  <c r="BD164" i="1"/>
  <c r="HL164" i="1"/>
  <c r="S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B165" i="1"/>
  <c r="BC165" i="1"/>
  <c r="BD165" i="1"/>
  <c r="HL165" i="1"/>
  <c r="S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BB166" i="1"/>
  <c r="BC166" i="1"/>
  <c r="BD166" i="1"/>
  <c r="HL166" i="1"/>
  <c r="S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B167" i="1"/>
  <c r="BC167" i="1"/>
  <c r="BD167" i="1"/>
  <c r="HL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B168" i="1"/>
  <c r="BC168" i="1"/>
  <c r="BD168" i="1"/>
  <c r="G172" i="1"/>
  <c r="H172" i="1"/>
  <c r="I172" i="1"/>
  <c r="J172" i="1"/>
  <c r="K172" i="1"/>
  <c r="Q172" i="1"/>
  <c r="R172" i="1"/>
  <c r="G173" i="1"/>
  <c r="H173" i="1"/>
  <c r="I173" i="1"/>
  <c r="J173" i="1"/>
  <c r="K173" i="1"/>
  <c r="Q173" i="1"/>
  <c r="R173" i="1"/>
  <c r="G174" i="1"/>
  <c r="H174" i="1"/>
  <c r="I174" i="1"/>
  <c r="J174" i="1"/>
  <c r="K174" i="1"/>
  <c r="Q174" i="1"/>
  <c r="R174" i="1"/>
  <c r="G175" i="1"/>
  <c r="H175" i="1"/>
  <c r="I175" i="1"/>
  <c r="J175" i="1"/>
  <c r="K175" i="1"/>
  <c r="Q175" i="1"/>
  <c r="R175" i="1"/>
  <c r="G176" i="1"/>
  <c r="H176" i="1"/>
  <c r="I176" i="1"/>
  <c r="J176" i="1"/>
  <c r="K176" i="1"/>
  <c r="Q176" i="1"/>
  <c r="R176" i="1"/>
  <c r="G177" i="1"/>
  <c r="H177" i="1"/>
  <c r="I177" i="1"/>
  <c r="J177" i="1"/>
  <c r="K177" i="1"/>
  <c r="Q177" i="1"/>
  <c r="R177" i="1"/>
  <c r="G178" i="1"/>
  <c r="H178" i="1"/>
  <c r="I178" i="1"/>
  <c r="J178" i="1"/>
  <c r="K178" i="1"/>
  <c r="Q178" i="1"/>
  <c r="R178" i="1"/>
  <c r="G179" i="1"/>
  <c r="H179" i="1"/>
  <c r="I179" i="1"/>
  <c r="J179" i="1"/>
  <c r="K179" i="1"/>
  <c r="Q179" i="1"/>
  <c r="R179" i="1"/>
  <c r="G180" i="1"/>
  <c r="H180" i="1"/>
  <c r="I180" i="1"/>
  <c r="J180" i="1"/>
  <c r="K180" i="1"/>
  <c r="Q180" i="1"/>
  <c r="R180" i="1"/>
  <c r="G181" i="1"/>
  <c r="H181" i="1"/>
  <c r="I181" i="1"/>
  <c r="J181" i="1"/>
  <c r="K181" i="1"/>
  <c r="Q181" i="1"/>
  <c r="R181" i="1"/>
  <c r="G182" i="1"/>
  <c r="H182" i="1"/>
  <c r="I182" i="1"/>
  <c r="J182" i="1"/>
  <c r="K182" i="1"/>
  <c r="Q182" i="1"/>
  <c r="R182" i="1"/>
  <c r="G183" i="1"/>
  <c r="H183" i="1"/>
  <c r="I183" i="1"/>
  <c r="J183" i="1"/>
  <c r="K183" i="1"/>
  <c r="G184" i="1"/>
  <c r="H184" i="1"/>
  <c r="I184" i="1"/>
  <c r="J184" i="1"/>
  <c r="K184" i="1"/>
  <c r="Q184" i="1"/>
  <c r="R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R188" i="1"/>
  <c r="S188" i="1"/>
  <c r="G189" i="1"/>
  <c r="H189" i="1"/>
  <c r="I189" i="1"/>
  <c r="J189" i="1"/>
  <c r="K189" i="1"/>
  <c r="R189" i="1"/>
  <c r="S189" i="1"/>
  <c r="G190" i="1"/>
  <c r="H190" i="1"/>
  <c r="I190" i="1"/>
  <c r="J190" i="1"/>
  <c r="K190" i="1"/>
  <c r="R190" i="1"/>
  <c r="S190" i="1"/>
  <c r="G191" i="1"/>
  <c r="H191" i="1"/>
  <c r="I191" i="1"/>
  <c r="J191" i="1"/>
  <c r="K191" i="1"/>
  <c r="R191" i="1"/>
  <c r="S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R195" i="1"/>
  <c r="S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1" i="1"/>
  <c r="H211" i="1"/>
  <c r="I211" i="1"/>
  <c r="J211" i="1"/>
  <c r="K211" i="1"/>
  <c r="J214" i="1"/>
  <c r="G216" i="1"/>
  <c r="H216" i="1"/>
  <c r="I216" i="1"/>
  <c r="J216" i="1"/>
  <c r="K216" i="1"/>
  <c r="G218" i="1"/>
  <c r="H218" i="1"/>
  <c r="J218" i="1"/>
</calcChain>
</file>

<file path=xl/sharedStrings.xml><?xml version="1.0" encoding="utf-8"?>
<sst xmlns="http://schemas.openxmlformats.org/spreadsheetml/2006/main" count="1701" uniqueCount="432">
  <si>
    <t>Red - need to check</t>
  </si>
  <si>
    <t>Receipt</t>
  </si>
  <si>
    <t>Lebanon</t>
  </si>
  <si>
    <t>SST</t>
  </si>
  <si>
    <t>B9-Ten BR</t>
  </si>
  <si>
    <t>Tol Ag (A3,F4,XR)</t>
  </si>
  <si>
    <t>1000-App</t>
  </si>
  <si>
    <t>801-Leach</t>
  </si>
  <si>
    <t>A06-Mc Ag</t>
  </si>
  <si>
    <t>STOW</t>
  </si>
  <si>
    <t>A05-Del Ag</t>
  </si>
  <si>
    <t>B9-Broadrun</t>
  </si>
  <si>
    <t>801/A05/A06</t>
  </si>
  <si>
    <t>F1-ANR Paul</t>
  </si>
  <si>
    <t>C16-Delmont</t>
  </si>
  <si>
    <t>Blue - oper area 1</t>
  </si>
  <si>
    <t>Delivery</t>
  </si>
  <si>
    <t>COH-7</t>
  </si>
  <si>
    <t>23N-COH5-7</t>
  </si>
  <si>
    <t>23N-coh 5</t>
  </si>
  <si>
    <t>23-coh 7</t>
  </si>
  <si>
    <t>19-cmd 8</t>
  </si>
  <si>
    <t>25-cpa 8</t>
  </si>
  <si>
    <t>46-cgv 10</t>
  </si>
  <si>
    <t>19E-cmd 4</t>
  </si>
  <si>
    <t>22-coh 3</t>
  </si>
  <si>
    <t>24-coh 8</t>
  </si>
  <si>
    <t>25-CPA8</t>
  </si>
  <si>
    <t>CGV-10</t>
  </si>
  <si>
    <t>46-CGV-10</t>
  </si>
  <si>
    <t>19-CMD-8</t>
  </si>
  <si>
    <t>833469-Calp</t>
  </si>
  <si>
    <t>46-CGV 10</t>
  </si>
  <si>
    <t>19e-cmd 4</t>
  </si>
  <si>
    <t>19E-CMD-4</t>
  </si>
  <si>
    <t>24-COH-8</t>
  </si>
  <si>
    <t>25-CPA-8</t>
  </si>
  <si>
    <t>25E-CPA-4</t>
  </si>
  <si>
    <t>56W-PFG-8</t>
  </si>
  <si>
    <t>56-PFG-4</t>
  </si>
  <si>
    <t>4-BGE-10</t>
  </si>
  <si>
    <t>91A-w dept -4</t>
  </si>
  <si>
    <t>21-NYSEG-2</t>
  </si>
  <si>
    <t>23n-coh 5</t>
  </si>
  <si>
    <t>54-O&amp;R-4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</si>
  <si>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</si>
  <si>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</si>
  <si>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</si>
  <si>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</si>
  <si>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</si>
  <si>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</si>
  <si>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</si>
  <si>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</si>
  <si>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</si>
  <si>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</si>
  <si>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</si>
  <si>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Va Power</t>
  </si>
  <si>
    <t>CES</t>
  </si>
  <si>
    <t>TIMET</t>
  </si>
  <si>
    <t xml:space="preserve">Sort for </t>
  </si>
  <si>
    <t>Sort for</t>
  </si>
  <si>
    <t>AVG</t>
  </si>
  <si>
    <t>Source</t>
  </si>
  <si>
    <t>ANR - Leb</t>
  </si>
  <si>
    <t>k#23606</t>
  </si>
  <si>
    <t>A3 - MAUMEE</t>
  </si>
  <si>
    <t>Coral</t>
  </si>
  <si>
    <t>F4-Monclova</t>
  </si>
  <si>
    <t>Retail/</t>
  </si>
  <si>
    <t>Base/</t>
  </si>
  <si>
    <t>Mkt-7</t>
  </si>
  <si>
    <t>Mkt -7</t>
  </si>
  <si>
    <t>Mkt -4</t>
  </si>
  <si>
    <t>Mkt-4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</si>
  <si>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</si>
  <si>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</si>
  <si>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</si>
  <si>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</si>
  <si>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</si>
  <si>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</si>
  <si>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</si>
  <si>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</si>
  <si>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</si>
  <si>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</si>
  <si>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</si>
  <si>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</si>
  <si>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</si>
  <si>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</si>
  <si>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</si>
  <si>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</si>
  <si>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</si>
  <si>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</si>
  <si>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 - 35</t>
  </si>
  <si>
    <t>Mkt -38</t>
  </si>
  <si>
    <t>Mkt -39</t>
  </si>
  <si>
    <t>Mkt -25</t>
  </si>
  <si>
    <t>Mkt -29</t>
  </si>
  <si>
    <t>Mkt -8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</si>
  <si>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</si>
  <si>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</si>
  <si>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</si>
  <si>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</si>
  <si>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</si>
  <si>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</si>
  <si>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</si>
  <si>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</si>
  <si>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</si>
  <si>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</si>
  <si>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</si>
  <si>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</si>
  <si>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</si>
  <si>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</si>
  <si>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 xml:space="preserve">CES 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</si>
  <si>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</si>
  <si>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</si>
  <si>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</si>
  <si>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</si>
  <si>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</si>
  <si>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</si>
  <si>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</si>
  <si>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</si>
  <si>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</si>
  <si>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Jodi</t>
  </si>
  <si>
    <t>Base</t>
  </si>
  <si>
    <t>R</t>
  </si>
  <si>
    <t>no</t>
  </si>
  <si>
    <t>S11</t>
  </si>
  <si>
    <t>CES Endusers</t>
  </si>
  <si>
    <t>S22</t>
  </si>
  <si>
    <t>RICH</t>
  </si>
  <si>
    <t>30RV</t>
  </si>
  <si>
    <t>Nancy</t>
  </si>
  <si>
    <t>yes</t>
  </si>
  <si>
    <t>S23</t>
  </si>
  <si>
    <t>GELP</t>
  </si>
  <si>
    <t>Ron</t>
  </si>
  <si>
    <t>W</t>
  </si>
  <si>
    <t>CALP</t>
  </si>
  <si>
    <t>Hopewell</t>
  </si>
  <si>
    <t>S12</t>
  </si>
  <si>
    <t>NYSEG</t>
  </si>
  <si>
    <t>S127</t>
  </si>
  <si>
    <t>COH-3</t>
  </si>
  <si>
    <t>Kara</t>
  </si>
  <si>
    <t>S58</t>
  </si>
  <si>
    <t>S6</t>
  </si>
  <si>
    <t xml:space="preserve">Choice </t>
  </si>
  <si>
    <t>S7</t>
  </si>
  <si>
    <t>COH 3</t>
  </si>
  <si>
    <t>SJ Resources</t>
  </si>
  <si>
    <t>CKY-3</t>
  </si>
  <si>
    <t>Heidi</t>
  </si>
  <si>
    <t>S59</t>
  </si>
  <si>
    <t>S8</t>
  </si>
  <si>
    <t>MGC-3</t>
  </si>
  <si>
    <t>A03 Endusers</t>
  </si>
  <si>
    <t>Diane</t>
  </si>
  <si>
    <t>S61</t>
  </si>
  <si>
    <t>S24</t>
  </si>
  <si>
    <t>NON-WV Production</t>
  </si>
  <si>
    <t>A03 Endusers Swing</t>
  </si>
  <si>
    <t>S56</t>
  </si>
  <si>
    <t>S26</t>
  </si>
  <si>
    <t>S27</t>
  </si>
  <si>
    <t>CPA 4</t>
  </si>
  <si>
    <t>25E</t>
  </si>
  <si>
    <t>Choice</t>
  </si>
  <si>
    <t>S4</t>
  </si>
  <si>
    <t>S1</t>
  </si>
  <si>
    <t>S163</t>
  </si>
  <si>
    <t>S2</t>
  </si>
  <si>
    <t>Osram Sylvania</t>
  </si>
  <si>
    <t>k#38934</t>
  </si>
  <si>
    <t>Black Hills</t>
  </si>
  <si>
    <t>Eric</t>
  </si>
  <si>
    <t>S9</t>
  </si>
  <si>
    <t>CMD 4</t>
  </si>
  <si>
    <t>19E</t>
  </si>
  <si>
    <t>Donna</t>
  </si>
  <si>
    <t>S14</t>
  </si>
  <si>
    <t>S5</t>
  </si>
  <si>
    <t>S3</t>
  </si>
  <si>
    <t>Penn Fuel</t>
  </si>
  <si>
    <t>FP&amp;L</t>
  </si>
  <si>
    <t>Duke</t>
  </si>
  <si>
    <t>Spot</t>
  </si>
  <si>
    <t>Delmarva</t>
  </si>
  <si>
    <t>O&amp;R</t>
  </si>
  <si>
    <t>ESNG</t>
  </si>
  <si>
    <t>Kim</t>
  </si>
  <si>
    <t>COH 5</t>
  </si>
  <si>
    <t>23N</t>
  </si>
  <si>
    <t>S28</t>
  </si>
  <si>
    <t>Midamerican</t>
  </si>
  <si>
    <t>John</t>
  </si>
  <si>
    <t>NEO</t>
  </si>
  <si>
    <t>CKY 6</t>
  </si>
  <si>
    <t>Boonville Gas</t>
  </si>
  <si>
    <t>ULHP</t>
  </si>
  <si>
    <t>COH 7</t>
  </si>
  <si>
    <t>Swing</t>
  </si>
  <si>
    <t>S21</t>
  </si>
  <si>
    <t>Noel</t>
  </si>
  <si>
    <t>Engage</t>
  </si>
  <si>
    <t>S10</t>
  </si>
  <si>
    <t>S117</t>
  </si>
  <si>
    <t>S120</t>
  </si>
  <si>
    <t>S122</t>
  </si>
  <si>
    <t>S123</t>
  </si>
  <si>
    <t>S124</t>
  </si>
  <si>
    <t>S125</t>
  </si>
  <si>
    <t>NIPSCO</t>
  </si>
  <si>
    <t>ANCHOR HOC</t>
  </si>
  <si>
    <t>WOG</t>
  </si>
  <si>
    <t>S16</t>
  </si>
  <si>
    <t>Suburban</t>
  </si>
  <si>
    <t>Orwell</t>
  </si>
  <si>
    <t>Lakeside</t>
  </si>
  <si>
    <t>Blacksville</t>
  </si>
  <si>
    <t>Murphy</t>
  </si>
  <si>
    <t>COH 8</t>
  </si>
  <si>
    <t>CPA 8</t>
  </si>
  <si>
    <t>Don</t>
  </si>
  <si>
    <t>S130</t>
  </si>
  <si>
    <t>S54</t>
  </si>
  <si>
    <t>Ashland</t>
  </si>
  <si>
    <t>Blackhills</t>
  </si>
  <si>
    <t>Texaco</t>
  </si>
  <si>
    <t>CMD 8</t>
  </si>
  <si>
    <t>S13</t>
  </si>
  <si>
    <t>MGC-8</t>
  </si>
  <si>
    <t>56W</t>
  </si>
  <si>
    <t>Phil</t>
  </si>
  <si>
    <t>BG&amp;E</t>
  </si>
  <si>
    <t>Commercial - Choice</t>
  </si>
  <si>
    <t>Residential - Choice</t>
  </si>
  <si>
    <t>WGES</t>
  </si>
  <si>
    <t>Novec</t>
  </si>
  <si>
    <t>AMG</t>
  </si>
  <si>
    <t>Covepoint</t>
  </si>
  <si>
    <t>loudoun</t>
  </si>
  <si>
    <t>CES Storage</t>
  </si>
  <si>
    <t>John H.</t>
  </si>
  <si>
    <t>S59/60</t>
  </si>
  <si>
    <t>S1/2</t>
  </si>
  <si>
    <t>RGC</t>
  </si>
  <si>
    <t>WGL</t>
  </si>
  <si>
    <t>S67</t>
  </si>
  <si>
    <t>S52/53</t>
  </si>
  <si>
    <t>S86</t>
  </si>
  <si>
    <t>Providence Hosp.</t>
  </si>
  <si>
    <t>S87</t>
  </si>
  <si>
    <t>STOI</t>
  </si>
  <si>
    <t>ST</t>
  </si>
  <si>
    <t>Storage</t>
  </si>
  <si>
    <t>Beth Gas</t>
  </si>
  <si>
    <t>S54/55</t>
  </si>
  <si>
    <t>S40/43</t>
  </si>
  <si>
    <t>S50/51</t>
  </si>
  <si>
    <t>S18</t>
  </si>
  <si>
    <t>S9/73</t>
  </si>
  <si>
    <t>S63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</si>
  <si>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</si>
  <si>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</si>
  <si>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</si>
  <si>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</si>
  <si>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</si>
  <si>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</si>
  <si>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</si>
  <si>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</si>
  <si>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</si>
  <si>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</si>
  <si>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</si>
  <si>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</si>
  <si>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</si>
  <si>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</si>
  <si>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</si>
  <si>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</si>
  <si>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</si>
  <si>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</si>
  <si>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</si>
  <si>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</si>
  <si>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</si>
  <si>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</si>
  <si>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</si>
  <si>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</si>
  <si>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</si>
  <si>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</si>
  <si>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</si>
  <si>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</si>
  <si>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</si>
  <si>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</si>
  <si>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</si>
  <si>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</si>
  <si>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</si>
  <si>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</si>
  <si>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</si>
  <si>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</si>
  <si>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</si>
  <si>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</si>
  <si>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</si>
  <si>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</si>
  <si>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</si>
  <si>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</si>
  <si>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</si>
  <si>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CES Tran</t>
  </si>
  <si>
    <t>HOPEWELL</t>
  </si>
  <si>
    <t>CPA-4</t>
  </si>
  <si>
    <t>CMD-4</t>
  </si>
  <si>
    <t>PENN FUEL</t>
  </si>
  <si>
    <t>DELMARVA</t>
  </si>
  <si>
    <t>COH-5</t>
  </si>
  <si>
    <t>CKY-6</t>
  </si>
  <si>
    <t>Del</t>
  </si>
  <si>
    <t>Gross Up</t>
  </si>
  <si>
    <t>Not reflected in #'s</t>
  </si>
  <si>
    <t>Anchor Hoc</t>
  </si>
  <si>
    <t>2) Dayton Swap est. 0 (any gate)</t>
  </si>
  <si>
    <t>Agg</t>
  </si>
  <si>
    <t>SURBURBAN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</si>
  <si>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</si>
  <si>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</si>
  <si>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</si>
  <si>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</si>
  <si>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</si>
  <si>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</si>
  <si>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</si>
  <si>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</si>
  <si>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</si>
  <si>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</si>
  <si>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</si>
  <si>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Marianne</t>
  </si>
  <si>
    <t>Brian</t>
  </si>
  <si>
    <t>A03 TCO Headquarter</t>
  </si>
  <si>
    <t>Scott</t>
  </si>
  <si>
    <t>TCO</t>
  </si>
  <si>
    <t>Mkt -2</t>
  </si>
  <si>
    <t>S82</t>
  </si>
  <si>
    <t>S83</t>
  </si>
  <si>
    <t>S84/85</t>
  </si>
  <si>
    <t>S182</t>
  </si>
  <si>
    <t>S68</t>
  </si>
  <si>
    <t>S215</t>
  </si>
  <si>
    <t>S216</t>
  </si>
  <si>
    <t>S53</t>
  </si>
  <si>
    <t>S15</t>
  </si>
  <si>
    <t>Firm Gas</t>
  </si>
  <si>
    <t>Interruptible</t>
  </si>
  <si>
    <t>FIRM</t>
  </si>
  <si>
    <t>FIRM- another Mktr's Choice</t>
  </si>
  <si>
    <t>Does not include 6900 for Unioncamp</t>
  </si>
  <si>
    <t>BLACKSVILLE</t>
  </si>
  <si>
    <t>Mkt - 36</t>
  </si>
  <si>
    <t>NYSEG-2</t>
  </si>
  <si>
    <t>NYSEG-8</t>
  </si>
  <si>
    <t>23w</t>
  </si>
  <si>
    <t>Timet</t>
  </si>
  <si>
    <t>Mkt-25</t>
  </si>
  <si>
    <t>Mkt - 20</t>
  </si>
  <si>
    <t>k# 38992/21</t>
  </si>
  <si>
    <t>Mkt - 25</t>
  </si>
  <si>
    <t xml:space="preserve">1) interconnect est. </t>
  </si>
  <si>
    <t>3) CDC swap = 0</t>
  </si>
  <si>
    <t>37962/18</t>
  </si>
  <si>
    <t>S93</t>
  </si>
  <si>
    <t>S196</t>
  </si>
  <si>
    <t>S71</t>
  </si>
  <si>
    <t>S70</t>
  </si>
  <si>
    <t>S65</t>
  </si>
  <si>
    <t>S66</t>
  </si>
  <si>
    <t>S258</t>
  </si>
  <si>
    <t>S270</t>
  </si>
  <si>
    <t>S271</t>
  </si>
  <si>
    <t>S259</t>
  </si>
  <si>
    <t>S266</t>
  </si>
  <si>
    <t>S260</t>
  </si>
  <si>
    <t>S256</t>
  </si>
  <si>
    <t>S261</t>
  </si>
  <si>
    <t>S267</t>
  </si>
  <si>
    <t>S262</t>
  </si>
  <si>
    <t>S263</t>
  </si>
  <si>
    <t>S264</t>
  </si>
  <si>
    <t>S272</t>
  </si>
  <si>
    <t>S257</t>
  </si>
  <si>
    <t>S273</t>
  </si>
  <si>
    <t>S274</t>
  </si>
  <si>
    <t>S275</t>
  </si>
  <si>
    <t>S276</t>
  </si>
  <si>
    <t>S277</t>
  </si>
  <si>
    <t>S279</t>
  </si>
  <si>
    <t>S269</t>
  </si>
  <si>
    <t>S268</t>
  </si>
  <si>
    <t>S74</t>
  </si>
  <si>
    <t>S75</t>
  </si>
  <si>
    <t>S76</t>
  </si>
  <si>
    <t>S80</t>
  </si>
  <si>
    <t>S79</t>
  </si>
  <si>
    <t>S77</t>
  </si>
  <si>
    <t>S81</t>
  </si>
  <si>
    <t>S78</t>
  </si>
  <si>
    <t>S19</t>
  </si>
  <si>
    <t>S17</t>
  </si>
  <si>
    <t>S20</t>
  </si>
  <si>
    <t>S25</t>
  </si>
  <si>
    <t>S29</t>
  </si>
  <si>
    <t>S33</t>
  </si>
  <si>
    <t>Met Ed-21</t>
  </si>
  <si>
    <t>S30</t>
  </si>
  <si>
    <t>S32</t>
  </si>
  <si>
    <t>S31</t>
  </si>
  <si>
    <t>S217</t>
  </si>
  <si>
    <t>S218</t>
  </si>
  <si>
    <t>S137</t>
  </si>
  <si>
    <t>S138</t>
  </si>
  <si>
    <t>S129</t>
  </si>
  <si>
    <t>S131</t>
  </si>
  <si>
    <t>S132</t>
  </si>
  <si>
    <t>S133</t>
  </si>
  <si>
    <t>S134</t>
  </si>
  <si>
    <t>S136</t>
  </si>
  <si>
    <t>S135</t>
  </si>
  <si>
    <t>S128</t>
  </si>
  <si>
    <t>S284</t>
  </si>
  <si>
    <t>S223</t>
  </si>
  <si>
    <t>S224</t>
  </si>
  <si>
    <t>S219/220</t>
  </si>
  <si>
    <t>S222</t>
  </si>
  <si>
    <t>S285</t>
  </si>
  <si>
    <t>S139</t>
  </si>
  <si>
    <t>S286</t>
  </si>
  <si>
    <t>39999/A03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</si>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</sst>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"/>
    <numFmt numFmtId="166" formatCode="0.0"/>
  </numFmts>
  <fonts count="35">
    <font>
      <sz val="10"/>
      <name val="Arial"/>
    </font>
    <font>
      <sz val="11"/>
      <color indexed="10"/>
      <name val="CG Times"/>
      <family val="1"/>
    </font>
    <font>
      <b/>
      <sz val="12"/>
      <color indexed="10"/>
      <name val="CG Times"/>
      <family val="1"/>
    </font>
    <font>
      <b/>
      <sz val="11"/>
      <color indexed="20"/>
      <name val="CG Times"/>
      <family val="1"/>
    </font>
    <font>
      <b/>
      <sz val="12"/>
      <color indexed="20"/>
      <name val="CG Times"/>
      <family val="1"/>
    </font>
    <font>
      <sz val="11"/>
      <color indexed="12"/>
      <name val="CG Times"/>
      <family val="1"/>
    </font>
    <font>
      <sz val="11"/>
      <color indexed="14"/>
      <name val="CG Times"/>
      <family val="1"/>
    </font>
    <font>
      <b/>
      <sz val="12"/>
      <name val="CG Times"/>
      <family val="1"/>
    </font>
    <font>
      <sz val="12"/>
      <name val="CG Times"/>
      <family val="1"/>
    </font>
    <font>
      <sz val="11"/>
      <color indexed="17"/>
      <name val="CG Times"/>
      <family val="1"/>
    </font>
    <font>
      <b/>
      <sz val="12"/>
      <color indexed="17"/>
      <name val="CG Times"/>
      <family val="1"/>
    </font>
    <font>
      <b/>
      <sz val="13"/>
      <name val="CG Times"/>
      <family val="1"/>
    </font>
    <font>
      <b/>
      <sz val="12"/>
      <color indexed="12"/>
      <name val="CG Times"/>
      <family val="1"/>
    </font>
    <font>
      <sz val="12"/>
      <color indexed="12"/>
      <name val="CG Times"/>
      <family val="1"/>
    </font>
    <font>
      <b/>
      <sz val="13"/>
      <color indexed="12"/>
      <name val="CG Times"/>
      <family val="1"/>
    </font>
    <font>
      <sz val="12"/>
      <color indexed="8"/>
      <name val="CG Times"/>
      <family val="1"/>
    </font>
    <font>
      <b/>
      <sz val="12"/>
      <color indexed="8"/>
      <name val="CG Times"/>
      <family val="1"/>
    </font>
    <font>
      <b/>
      <sz val="13"/>
      <color indexed="8"/>
      <name val="CG Times"/>
      <family val="1"/>
    </font>
    <font>
      <sz val="12"/>
      <color indexed="14"/>
      <name val="CG Times"/>
      <family val="1"/>
    </font>
    <font>
      <b/>
      <sz val="12"/>
      <color indexed="14"/>
      <name val="CG Times"/>
      <family val="1"/>
    </font>
    <font>
      <sz val="11"/>
      <name val="CG Times"/>
      <family val="1"/>
    </font>
    <font>
      <sz val="12"/>
      <color indexed="10"/>
      <name val="CG Times"/>
      <family val="1"/>
    </font>
    <font>
      <sz val="12"/>
      <color indexed="17"/>
      <name val="CG Times"/>
      <family val="1"/>
    </font>
    <font>
      <b/>
      <sz val="13"/>
      <color indexed="17"/>
      <name val="CG Times"/>
      <family val="1"/>
    </font>
    <font>
      <b/>
      <u/>
      <sz val="12"/>
      <name val="CG Times"/>
      <family val="1"/>
    </font>
    <font>
      <i/>
      <sz val="12"/>
      <color indexed="10"/>
      <name val="CG Times"/>
      <family val="1"/>
    </font>
    <font>
      <b/>
      <i/>
      <u/>
      <sz val="12"/>
      <name val="CG Times"/>
      <family val="1"/>
    </font>
    <font>
      <sz val="10"/>
      <name val="CG Times"/>
      <family val="1"/>
    </font>
    <font>
      <b/>
      <sz val="10"/>
      <name val="CG Times"/>
      <family val="1"/>
    </font>
    <font>
      <sz val="12"/>
      <color indexed="12"/>
      <name val="CG Times"/>
    </font>
    <font>
      <i/>
      <sz val="12"/>
      <color indexed="12"/>
      <name val="CG Times"/>
      <family val="1"/>
    </font>
    <font>
      <b/>
      <sz val="14"/>
      <name val="Britannic Bold"/>
      <family val="2"/>
    </font>
    <font>
      <sz val="12"/>
      <color indexed="59"/>
      <name val="CG Times"/>
      <family val="1"/>
    </font>
    <font>
      <b/>
      <sz val="12"/>
      <color indexed="59"/>
      <name val="CG Times"/>
      <family val="1"/>
    </font>
    <font>
      <b/>
      <sz val="12"/>
      <color indexed="54"/>
      <name val="CG Times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7" fillId="0" borderId="0" xfId="0" applyNumberFormat="1" applyFont="1" applyAlignment="1">
      <alignment horizontal="right"/>
    </xf>
    <xf numFmtId="0" fontId="7" fillId="0" borderId="1" xfId="0" applyNumberFormat="1" applyFont="1" applyFill="1" applyBorder="1" applyAlignment="1">
      <alignment horizontal="right"/>
    </xf>
    <xf numFmtId="3" fontId="7" fillId="0" borderId="0" xfId="0" applyNumberFormat="1" applyFont="1" applyAlignment="1">
      <alignment horizontal="center"/>
    </xf>
    <xf numFmtId="0" fontId="3" fillId="2" borderId="0" xfId="0" applyFont="1" applyFill="1"/>
    <xf numFmtId="49" fontId="7" fillId="0" borderId="0" xfId="0" applyNumberFormat="1" applyFont="1"/>
    <xf numFmtId="0" fontId="4" fillId="0" borderId="0" xfId="0" applyFont="1"/>
    <xf numFmtId="0" fontId="7" fillId="0" borderId="0" xfId="0" applyFont="1" applyFill="1"/>
    <xf numFmtId="3" fontId="8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3" fontId="7" fillId="0" borderId="2" xfId="0" applyNumberFormat="1" applyFont="1" applyBorder="1"/>
    <xf numFmtId="0" fontId="7" fillId="0" borderId="0" xfId="0" applyFont="1" applyAlignment="1">
      <alignment horizontal="center"/>
    </xf>
    <xf numFmtId="0" fontId="7" fillId="0" borderId="2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11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49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3" fontId="12" fillId="0" borderId="2" xfId="0" applyNumberFormat="1" applyFont="1" applyBorder="1"/>
    <xf numFmtId="0" fontId="12" fillId="0" borderId="2" xfId="0" applyNumberFormat="1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3" fontId="12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4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2" xfId="0" applyNumberFormat="1" applyFont="1" applyBorder="1"/>
    <xf numFmtId="0" fontId="4" fillId="2" borderId="2" xfId="0" applyFont="1" applyFill="1" applyBorder="1"/>
    <xf numFmtId="49" fontId="7" fillId="0" borderId="2" xfId="0" applyNumberFormat="1" applyFont="1" applyBorder="1"/>
    <xf numFmtId="0" fontId="4" fillId="0" borderId="2" xfId="0" applyFont="1" applyBorder="1"/>
    <xf numFmtId="0" fontId="7" fillId="0" borderId="2" xfId="0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14" fontId="13" fillId="0" borderId="0" xfId="0" applyNumberFormat="1" applyFont="1"/>
    <xf numFmtId="3" fontId="13" fillId="0" borderId="0" xfId="0" applyNumberFormat="1" applyFont="1"/>
    <xf numFmtId="0" fontId="13" fillId="0" borderId="0" xfId="0" applyNumberFormat="1" applyFont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49" fontId="13" fillId="0" borderId="0" xfId="0" applyNumberFormat="1" applyFont="1"/>
    <xf numFmtId="0" fontId="13" fillId="0" borderId="0" xfId="0" applyFont="1" applyFill="1"/>
    <xf numFmtId="0" fontId="14" fillId="0" borderId="0" xfId="0" applyFont="1"/>
    <xf numFmtId="0" fontId="14" fillId="0" borderId="0" xfId="0" applyFont="1" applyAlignment="1">
      <alignment horizontal="right"/>
    </xf>
    <xf numFmtId="14" fontId="14" fillId="0" borderId="0" xfId="0" applyNumberFormat="1" applyFont="1"/>
    <xf numFmtId="3" fontId="14" fillId="0" borderId="0" xfId="0" applyNumberFormat="1" applyFont="1"/>
    <xf numFmtId="0" fontId="14" fillId="0" borderId="0" xfId="0" applyNumberFormat="1" applyFont="1" applyAlignment="1">
      <alignment horizontal="right"/>
    </xf>
    <xf numFmtId="0" fontId="14" fillId="0" borderId="1" xfId="0" applyNumberFormat="1" applyFont="1" applyFill="1" applyBorder="1" applyAlignment="1">
      <alignment horizontal="right"/>
    </xf>
    <xf numFmtId="49" fontId="14" fillId="0" borderId="0" xfId="0" applyNumberFormat="1" applyFont="1"/>
    <xf numFmtId="0" fontId="14" fillId="0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Fill="1"/>
    <xf numFmtId="14" fontId="15" fillId="0" borderId="0" xfId="0" applyNumberFormat="1" applyFont="1"/>
    <xf numFmtId="0" fontId="16" fillId="0" borderId="0" xfId="0" applyFont="1" applyFill="1" applyBorder="1" applyAlignment="1">
      <alignment horizontal="center"/>
    </xf>
    <xf numFmtId="0" fontId="13" fillId="4" borderId="0" xfId="0" applyFont="1" applyFill="1"/>
    <xf numFmtId="0" fontId="8" fillId="0" borderId="0" xfId="0" applyNumberFormat="1" applyFont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49" fontId="8" fillId="0" borderId="0" xfId="0" applyNumberFormat="1" applyFont="1"/>
    <xf numFmtId="0" fontId="8" fillId="4" borderId="0" xfId="0" applyNumberFormat="1" applyFont="1" applyFill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14" fontId="17" fillId="0" borderId="0" xfId="0" applyNumberFormat="1" applyFont="1"/>
    <xf numFmtId="3" fontId="11" fillId="0" borderId="0" xfId="0" applyNumberFormat="1" applyFont="1"/>
    <xf numFmtId="0" fontId="11" fillId="0" borderId="0" xfId="0" applyNumberFormat="1" applyFont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49" fontId="11" fillId="0" borderId="0" xfId="0" applyNumberFormat="1" applyFont="1"/>
    <xf numFmtId="0" fontId="11" fillId="0" borderId="0" xfId="0" applyFont="1" applyFill="1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/>
    <xf numFmtId="14" fontId="18" fillId="0" borderId="0" xfId="0" applyNumberFormat="1" applyFont="1"/>
    <xf numFmtId="3" fontId="18" fillId="0" borderId="0" xfId="0" applyNumberFormat="1" applyFont="1"/>
    <xf numFmtId="0" fontId="18" fillId="0" borderId="0" xfId="0" applyNumberFormat="1" applyFont="1" applyAlignment="1">
      <alignment horizontal="right"/>
    </xf>
    <xf numFmtId="0" fontId="18" fillId="0" borderId="1" xfId="0" applyNumberFormat="1" applyFont="1" applyFill="1" applyBorder="1" applyAlignment="1">
      <alignment horizontal="right"/>
    </xf>
    <xf numFmtId="49" fontId="18" fillId="0" borderId="0" xfId="0" applyNumberFormat="1" applyFont="1"/>
    <xf numFmtId="0" fontId="18" fillId="0" borderId="0" xfId="0" applyFont="1" applyFill="1"/>
    <xf numFmtId="3" fontId="19" fillId="0" borderId="0" xfId="0" applyNumberFormat="1" applyFont="1"/>
    <xf numFmtId="0" fontId="19" fillId="0" borderId="0" xfId="0" applyFont="1" applyAlignment="1">
      <alignment horizontal="right"/>
    </xf>
    <xf numFmtId="14" fontId="19" fillId="0" borderId="0" xfId="0" applyNumberFormat="1" applyFont="1"/>
    <xf numFmtId="0" fontId="12" fillId="4" borderId="0" xfId="0" applyFont="1" applyFill="1"/>
    <xf numFmtId="0" fontId="19" fillId="0" borderId="0" xfId="0" applyNumberFormat="1" applyFont="1" applyAlignment="1">
      <alignment horizontal="right"/>
    </xf>
    <xf numFmtId="0" fontId="19" fillId="0" borderId="1" xfId="0" applyNumberFormat="1" applyFont="1" applyFill="1" applyBorder="1" applyAlignment="1">
      <alignment horizontal="right"/>
    </xf>
    <xf numFmtId="49" fontId="19" fillId="0" borderId="0" xfId="0" applyNumberFormat="1" applyFont="1"/>
    <xf numFmtId="0" fontId="19" fillId="0" borderId="0" xfId="0" applyFont="1" applyFill="1"/>
    <xf numFmtId="0" fontId="2" fillId="0" borderId="0" xfId="0" applyFont="1"/>
    <xf numFmtId="49" fontId="20" fillId="0" borderId="0" xfId="0" applyNumberFormat="1" applyFont="1"/>
    <xf numFmtId="0" fontId="21" fillId="0" borderId="0" xfId="0" applyFont="1" applyFill="1"/>
    <xf numFmtId="14" fontId="21" fillId="0" borderId="0" xfId="0" applyNumberFormat="1" applyFont="1" applyFill="1"/>
    <xf numFmtId="14" fontId="8" fillId="0" borderId="0" xfId="0" applyNumberFormat="1" applyFont="1" applyFill="1"/>
    <xf numFmtId="3" fontId="2" fillId="0" borderId="0" xfId="0" applyNumberFormat="1" applyFont="1"/>
    <xf numFmtId="3" fontId="8" fillId="0" borderId="0" xfId="0" applyNumberFormat="1" applyFont="1" applyAlignment="1">
      <alignment horizontal="right"/>
    </xf>
    <xf numFmtId="14" fontId="8" fillId="0" borderId="0" xfId="0" applyNumberFormat="1" applyFont="1"/>
    <xf numFmtId="0" fontId="22" fillId="0" borderId="0" xfId="0" applyFont="1" applyBorder="1"/>
    <xf numFmtId="0" fontId="22" fillId="0" borderId="0" xfId="0" applyFont="1" applyBorder="1" applyAlignment="1">
      <alignment horizontal="right"/>
    </xf>
    <xf numFmtId="0" fontId="10" fillId="0" borderId="0" xfId="0" applyFont="1" applyBorder="1"/>
    <xf numFmtId="14" fontId="22" fillId="0" borderId="0" xfId="0" applyNumberFormat="1" applyFont="1"/>
    <xf numFmtId="3" fontId="22" fillId="0" borderId="0" xfId="0" applyNumberFormat="1" applyFont="1" applyBorder="1"/>
    <xf numFmtId="0" fontId="22" fillId="0" borderId="0" xfId="0" applyNumberFormat="1" applyFont="1" applyBorder="1" applyAlignment="1">
      <alignment horizontal="right"/>
    </xf>
    <xf numFmtId="0" fontId="22" fillId="0" borderId="1" xfId="0" applyNumberFormat="1" applyFont="1" applyFill="1" applyBorder="1" applyAlignment="1">
      <alignment horizontal="right"/>
    </xf>
    <xf numFmtId="0" fontId="22" fillId="0" borderId="0" xfId="0" applyNumberFormat="1" applyFont="1" applyAlignment="1">
      <alignment horizontal="right"/>
    </xf>
    <xf numFmtId="49" fontId="22" fillId="0" borderId="0" xfId="0" applyNumberFormat="1" applyFont="1" applyBorder="1"/>
    <xf numFmtId="0" fontId="22" fillId="0" borderId="0" xfId="0" applyFont="1" applyFill="1" applyBorder="1"/>
    <xf numFmtId="0" fontId="22" fillId="0" borderId="0" xfId="0" applyFont="1"/>
    <xf numFmtId="0" fontId="22" fillId="0" borderId="0" xfId="0" applyFont="1" applyAlignment="1">
      <alignment horizontal="right"/>
    </xf>
    <xf numFmtId="3" fontId="22" fillId="0" borderId="0" xfId="0" applyNumberFormat="1" applyFont="1"/>
    <xf numFmtId="49" fontId="22" fillId="0" borderId="0" xfId="0" applyNumberFormat="1" applyFont="1"/>
    <xf numFmtId="0" fontId="22" fillId="0" borderId="0" xfId="0" applyFont="1" applyFill="1"/>
    <xf numFmtId="0" fontId="23" fillId="0" borderId="0" xfId="0" applyFont="1"/>
    <xf numFmtId="0" fontId="23" fillId="0" borderId="0" xfId="0" applyFont="1" applyAlignment="1">
      <alignment horizontal="right"/>
    </xf>
    <xf numFmtId="14" fontId="23" fillId="0" borderId="0" xfId="0" applyNumberFormat="1" applyFont="1"/>
    <xf numFmtId="3" fontId="23" fillId="0" borderId="0" xfId="0" applyNumberFormat="1" applyFont="1"/>
    <xf numFmtId="0" fontId="23" fillId="0" borderId="0" xfId="0" applyNumberFormat="1" applyFont="1" applyAlignment="1">
      <alignment horizontal="right"/>
    </xf>
    <xf numFmtId="49" fontId="23" fillId="0" borderId="0" xfId="0" applyNumberFormat="1" applyFont="1"/>
    <xf numFmtId="0" fontId="23" fillId="0" borderId="0" xfId="0" applyFont="1" applyFill="1"/>
    <xf numFmtId="3" fontId="23" fillId="0" borderId="0" xfId="0" applyNumberFormat="1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14" fontId="21" fillId="0" borderId="0" xfId="0" applyNumberFormat="1" applyFont="1"/>
    <xf numFmtId="3" fontId="21" fillId="0" borderId="0" xfId="0" applyNumberFormat="1" applyFont="1"/>
    <xf numFmtId="0" fontId="21" fillId="0" borderId="0" xfId="0" applyNumberFormat="1" applyFont="1" applyAlignment="1">
      <alignment horizontal="right"/>
    </xf>
    <xf numFmtId="0" fontId="21" fillId="0" borderId="1" xfId="0" applyNumberFormat="1" applyFont="1" applyFill="1" applyBorder="1" applyAlignment="1">
      <alignment horizontal="right"/>
    </xf>
    <xf numFmtId="49" fontId="21" fillId="0" borderId="0" xfId="0" applyNumberFormat="1" applyFont="1"/>
    <xf numFmtId="3" fontId="21" fillId="0" borderId="0" xfId="0" applyNumberFormat="1" applyFont="1" applyBorder="1"/>
    <xf numFmtId="3" fontId="8" fillId="0" borderId="0" xfId="0" applyNumberFormat="1" applyFont="1" applyBorder="1"/>
    <xf numFmtId="0" fontId="24" fillId="0" borderId="0" xfId="0" applyFont="1"/>
    <xf numFmtId="0" fontId="7" fillId="0" borderId="0" xfId="0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25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16" fillId="0" borderId="0" xfId="0" applyFont="1"/>
    <xf numFmtId="3" fontId="15" fillId="0" borderId="0" xfId="0" applyNumberFormat="1" applyFont="1"/>
    <xf numFmtId="0" fontId="15" fillId="0" borderId="0" xfId="0" applyNumberFormat="1" applyFont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49" fontId="15" fillId="0" borderId="0" xfId="0" applyNumberFormat="1" applyFont="1"/>
    <xf numFmtId="0" fontId="15" fillId="0" borderId="0" xfId="0" applyFont="1" applyFill="1"/>
    <xf numFmtId="16" fontId="8" fillId="0" borderId="0" xfId="0" applyNumberFormat="1" applyFont="1"/>
    <xf numFmtId="3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" xfId="0" applyFont="1" applyBorder="1"/>
    <xf numFmtId="3" fontId="26" fillId="0" borderId="0" xfId="0" applyNumberFormat="1" applyFont="1"/>
    <xf numFmtId="3" fontId="24" fillId="0" borderId="0" xfId="0" applyNumberFormat="1" applyFont="1" applyBorder="1" applyAlignment="1">
      <alignment horizontal="center"/>
    </xf>
    <xf numFmtId="0" fontId="24" fillId="0" borderId="0" xfId="0" applyNumberFormat="1" applyFont="1" applyAlignment="1">
      <alignment horizontal="center"/>
    </xf>
    <xf numFmtId="3" fontId="24" fillId="0" borderId="0" xfId="0" applyNumberFormat="1" applyFont="1" applyAlignment="1">
      <alignment horizontal="center"/>
    </xf>
    <xf numFmtId="0" fontId="8" fillId="0" borderId="0" xfId="0" applyNumberFormat="1" applyFont="1"/>
    <xf numFmtId="3" fontId="8" fillId="0" borderId="2" xfId="0" applyNumberFormat="1" applyFont="1" applyBorder="1"/>
    <xf numFmtId="0" fontId="7" fillId="0" borderId="0" xfId="0" applyNumberFormat="1" applyFont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right"/>
    </xf>
    <xf numFmtId="0" fontId="28" fillId="0" borderId="0" xfId="0" applyFont="1"/>
    <xf numFmtId="3" fontId="27" fillId="0" borderId="0" xfId="0" applyNumberFormat="1" applyFont="1"/>
    <xf numFmtId="0" fontId="27" fillId="0" borderId="0" xfId="0" applyNumberFormat="1" applyFont="1" applyAlignment="1">
      <alignment horizontal="right"/>
    </xf>
    <xf numFmtId="0" fontId="27" fillId="0" borderId="1" xfId="0" applyNumberFormat="1" applyFont="1" applyFill="1" applyBorder="1" applyAlignment="1">
      <alignment horizontal="right"/>
    </xf>
    <xf numFmtId="49" fontId="27" fillId="0" borderId="0" xfId="0" applyNumberFormat="1" applyFont="1"/>
    <xf numFmtId="0" fontId="27" fillId="0" borderId="0" xfId="0" applyFont="1" applyFill="1"/>
    <xf numFmtId="0" fontId="29" fillId="0" borderId="0" xfId="0" applyFont="1"/>
    <xf numFmtId="3" fontId="13" fillId="0" borderId="1" xfId="0" applyNumberFormat="1" applyFont="1" applyFill="1" applyBorder="1" applyAlignment="1">
      <alignment horizontal="right"/>
    </xf>
    <xf numFmtId="2" fontId="13" fillId="0" borderId="0" xfId="0" applyNumberFormat="1" applyFont="1" applyAlignment="1">
      <alignment horizontal="right"/>
    </xf>
    <xf numFmtId="16" fontId="13" fillId="0" borderId="0" xfId="0" applyNumberFormat="1" applyFont="1"/>
    <xf numFmtId="0" fontId="30" fillId="0" borderId="0" xfId="0" applyFont="1"/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0" fontId="10" fillId="0" borderId="1" xfId="0" applyNumberFormat="1" applyFont="1" applyFill="1" applyBorder="1" applyAlignment="1">
      <alignment horizontal="right"/>
    </xf>
    <xf numFmtId="49" fontId="10" fillId="0" borderId="0" xfId="0" applyNumberFormat="1" applyFont="1"/>
    <xf numFmtId="0" fontId="10" fillId="0" borderId="0" xfId="0" applyFont="1" applyFill="1"/>
    <xf numFmtId="3" fontId="10" fillId="0" borderId="0" xfId="0" applyNumberFormat="1" applyFont="1" applyBorder="1"/>
    <xf numFmtId="0" fontId="31" fillId="2" borderId="0" xfId="0" applyFont="1" applyFill="1" applyAlignment="1">
      <alignment horizontal="left"/>
    </xf>
    <xf numFmtId="0" fontId="8" fillId="2" borderId="0" xfId="0" applyFont="1" applyFill="1"/>
    <xf numFmtId="0" fontId="15" fillId="2" borderId="0" xfId="0" applyFont="1" applyFill="1"/>
    <xf numFmtId="0" fontId="34" fillId="0" borderId="0" xfId="0" applyFont="1"/>
    <xf numFmtId="0" fontId="32" fillId="0" borderId="0" xfId="0" applyFont="1" applyFill="1"/>
    <xf numFmtId="0" fontId="32" fillId="0" borderId="0" xfId="0" applyFont="1" applyFill="1" applyAlignment="1">
      <alignment horizontal="right"/>
    </xf>
    <xf numFmtId="0" fontId="33" fillId="0" borderId="0" xfId="0" applyFont="1" applyFill="1"/>
    <xf numFmtId="14" fontId="32" fillId="0" borderId="0" xfId="0" applyNumberFormat="1" applyFont="1" applyFill="1"/>
    <xf numFmtId="3" fontId="32" fillId="0" borderId="0" xfId="0" applyNumberFormat="1" applyFont="1" applyFill="1"/>
    <xf numFmtId="0" fontId="32" fillId="0" borderId="0" xfId="0" applyNumberFormat="1" applyFont="1" applyFill="1" applyAlignment="1">
      <alignment horizontal="right"/>
    </xf>
    <xf numFmtId="0" fontId="32" fillId="0" borderId="1" xfId="0" applyNumberFormat="1" applyFont="1" applyFill="1" applyBorder="1" applyAlignment="1">
      <alignment horizontal="right"/>
    </xf>
    <xf numFmtId="49" fontId="32" fillId="0" borderId="0" xfId="0" applyNumberFormat="1" applyFont="1" applyFill="1"/>
    <xf numFmtId="0" fontId="23" fillId="0" borderId="1" xfId="0" applyNumberFormat="1" applyFont="1" applyFill="1" applyBorder="1" applyAlignment="1">
      <alignment horizontal="right"/>
    </xf>
    <xf numFmtId="166" fontId="13" fillId="0" borderId="0" xfId="0" applyNumberFormat="1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0" fillId="0" borderId="0" xfId="0" applyNumberFormat="1" applyFont="1" applyBorder="1" applyAlignment="1">
      <alignment horizontal="right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9"/>
  <sheetViews>
    <sheetView tabSelected="1" topLeftCell="K2" zoomScale="90" zoomScaleNormal="100" workbookViewId="0">
      <selection activeCell="V9" sqref="V9"/>
    </sheetView>
  </sheetViews>
  <sheetFormatPr defaultRowHeight="12.75" outlineLevelRow="1" outlineLevelCol="1"/>
  <cols>
    <col min="1" max="1" width="17.5703125" style="174" bestFit="1" customWidth="1"/>
    <col min="2" max="2" width="11.42578125" style="175" bestFit="1" customWidth="1"/>
    <col min="3" max="3" width="6" style="174" bestFit="1" customWidth="1"/>
    <col min="4" max="4" width="5.140625" style="176" customWidth="1"/>
    <col min="5" max="5" width="4.42578125" style="174" bestFit="1" customWidth="1"/>
    <col min="6" max="6" width="26.28515625" style="174" bestFit="1" customWidth="1"/>
    <col min="7" max="7" width="9" style="174" customWidth="1" outlineLevel="1"/>
    <col min="8" max="8" width="14.140625" style="174" customWidth="1" outlineLevel="1"/>
    <col min="9" max="9" width="9.7109375" style="174" customWidth="1" outlineLevel="1"/>
    <col min="10" max="10" width="9.140625" style="174" outlineLevel="1"/>
    <col min="11" max="11" width="12.28515625" style="175" customWidth="1" outlineLevel="1"/>
    <col min="12" max="12" width="8.7109375" style="174" customWidth="1" outlineLevel="1"/>
    <col min="13" max="13" width="10.42578125" style="174" customWidth="1" outlineLevel="1"/>
    <col min="14" max="14" width="10.5703125" style="174" customWidth="1" outlineLevel="1"/>
    <col min="15" max="15" width="13.5703125" style="174" customWidth="1" outlineLevel="1"/>
    <col min="16" max="16" width="3.5703125" style="174" customWidth="1" outlineLevel="1"/>
    <col min="17" max="17" width="10.28515625" style="177" customWidth="1" outlineLevel="1"/>
    <col min="18" max="18" width="9" style="177" customWidth="1" outlineLevel="1"/>
    <col min="19" max="19" width="9.28515625" style="177" customWidth="1" outlineLevel="1"/>
    <col min="20" max="20" width="8.85546875" style="178" customWidth="1" outlineLevel="1"/>
    <col min="21" max="21" width="3" style="178" customWidth="1" outlineLevel="1"/>
    <col min="22" max="22" width="8.85546875" style="179" customWidth="1"/>
    <col min="23" max="52" width="8.85546875" style="178" customWidth="1" outlineLevel="1"/>
    <col min="53" max="53" width="3" style="178" customWidth="1" outlineLevel="1"/>
    <col min="54" max="54" width="10.7109375" style="178" customWidth="1" outlineLevel="1"/>
    <col min="55" max="55" width="10.42578125" style="178" customWidth="1" outlineLevel="1"/>
    <col min="56" max="56" width="12" style="178" customWidth="1"/>
    <col min="57" max="57" width="3.28515625" style="178" customWidth="1"/>
    <col min="58" max="58" width="9.85546875" style="177" hidden="1" customWidth="1" outlineLevel="1"/>
    <col min="59" max="60" width="11" style="174" hidden="1" customWidth="1" outlineLevel="1"/>
    <col min="61" max="61" width="12.5703125" style="174" hidden="1" customWidth="1" outlineLevel="1"/>
    <col min="62" max="62" width="2.7109375" style="174" hidden="1" customWidth="1" outlineLevel="1"/>
    <col min="63" max="63" width="11" style="174" hidden="1" customWidth="1" outlineLevel="1"/>
    <col min="64" max="64" width="2.7109375" style="174" hidden="1" customWidth="1" outlineLevel="1"/>
    <col min="65" max="65" width="11" style="174" hidden="1" customWidth="1" outlineLevel="1"/>
    <col min="66" max="66" width="17.5703125" style="174" hidden="1" customWidth="1" outlineLevel="1"/>
    <col min="67" max="67" width="4.28515625" style="180" hidden="1" customWidth="1" outlineLevel="1"/>
    <col min="68" max="68" width="17.5703125" style="174" hidden="1" customWidth="1" outlineLevel="1"/>
    <col min="69" max="69" width="4.28515625" style="174" hidden="1" customWidth="1" outlineLevel="1"/>
    <col min="70" max="70" width="15.28515625" style="174" hidden="1" customWidth="1" outlineLevel="1"/>
    <col min="71" max="71" width="4.28515625" style="174" hidden="1" customWidth="1" outlineLevel="1"/>
    <col min="72" max="72" width="15.28515625" style="174" hidden="1" customWidth="1" outlineLevel="1"/>
    <col min="73" max="73" width="4.28515625" style="174" hidden="1" customWidth="1" outlineLevel="1"/>
    <col min="74" max="74" width="11" style="174" hidden="1" customWidth="1" outlineLevel="1"/>
    <col min="75" max="75" width="4.28515625" style="174" hidden="1" customWidth="1" outlineLevel="1"/>
    <col min="76" max="76" width="11" style="174" hidden="1" customWidth="1" outlineLevel="1"/>
    <col min="77" max="77" width="5.28515625" style="174" hidden="1" customWidth="1" outlineLevel="1"/>
    <col min="78" max="78" width="11" style="174" hidden="1" customWidth="1" outlineLevel="1"/>
    <col min="79" max="79" width="3.28515625" style="174" hidden="1" customWidth="1" outlineLevel="1"/>
    <col min="80" max="80" width="11" style="174" hidden="1" customWidth="1" outlineLevel="1"/>
    <col min="81" max="81" width="3.28515625" style="174" hidden="1" customWidth="1" outlineLevel="1"/>
    <col min="82" max="82" width="11" style="174" hidden="1" customWidth="1" outlineLevel="1"/>
    <col min="83" max="83" width="3.28515625" style="174" hidden="1" customWidth="1" outlineLevel="1"/>
    <col min="84" max="84" width="11" style="174" hidden="1" customWidth="1" outlineLevel="1"/>
    <col min="85" max="85" width="4.28515625" style="174" hidden="1" customWidth="1" outlineLevel="1"/>
    <col min="86" max="86" width="11" style="174" hidden="1" customWidth="1" outlineLevel="1"/>
    <col min="87" max="87" width="4.28515625" style="174" hidden="1" customWidth="1" outlineLevel="1"/>
    <col min="88" max="88" width="11" style="174" hidden="1" customWidth="1" outlineLevel="1"/>
    <col min="89" max="89" width="4.28515625" style="174" hidden="1" customWidth="1" outlineLevel="1"/>
    <col min="90" max="90" width="11" style="174" hidden="1" customWidth="1" outlineLevel="1"/>
    <col min="91" max="91" width="4.28515625" style="174" hidden="1" customWidth="1" outlineLevel="1"/>
    <col min="92" max="92" width="11" style="174" hidden="1" customWidth="1" outlineLevel="1"/>
    <col min="93" max="93" width="4.28515625" style="174" hidden="1" customWidth="1" outlineLevel="1"/>
    <col min="94" max="94" width="11" style="174" hidden="1" customWidth="1" outlineLevel="1"/>
    <col min="95" max="95" width="4.28515625" style="174" hidden="1" customWidth="1" outlineLevel="1"/>
    <col min="96" max="96" width="11" style="174" hidden="1" customWidth="1" outlineLevel="1"/>
    <col min="97" max="97" width="4.28515625" style="174" hidden="1" customWidth="1" outlineLevel="1"/>
    <col min="98" max="98" width="11" style="174" hidden="1" customWidth="1" outlineLevel="1"/>
    <col min="99" max="99" width="4.28515625" style="174" hidden="1" customWidth="1" outlineLevel="1"/>
    <col min="100" max="100" width="11" style="174" hidden="1" customWidth="1" outlineLevel="1"/>
    <col min="101" max="101" width="4" style="174" hidden="1" customWidth="1" outlineLevel="1"/>
    <col min="102" max="102" width="11" style="174" hidden="1" customWidth="1" outlineLevel="1"/>
    <col min="103" max="103" width="4.28515625" style="174" hidden="1" customWidth="1" outlineLevel="1"/>
    <col min="104" max="104" width="11" style="174" hidden="1" customWidth="1" outlineLevel="1"/>
    <col min="105" max="105" width="4.28515625" style="174" hidden="1" customWidth="1" outlineLevel="1"/>
    <col min="106" max="106" width="11" style="174" hidden="1" customWidth="1" outlineLevel="1"/>
    <col min="107" max="107" width="4.28515625" style="174" hidden="1" customWidth="1" outlineLevel="1"/>
    <col min="108" max="108" width="11" style="174" hidden="1" customWidth="1" outlineLevel="1"/>
    <col min="109" max="109" width="3.28515625" style="174" hidden="1" customWidth="1" outlineLevel="1"/>
    <col min="110" max="110" width="11" style="174" hidden="1" customWidth="1" outlineLevel="1"/>
    <col min="111" max="111" width="3.28515625" style="174" hidden="1" customWidth="1" outlineLevel="1"/>
    <col min="112" max="112" width="11" style="174" hidden="1" customWidth="1" outlineLevel="1"/>
    <col min="113" max="113" width="3.28515625" style="174" hidden="1" customWidth="1" outlineLevel="1"/>
    <col min="114" max="114" width="11" style="174" hidden="1" customWidth="1" outlineLevel="1"/>
    <col min="115" max="115" width="3.28515625" style="174" hidden="1" customWidth="1" outlineLevel="1"/>
    <col min="116" max="116" width="11" style="174" hidden="1" customWidth="1" outlineLevel="1"/>
    <col min="117" max="117" width="3.28515625" style="174" hidden="1" customWidth="1" outlineLevel="1"/>
    <col min="118" max="118" width="11" style="174" hidden="1" customWidth="1" outlineLevel="1"/>
    <col min="119" max="119" width="3.28515625" style="174" hidden="1" customWidth="1" outlineLevel="1"/>
    <col min="120" max="120" width="11" style="174" hidden="1" customWidth="1" outlineLevel="1"/>
    <col min="121" max="121" width="4.28515625" style="174" hidden="1" customWidth="1" outlineLevel="1"/>
    <col min="122" max="122" width="11" style="174" hidden="1" customWidth="1" outlineLevel="1"/>
    <col min="123" max="123" width="4.28515625" style="174" hidden="1" customWidth="1" outlineLevel="1"/>
    <col min="124" max="124" width="11" style="174" hidden="1" customWidth="1" outlineLevel="1"/>
    <col min="125" max="125" width="3.28515625" style="174" hidden="1" customWidth="1" outlineLevel="1"/>
    <col min="126" max="126" width="11" style="174" hidden="1" customWidth="1" outlineLevel="1"/>
    <col min="127" max="127" width="3.28515625" style="174" hidden="1" customWidth="1" outlineLevel="1"/>
    <col min="128" max="128" width="11" style="174" hidden="1" customWidth="1" outlineLevel="1"/>
    <col min="129" max="129" width="3.28515625" style="174" hidden="1" customWidth="1" outlineLevel="1"/>
    <col min="130" max="130" width="11" style="174" hidden="1" customWidth="1" outlineLevel="1"/>
    <col min="131" max="131" width="4.140625" style="174" hidden="1" customWidth="1" outlineLevel="1"/>
    <col min="132" max="132" width="11" style="174" hidden="1" customWidth="1" outlineLevel="1"/>
    <col min="133" max="133" width="3.28515625" style="174" hidden="1" customWidth="1" outlineLevel="1"/>
    <col min="134" max="134" width="11" style="174" hidden="1" customWidth="1" outlineLevel="1"/>
    <col min="135" max="135" width="3.28515625" style="174" hidden="1" customWidth="1" outlineLevel="1"/>
    <col min="136" max="136" width="12.140625" style="174" hidden="1" customWidth="1" outlineLevel="1"/>
    <col min="137" max="137" width="2.7109375" style="174" hidden="1" customWidth="1" outlineLevel="1"/>
    <col min="138" max="138" width="12.140625" style="174" hidden="1" customWidth="1" outlineLevel="1"/>
    <col min="139" max="139" width="4" style="174" hidden="1" customWidth="1" outlineLevel="1"/>
    <col min="140" max="140" width="12.140625" style="174" hidden="1" customWidth="1" outlineLevel="1"/>
    <col min="141" max="141" width="2.7109375" style="174" hidden="1" customWidth="1" outlineLevel="1"/>
    <col min="142" max="142" width="12.140625" style="174" hidden="1" customWidth="1" outlineLevel="1"/>
    <col min="143" max="143" width="2.7109375" style="174" hidden="1" customWidth="1" outlineLevel="1"/>
    <col min="144" max="144" width="12.140625" style="174" hidden="1" customWidth="1" outlineLevel="1"/>
    <col min="145" max="145" width="2.7109375" style="174" hidden="1" customWidth="1" outlineLevel="1"/>
    <col min="146" max="146" width="12.140625" style="174" hidden="1" customWidth="1" outlineLevel="1"/>
    <col min="147" max="147" width="2.7109375" style="174" hidden="1" customWidth="1" outlineLevel="1"/>
    <col min="148" max="148" width="12.140625" style="174" hidden="1" customWidth="1" outlineLevel="1"/>
    <col min="149" max="149" width="2.5703125" style="174" hidden="1" customWidth="1" outlineLevel="1"/>
    <col min="150" max="150" width="12.140625" style="174" hidden="1" customWidth="1" outlineLevel="1"/>
    <col min="151" max="151" width="2.7109375" style="174" hidden="1" customWidth="1" outlineLevel="1"/>
    <col min="152" max="152" width="12.140625" style="174" hidden="1" customWidth="1" outlineLevel="1"/>
    <col min="153" max="153" width="2.7109375" style="174" hidden="1" customWidth="1" outlineLevel="1"/>
    <col min="154" max="154" width="12.140625" style="174" hidden="1" customWidth="1" outlineLevel="1"/>
    <col min="155" max="155" width="2.7109375" style="174" hidden="1" customWidth="1" outlineLevel="1"/>
    <col min="156" max="156" width="12.140625" style="174" hidden="1" customWidth="1" outlineLevel="1"/>
    <col min="157" max="157" width="2.7109375" style="174" hidden="1" customWidth="1" outlineLevel="1"/>
    <col min="158" max="158" width="12.140625" style="174" hidden="1" customWidth="1" outlineLevel="1"/>
    <col min="159" max="159" width="2.7109375" style="174" hidden="1" customWidth="1" outlineLevel="1"/>
    <col min="160" max="160" width="12.140625" style="174" hidden="1" customWidth="1" outlineLevel="1"/>
    <col min="161" max="161" width="2.7109375" style="174" hidden="1" customWidth="1" outlineLevel="1"/>
    <col min="162" max="162" width="12.140625" style="174" hidden="1" customWidth="1" outlineLevel="1"/>
    <col min="163" max="163" width="2.7109375" style="174" hidden="1" customWidth="1" outlineLevel="1"/>
    <col min="164" max="164" width="12.140625" style="174" hidden="1" customWidth="1" outlineLevel="1"/>
    <col min="165" max="165" width="2.7109375" style="174" hidden="1" customWidth="1" outlineLevel="1"/>
    <col min="166" max="166" width="12.140625" style="174" hidden="1" customWidth="1" outlineLevel="1"/>
    <col min="167" max="167" width="2.7109375" style="174" hidden="1" customWidth="1" outlineLevel="1"/>
    <col min="168" max="168" width="12.140625" style="174" hidden="1" customWidth="1" outlineLevel="1"/>
    <col min="169" max="169" width="2.7109375" style="174" hidden="1" customWidth="1" outlineLevel="1"/>
    <col min="170" max="170" width="12.140625" style="174" hidden="1" customWidth="1" outlineLevel="1"/>
    <col min="171" max="171" width="2.7109375" style="174" hidden="1" customWidth="1" outlineLevel="1"/>
    <col min="172" max="172" width="12.140625" style="174" hidden="1" customWidth="1" outlineLevel="1"/>
    <col min="173" max="173" width="2.7109375" style="174" hidden="1" customWidth="1" outlineLevel="1"/>
    <col min="174" max="174" width="12.140625" style="174" hidden="1" customWidth="1" outlineLevel="1"/>
    <col min="175" max="175" width="2.7109375" style="174" hidden="1" customWidth="1" outlineLevel="1"/>
    <col min="176" max="176" width="12.140625" style="174" hidden="1" customWidth="1" outlineLevel="1"/>
    <col min="177" max="177" width="2.7109375" style="174" hidden="1" customWidth="1" outlineLevel="1"/>
    <col min="178" max="178" width="12.140625" style="174" hidden="1" customWidth="1" outlineLevel="1"/>
    <col min="179" max="179" width="2.7109375" style="174" hidden="1" customWidth="1" outlineLevel="1"/>
    <col min="180" max="180" width="12.140625" style="174" hidden="1" customWidth="1" outlineLevel="1"/>
    <col min="181" max="181" width="4" style="174" hidden="1" customWidth="1" outlineLevel="1"/>
    <col min="182" max="182" width="12.140625" style="174" hidden="1" customWidth="1" outlineLevel="1"/>
    <col min="183" max="183" width="2.7109375" style="174" hidden="1" customWidth="1" outlineLevel="1"/>
    <col min="184" max="184" width="12.140625" style="174" hidden="1" customWidth="1" outlineLevel="1"/>
    <col min="185" max="185" width="2.7109375" style="174" hidden="1" customWidth="1" outlineLevel="1"/>
    <col min="186" max="186" width="12.140625" style="174" hidden="1" customWidth="1" outlineLevel="1"/>
    <col min="187" max="187" width="2.7109375" style="174" hidden="1" customWidth="1" outlineLevel="1"/>
    <col min="188" max="188" width="12.140625" style="174" hidden="1" customWidth="1" outlineLevel="1"/>
    <col min="189" max="189" width="2.7109375" style="174" hidden="1" customWidth="1" outlineLevel="1"/>
    <col min="190" max="190" width="12.140625" style="174" hidden="1" customWidth="1" outlineLevel="1"/>
    <col min="191" max="191" width="2.7109375" style="174" hidden="1" customWidth="1" outlineLevel="1"/>
    <col min="192" max="192" width="15.28515625" style="174" hidden="1" customWidth="1" outlineLevel="1"/>
    <col min="193" max="193" width="5" style="174" hidden="1" customWidth="1" outlineLevel="1"/>
    <col min="194" max="194" width="12.140625" style="174" hidden="1" customWidth="1" outlineLevel="1"/>
    <col min="195" max="195" width="2.7109375" style="174" hidden="1" customWidth="1" outlineLevel="1"/>
    <col min="196" max="196" width="12.140625" style="174" hidden="1" customWidth="1" outlineLevel="1"/>
    <col min="197" max="197" width="3.140625" style="174" hidden="1" customWidth="1" outlineLevel="1"/>
    <col min="198" max="198" width="15.28515625" style="174" hidden="1" customWidth="1" outlineLevel="1"/>
    <col min="199" max="199" width="2.7109375" style="174" hidden="1" customWidth="1" outlineLevel="1"/>
    <col min="200" max="200" width="12.140625" style="174" hidden="1" customWidth="1" outlineLevel="1"/>
    <col min="201" max="201" width="2.7109375" style="174" hidden="1" customWidth="1" outlineLevel="1"/>
    <col min="202" max="202" width="12.140625" style="174" hidden="1" customWidth="1" outlineLevel="1"/>
    <col min="203" max="203" width="2.7109375" style="174" hidden="1" customWidth="1" outlineLevel="1"/>
    <col min="204" max="204" width="12.140625" style="174" hidden="1" customWidth="1" outlineLevel="1"/>
    <col min="205" max="205" width="2.7109375" style="174" hidden="1" customWidth="1" outlineLevel="1"/>
    <col min="206" max="206" width="12.140625" style="174" hidden="1" customWidth="1" outlineLevel="1"/>
    <col min="207" max="207" width="2.7109375" style="174" hidden="1" customWidth="1" outlineLevel="1"/>
    <col min="208" max="208" width="12.140625" style="174" hidden="1" customWidth="1" outlineLevel="1"/>
    <col min="209" max="209" width="2.7109375" style="174" hidden="1" customWidth="1" outlineLevel="1"/>
    <col min="210" max="210" width="12.140625" style="174" hidden="1" customWidth="1" outlineLevel="1"/>
    <col min="211" max="211" width="2.7109375" style="174" hidden="1" customWidth="1" outlineLevel="1"/>
    <col min="212" max="212" width="12.140625" style="174" hidden="1" customWidth="1" outlineLevel="1"/>
    <col min="213" max="213" width="2.7109375" style="174" hidden="1" customWidth="1" outlineLevel="1"/>
    <col min="214" max="214" width="12.140625" style="174" hidden="1" customWidth="1" outlineLevel="1"/>
    <col min="215" max="215" width="2.7109375" style="174" hidden="1" customWidth="1" outlineLevel="1"/>
    <col min="216" max="216" width="12.140625" style="181" hidden="1" customWidth="1" outlineLevel="1"/>
    <col min="217" max="217" width="2.7109375" style="174" hidden="1" customWidth="1" outlineLevel="1"/>
    <col min="218" max="218" width="14" style="181" hidden="1" customWidth="1" outlineLevel="1"/>
    <col min="219" max="219" width="3.140625" style="174" hidden="1" customWidth="1" outlineLevel="1"/>
    <col min="220" max="220" width="11" style="174" hidden="1" customWidth="1" outlineLevel="1"/>
    <col min="221" max="221" width="11.42578125" style="174" customWidth="1" collapsed="1"/>
    <col min="222" max="248" width="11" style="174" customWidth="1"/>
    <col min="249" max="256" width="11" style="174" customWidth="1" outlineLevel="1"/>
  </cols>
  <sheetData>
    <row r="1" spans="1:221" s="2" customFormat="1" ht="15.75">
      <c r="A1" s="1" t="s">
        <v>0</v>
      </c>
      <c r="Q1" s="3"/>
      <c r="R1" s="3"/>
      <c r="S1" s="3"/>
      <c r="T1" s="4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3" t="s">
        <v>1</v>
      </c>
      <c r="BH1" s="2" t="s">
        <v>2</v>
      </c>
      <c r="BI1" s="2" t="s">
        <v>4</v>
      </c>
      <c r="BK1" s="2" t="s">
        <v>3</v>
      </c>
      <c r="BM1" s="2" t="s">
        <v>3</v>
      </c>
      <c r="BN1" s="6" t="s">
        <v>5</v>
      </c>
      <c r="BO1" s="7"/>
      <c r="BP1" s="6" t="s">
        <v>5</v>
      </c>
      <c r="BQ1" s="8"/>
      <c r="BR1" s="6" t="s">
        <v>5</v>
      </c>
      <c r="BS1" s="8"/>
      <c r="BT1" s="6" t="s">
        <v>5</v>
      </c>
      <c r="BU1" s="8"/>
      <c r="BV1" s="9" t="s">
        <v>6</v>
      </c>
      <c r="BX1" s="2" t="s">
        <v>8</v>
      </c>
      <c r="BZ1" s="2" t="s">
        <v>7</v>
      </c>
      <c r="CB1" s="2" t="s">
        <v>7</v>
      </c>
      <c r="CD1" s="2" t="s">
        <v>7</v>
      </c>
      <c r="CF1" s="2" t="s">
        <v>9</v>
      </c>
      <c r="CH1" s="2" t="s">
        <v>9</v>
      </c>
      <c r="CJ1" s="2" t="s">
        <v>9</v>
      </c>
      <c r="CL1" s="2" t="s">
        <v>9</v>
      </c>
      <c r="CN1" s="2" t="s">
        <v>9</v>
      </c>
      <c r="CP1" s="2" t="s">
        <v>9</v>
      </c>
      <c r="CR1" s="2" t="s">
        <v>9</v>
      </c>
      <c r="CT1" s="2" t="s">
        <v>9</v>
      </c>
      <c r="CV1" s="2" t="s">
        <v>9</v>
      </c>
      <c r="CX1" s="2" t="s">
        <v>9</v>
      </c>
      <c r="CZ1" s="2" t="s">
        <v>9</v>
      </c>
      <c r="DB1" s="2" t="s">
        <v>9</v>
      </c>
      <c r="DD1" s="2" t="s">
        <v>7</v>
      </c>
      <c r="DF1" s="2" t="s">
        <v>7</v>
      </c>
      <c r="DH1" s="2" t="s">
        <v>7</v>
      </c>
      <c r="DJ1" s="2" t="s">
        <v>7</v>
      </c>
      <c r="DL1" s="2" t="s">
        <v>7</v>
      </c>
      <c r="DN1" s="2" t="s">
        <v>7</v>
      </c>
      <c r="DP1" s="2" t="s">
        <v>10</v>
      </c>
      <c r="DR1" s="2" t="s">
        <v>8</v>
      </c>
      <c r="DT1" s="2" t="s">
        <v>7</v>
      </c>
      <c r="DV1" s="2" t="s">
        <v>7</v>
      </c>
      <c r="DX1" s="2" t="s">
        <v>7</v>
      </c>
      <c r="DZ1" s="2" t="s">
        <v>7</v>
      </c>
      <c r="EB1" s="2" t="s">
        <v>7</v>
      </c>
      <c r="ED1" s="2" t="s">
        <v>7</v>
      </c>
      <c r="EF1" s="2" t="s">
        <v>7</v>
      </c>
      <c r="EH1" s="2" t="s">
        <v>11</v>
      </c>
      <c r="EJ1" s="2" t="s">
        <v>7</v>
      </c>
      <c r="EL1" s="2" t="s">
        <v>7</v>
      </c>
      <c r="EN1" s="2" t="s">
        <v>7</v>
      </c>
      <c r="EP1" s="2" t="s">
        <v>7</v>
      </c>
      <c r="ER1" s="2" t="s">
        <v>7</v>
      </c>
      <c r="ET1" s="2" t="s">
        <v>7</v>
      </c>
      <c r="EV1" s="2" t="s">
        <v>7</v>
      </c>
      <c r="EX1" s="2" t="s">
        <v>7</v>
      </c>
      <c r="EZ1" s="2" t="s">
        <v>7</v>
      </c>
      <c r="FB1" s="2" t="s">
        <v>7</v>
      </c>
      <c r="FD1" s="2" t="s">
        <v>7</v>
      </c>
      <c r="FF1" s="2" t="s">
        <v>7</v>
      </c>
      <c r="FH1" s="2" t="s">
        <v>7</v>
      </c>
      <c r="FJ1" s="2" t="s">
        <v>7</v>
      </c>
      <c r="FL1" s="2" t="s">
        <v>7</v>
      </c>
      <c r="FN1" s="2" t="s">
        <v>7</v>
      </c>
      <c r="FP1" s="2" t="s">
        <v>7</v>
      </c>
      <c r="FR1" s="2" t="s">
        <v>12</v>
      </c>
      <c r="FT1" s="2" t="s">
        <v>12</v>
      </c>
      <c r="FV1" s="2" t="s">
        <v>12</v>
      </c>
      <c r="FX1" s="2" t="s">
        <v>12</v>
      </c>
      <c r="FZ1" s="2" t="s">
        <v>11</v>
      </c>
      <c r="GB1" s="2" t="s">
        <v>7</v>
      </c>
      <c r="GD1" s="2" t="s">
        <v>7</v>
      </c>
      <c r="GF1" s="2" t="s">
        <v>7</v>
      </c>
      <c r="GH1" s="2" t="s">
        <v>7</v>
      </c>
      <c r="GJ1" s="6" t="s">
        <v>5</v>
      </c>
      <c r="GL1" s="2" t="s">
        <v>7</v>
      </c>
      <c r="GN1" s="2" t="s">
        <v>14</v>
      </c>
      <c r="GP1" s="6" t="s">
        <v>5</v>
      </c>
      <c r="GR1" s="2" t="s">
        <v>9</v>
      </c>
      <c r="GT1" s="2" t="s">
        <v>14</v>
      </c>
      <c r="GV1" s="2" t="s">
        <v>7</v>
      </c>
      <c r="GX1" s="2" t="s">
        <v>7</v>
      </c>
      <c r="GZ1" s="2" t="s">
        <v>7</v>
      </c>
      <c r="HB1" s="2" t="s">
        <v>14</v>
      </c>
      <c r="HD1" s="2" t="s">
        <v>7</v>
      </c>
      <c r="HF1" s="2" t="s">
        <v>7</v>
      </c>
      <c r="HH1" s="9" t="s">
        <v>7</v>
      </c>
      <c r="HJ1" s="6" t="s">
        <v>13</v>
      </c>
    </row>
    <row r="2" spans="1:221" s="2" customFormat="1" ht="18">
      <c r="A2" s="10" t="s">
        <v>15</v>
      </c>
      <c r="Q2" s="3"/>
      <c r="R2" s="3"/>
      <c r="S2" s="3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3" t="s">
        <v>16</v>
      </c>
      <c r="BG2" s="11" t="s">
        <v>17</v>
      </c>
      <c r="BH2" s="11" t="s">
        <v>17</v>
      </c>
      <c r="BI2" s="2" t="s">
        <v>18</v>
      </c>
      <c r="BJ2" s="11"/>
      <c r="BK2" s="11" t="s">
        <v>17</v>
      </c>
      <c r="BL2" s="11"/>
      <c r="BM2" s="11" t="s">
        <v>17</v>
      </c>
      <c r="BN2" s="6" t="s">
        <v>19</v>
      </c>
      <c r="BO2" s="7"/>
      <c r="BP2" s="6" t="s">
        <v>19</v>
      </c>
      <c r="BQ2" s="8"/>
      <c r="BR2" s="6" t="s">
        <v>20</v>
      </c>
      <c r="BS2" s="8"/>
      <c r="BT2" s="6" t="s">
        <v>20</v>
      </c>
      <c r="BU2" s="8"/>
      <c r="BV2" s="9" t="s">
        <v>20</v>
      </c>
      <c r="BX2" s="2" t="s">
        <v>22</v>
      </c>
      <c r="BZ2" s="2" t="s">
        <v>23</v>
      </c>
      <c r="CB2" s="2" t="s">
        <v>21</v>
      </c>
      <c r="CD2" s="2" t="s">
        <v>24</v>
      </c>
      <c r="CF2" s="2" t="s">
        <v>25</v>
      </c>
      <c r="CH2" s="2" t="s">
        <v>20</v>
      </c>
      <c r="CJ2" s="2" t="s">
        <v>20</v>
      </c>
      <c r="CL2" s="2" t="s">
        <v>20</v>
      </c>
      <c r="CN2" s="2" t="s">
        <v>20</v>
      </c>
      <c r="CP2" s="2" t="s">
        <v>20</v>
      </c>
      <c r="CR2" s="2" t="s">
        <v>20</v>
      </c>
      <c r="CT2" s="2" t="s">
        <v>20</v>
      </c>
      <c r="CV2" s="2" t="s">
        <v>19</v>
      </c>
      <c r="CX2" s="2" t="s">
        <v>19</v>
      </c>
      <c r="CZ2" s="2" t="s">
        <v>26</v>
      </c>
      <c r="DB2" s="2" t="s">
        <v>26</v>
      </c>
      <c r="DD2" s="2" t="s">
        <v>23</v>
      </c>
      <c r="DF2" s="2" t="s">
        <v>21</v>
      </c>
      <c r="DH2" s="2" t="s">
        <v>21</v>
      </c>
      <c r="DJ2" s="2" t="s">
        <v>21</v>
      </c>
      <c r="DL2" s="2" t="s">
        <v>24</v>
      </c>
      <c r="DN2" s="2" t="s">
        <v>23</v>
      </c>
      <c r="DP2" s="2" t="s">
        <v>27</v>
      </c>
      <c r="DR2" s="2" t="s">
        <v>27</v>
      </c>
      <c r="DT2" s="2" t="s">
        <v>28</v>
      </c>
      <c r="DV2" s="2" t="s">
        <v>21</v>
      </c>
      <c r="DX2" s="2" t="s">
        <v>21</v>
      </c>
      <c r="DZ2" s="2" t="s">
        <v>21</v>
      </c>
      <c r="EB2" s="2" t="s">
        <v>24</v>
      </c>
      <c r="ED2" s="2" t="s">
        <v>29</v>
      </c>
      <c r="EF2" s="2" t="s">
        <v>30</v>
      </c>
      <c r="EH2" s="2" t="s">
        <v>31</v>
      </c>
      <c r="EJ2" s="2" t="s">
        <v>32</v>
      </c>
      <c r="EL2" s="2" t="s">
        <v>33</v>
      </c>
      <c r="EN2" s="2" t="s">
        <v>21</v>
      </c>
      <c r="EP2" s="2" t="s">
        <v>21</v>
      </c>
      <c r="ER2" s="2" t="s">
        <v>21</v>
      </c>
      <c r="ET2" s="2" t="s">
        <v>33</v>
      </c>
      <c r="EV2" s="2" t="s">
        <v>21</v>
      </c>
      <c r="EX2" s="2" t="s">
        <v>21</v>
      </c>
      <c r="EZ2" s="2" t="s">
        <v>21</v>
      </c>
      <c r="FB2" s="2" t="s">
        <v>30</v>
      </c>
      <c r="FD2" s="2" t="s">
        <v>30</v>
      </c>
      <c r="FF2" s="2" t="s">
        <v>34</v>
      </c>
      <c r="FH2" s="2" t="s">
        <v>35</v>
      </c>
      <c r="FJ2" s="2" t="s">
        <v>34</v>
      </c>
      <c r="FL2" s="2" t="s">
        <v>30</v>
      </c>
      <c r="FN2" s="2" t="s">
        <v>30</v>
      </c>
      <c r="FP2" s="2" t="s">
        <v>30</v>
      </c>
      <c r="FR2" s="2" t="s">
        <v>36</v>
      </c>
      <c r="FT2" s="2" t="s">
        <v>36</v>
      </c>
      <c r="FV2" s="2" t="s">
        <v>36</v>
      </c>
      <c r="FX2" s="2" t="s">
        <v>36</v>
      </c>
      <c r="FZ2" s="2" t="s">
        <v>37</v>
      </c>
      <c r="GB2" s="2" t="s">
        <v>38</v>
      </c>
      <c r="GD2" s="2" t="s">
        <v>39</v>
      </c>
      <c r="GF2" s="2" t="s">
        <v>39</v>
      </c>
      <c r="GH2" s="2" t="s">
        <v>40</v>
      </c>
      <c r="GJ2" s="6" t="s">
        <v>20</v>
      </c>
      <c r="GL2" s="2" t="s">
        <v>40</v>
      </c>
      <c r="GN2" s="2" t="s">
        <v>42</v>
      </c>
      <c r="GP2" s="194" t="s">
        <v>43</v>
      </c>
      <c r="GR2" s="2" t="s">
        <v>25</v>
      </c>
      <c r="GT2" s="2" t="s">
        <v>42</v>
      </c>
      <c r="GV2" s="2" t="s">
        <v>34</v>
      </c>
      <c r="GX2" s="2" t="s">
        <v>30</v>
      </c>
      <c r="GZ2" s="2" t="s">
        <v>30</v>
      </c>
      <c r="HB2" s="2" t="s">
        <v>42</v>
      </c>
      <c r="HD2" s="2" t="s">
        <v>30</v>
      </c>
      <c r="HF2" s="2" t="s">
        <v>30</v>
      </c>
      <c r="HH2" s="9" t="s">
        <v>44</v>
      </c>
      <c r="HJ2" s="6" t="s">
        <v>41</v>
      </c>
    </row>
    <row r="3" spans="1:221" s="14" customFormat="1" ht="15.75">
      <c r="A3" s="12" t="s">
        <v>45</v>
      </c>
      <c r="B3" s="13"/>
      <c r="K3" s="13"/>
      <c r="Q3" s="15"/>
      <c r="T3" s="16"/>
      <c r="U3" s="16"/>
      <c r="V3" s="17"/>
      <c r="W3" s="16"/>
      <c r="Y3" s="16" t="s">
        <v>46</v>
      </c>
      <c r="Z3" s="16" t="s">
        <v>47</v>
      </c>
      <c r="AF3" s="16" t="s">
        <v>46</v>
      </c>
      <c r="AG3" s="16" t="s">
        <v>47</v>
      </c>
      <c r="AJ3" s="16"/>
      <c r="AK3" s="16"/>
      <c r="AM3" s="16" t="s">
        <v>46</v>
      </c>
      <c r="AN3" s="16" t="s">
        <v>47</v>
      </c>
      <c r="AQ3" s="16"/>
      <c r="AR3" s="16"/>
      <c r="AT3" s="16" t="s">
        <v>46</v>
      </c>
      <c r="AU3" s="16" t="s">
        <v>47</v>
      </c>
      <c r="AX3" s="16"/>
      <c r="AY3" s="16"/>
      <c r="AZ3" s="16"/>
      <c r="BA3" s="16"/>
      <c r="BB3" s="16"/>
      <c r="BC3" s="16"/>
      <c r="BD3" s="16"/>
      <c r="BE3" s="16"/>
      <c r="BF3" s="18" t="s">
        <v>48</v>
      </c>
      <c r="BG3" s="14">
        <v>0</v>
      </c>
      <c r="BH3" s="14">
        <v>0</v>
      </c>
      <c r="BI3" s="14">
        <v>600</v>
      </c>
      <c r="BK3" s="14">
        <v>50000</v>
      </c>
      <c r="BM3" s="14">
        <v>136</v>
      </c>
      <c r="BN3" s="19">
        <v>4000</v>
      </c>
      <c r="BO3" s="20"/>
      <c r="BP3" s="19">
        <v>8000</v>
      </c>
      <c r="BQ3" s="21"/>
      <c r="BR3" s="19">
        <v>1000</v>
      </c>
      <c r="BS3" s="21"/>
      <c r="BT3" s="19">
        <v>2000</v>
      </c>
      <c r="BU3" s="21"/>
      <c r="BV3" s="22">
        <v>2000</v>
      </c>
      <c r="BX3" s="14">
        <v>8000</v>
      </c>
      <c r="BZ3" s="14">
        <v>2</v>
      </c>
      <c r="CB3" s="14">
        <v>1</v>
      </c>
      <c r="CD3" s="14">
        <v>1</v>
      </c>
      <c r="CF3" s="14">
        <v>2121</v>
      </c>
      <c r="CH3" s="14">
        <v>40860</v>
      </c>
      <c r="CJ3" s="14">
        <v>6104</v>
      </c>
      <c r="CL3" s="14">
        <v>4833</v>
      </c>
      <c r="CN3" s="14">
        <v>39070</v>
      </c>
      <c r="CP3" s="14">
        <v>6580</v>
      </c>
      <c r="CR3" s="14">
        <v>7317</v>
      </c>
      <c r="CT3" s="14">
        <v>8691</v>
      </c>
      <c r="CV3" s="14">
        <v>19757</v>
      </c>
      <c r="CX3" s="14">
        <v>8046</v>
      </c>
      <c r="CZ3" s="14">
        <v>4045</v>
      </c>
      <c r="DB3" s="14">
        <v>80</v>
      </c>
      <c r="DD3" s="14">
        <v>6</v>
      </c>
      <c r="DF3" s="14">
        <v>4</v>
      </c>
      <c r="DH3" s="14">
        <v>24</v>
      </c>
      <c r="DJ3" s="14">
        <v>5</v>
      </c>
      <c r="DL3" s="14">
        <v>13</v>
      </c>
      <c r="DN3" s="14">
        <v>33</v>
      </c>
      <c r="DP3" s="14">
        <v>5000</v>
      </c>
      <c r="DR3" s="14">
        <v>5000</v>
      </c>
      <c r="DT3" s="14">
        <v>303</v>
      </c>
      <c r="DV3" s="14">
        <v>16</v>
      </c>
      <c r="DX3" s="14">
        <v>87</v>
      </c>
      <c r="DZ3" s="14">
        <v>18</v>
      </c>
      <c r="EB3" s="14">
        <v>92</v>
      </c>
      <c r="ED3" s="14">
        <v>911</v>
      </c>
      <c r="EF3" s="14">
        <v>1</v>
      </c>
      <c r="EH3" s="14">
        <v>40000</v>
      </c>
      <c r="EJ3" s="14">
        <v>51</v>
      </c>
      <c r="EL3" s="14">
        <v>1</v>
      </c>
      <c r="EN3" s="14">
        <v>1</v>
      </c>
      <c r="EP3" s="14">
        <v>8</v>
      </c>
      <c r="ER3" s="14">
        <v>2</v>
      </c>
      <c r="ET3" s="14">
        <v>34</v>
      </c>
      <c r="EV3" s="14">
        <v>3</v>
      </c>
      <c r="EX3" s="14">
        <v>23</v>
      </c>
      <c r="EZ3" s="14">
        <v>4</v>
      </c>
      <c r="FB3" s="14">
        <v>1</v>
      </c>
      <c r="FD3" s="14">
        <v>2</v>
      </c>
      <c r="FF3" s="14">
        <v>10</v>
      </c>
      <c r="FH3" s="14">
        <v>2300</v>
      </c>
      <c r="FJ3" s="14">
        <v>38</v>
      </c>
      <c r="FL3" s="14">
        <v>13</v>
      </c>
      <c r="FN3" s="14">
        <v>63</v>
      </c>
      <c r="FP3" s="14">
        <v>14</v>
      </c>
      <c r="FR3" s="14">
        <v>40</v>
      </c>
      <c r="FT3" s="14">
        <v>9318</v>
      </c>
      <c r="FV3" s="14">
        <v>123</v>
      </c>
      <c r="FX3" s="14">
        <v>138</v>
      </c>
      <c r="FZ3" s="14">
        <v>4427</v>
      </c>
      <c r="GB3" s="14">
        <v>900</v>
      </c>
      <c r="GD3" s="14">
        <v>5329</v>
      </c>
      <c r="GF3" s="14">
        <v>777</v>
      </c>
      <c r="GH3" s="14">
        <v>5000</v>
      </c>
      <c r="GJ3" s="19">
        <v>20000</v>
      </c>
      <c r="GL3" s="14">
        <v>19293</v>
      </c>
      <c r="GN3" s="14">
        <v>34</v>
      </c>
      <c r="GP3" s="19">
        <v>500</v>
      </c>
      <c r="GR3" s="14">
        <v>33</v>
      </c>
      <c r="GT3" s="14">
        <v>3</v>
      </c>
      <c r="GV3" s="14">
        <v>1</v>
      </c>
      <c r="GX3" s="14">
        <v>1</v>
      </c>
      <c r="GZ3" s="14">
        <v>1</v>
      </c>
      <c r="HB3" s="14">
        <v>3</v>
      </c>
      <c r="HD3" s="14">
        <v>1</v>
      </c>
      <c r="HF3" s="14">
        <v>4</v>
      </c>
      <c r="HH3" s="22">
        <v>176</v>
      </c>
      <c r="HJ3" s="19">
        <v>2200</v>
      </c>
      <c r="HL3" s="23">
        <f>SUM(BI3:HK3)</f>
        <v>345627</v>
      </c>
    </row>
    <row r="4" spans="1:221" s="26" customFormat="1" ht="16.5">
      <c r="A4" s="24" t="s">
        <v>49</v>
      </c>
      <c r="B4" s="25"/>
      <c r="K4" s="13" t="s">
        <v>50</v>
      </c>
      <c r="L4" s="14"/>
      <c r="M4" s="14"/>
      <c r="N4" s="14"/>
      <c r="O4" s="14"/>
      <c r="P4" s="14"/>
      <c r="Q4" s="27" t="s">
        <v>51</v>
      </c>
      <c r="R4" s="210" t="s">
        <v>52</v>
      </c>
      <c r="S4" s="210"/>
      <c r="T4" s="29" t="s">
        <v>53</v>
      </c>
      <c r="U4" s="30"/>
      <c r="V4" s="17" t="s">
        <v>431</v>
      </c>
      <c r="W4" s="30" t="s">
        <v>431</v>
      </c>
      <c r="X4" s="30" t="s">
        <v>431</v>
      </c>
      <c r="Y4" s="30" t="s">
        <v>431</v>
      </c>
      <c r="Z4" s="30" t="s">
        <v>431</v>
      </c>
      <c r="AA4" s="30" t="s">
        <v>431</v>
      </c>
      <c r="AB4" s="30" t="s">
        <v>431</v>
      </c>
      <c r="AC4" s="30" t="s">
        <v>431</v>
      </c>
      <c r="AD4" s="30" t="s">
        <v>431</v>
      </c>
      <c r="AE4" s="30" t="s">
        <v>431</v>
      </c>
      <c r="AF4" s="30" t="s">
        <v>431</v>
      </c>
      <c r="AG4" s="30" t="s">
        <v>431</v>
      </c>
      <c r="AH4" s="30" t="s">
        <v>431</v>
      </c>
      <c r="AI4" s="30" t="s">
        <v>431</v>
      </c>
      <c r="AJ4" s="30" t="s">
        <v>431</v>
      </c>
      <c r="AK4" s="30" t="s">
        <v>431</v>
      </c>
      <c r="AL4" s="30" t="s">
        <v>431</v>
      </c>
      <c r="AM4" s="30" t="s">
        <v>431</v>
      </c>
      <c r="AN4" s="30" t="s">
        <v>431</v>
      </c>
      <c r="AO4" s="30" t="s">
        <v>431</v>
      </c>
      <c r="AP4" s="30" t="s">
        <v>431</v>
      </c>
      <c r="AQ4" s="30" t="s">
        <v>431</v>
      </c>
      <c r="AR4" s="30" t="s">
        <v>431</v>
      </c>
      <c r="AS4" s="30" t="s">
        <v>431</v>
      </c>
      <c r="AT4" s="30" t="s">
        <v>431</v>
      </c>
      <c r="AU4" s="30" t="s">
        <v>431</v>
      </c>
      <c r="AV4" s="30" t="s">
        <v>431</v>
      </c>
      <c r="AW4" s="30" t="s">
        <v>431</v>
      </c>
      <c r="AX4" s="30" t="s">
        <v>431</v>
      </c>
      <c r="AY4" s="30" t="s">
        <v>431</v>
      </c>
      <c r="AZ4" s="30" t="s">
        <v>431</v>
      </c>
      <c r="BA4" s="30"/>
      <c r="BB4" s="30" t="s">
        <v>431</v>
      </c>
      <c r="BC4" s="30" t="s">
        <v>431</v>
      </c>
      <c r="BD4" s="30" t="s">
        <v>431</v>
      </c>
      <c r="BE4" s="30"/>
      <c r="BF4" s="18" t="s">
        <v>54</v>
      </c>
      <c r="BG4" s="13" t="s">
        <v>55</v>
      </c>
      <c r="BH4" s="13" t="s">
        <v>55</v>
      </c>
      <c r="BI4" s="31" t="s">
        <v>56</v>
      </c>
      <c r="BJ4" s="13"/>
      <c r="BK4" s="13" t="s">
        <v>55</v>
      </c>
      <c r="BL4" s="13"/>
      <c r="BM4" s="13" t="s">
        <v>335</v>
      </c>
      <c r="BN4" s="32" t="s">
        <v>57</v>
      </c>
      <c r="BO4" s="33"/>
      <c r="BP4" s="32" t="s">
        <v>57</v>
      </c>
      <c r="BQ4" s="13"/>
      <c r="BR4" s="32" t="s">
        <v>57</v>
      </c>
      <c r="BS4" s="13"/>
      <c r="BT4" s="32" t="s">
        <v>57</v>
      </c>
      <c r="BU4" s="34"/>
      <c r="BV4" s="35" t="s">
        <v>57</v>
      </c>
      <c r="BW4" s="13"/>
      <c r="BX4" s="13" t="s">
        <v>57</v>
      </c>
      <c r="BY4" s="13"/>
      <c r="BZ4" s="13" t="s">
        <v>57</v>
      </c>
      <c r="CA4" s="13"/>
      <c r="CB4" s="13" t="s">
        <v>57</v>
      </c>
      <c r="CC4" s="13"/>
      <c r="CD4" s="13" t="s">
        <v>57</v>
      </c>
      <c r="CE4" s="13"/>
      <c r="CF4" s="13" t="s">
        <v>57</v>
      </c>
      <c r="CG4" s="13"/>
      <c r="CH4" s="13" t="s">
        <v>57</v>
      </c>
      <c r="CI4" s="13"/>
      <c r="CJ4" s="13" t="s">
        <v>57</v>
      </c>
      <c r="CK4" s="13"/>
      <c r="CL4" s="13" t="s">
        <v>57</v>
      </c>
      <c r="CM4" s="13"/>
      <c r="CN4" s="13" t="s">
        <v>57</v>
      </c>
      <c r="CO4" s="13"/>
      <c r="CP4" s="13" t="s">
        <v>57</v>
      </c>
      <c r="CQ4" s="13"/>
      <c r="CR4" s="13" t="s">
        <v>57</v>
      </c>
      <c r="CS4" s="13"/>
      <c r="CT4" s="13" t="s">
        <v>57</v>
      </c>
      <c r="CU4" s="13"/>
      <c r="CV4" s="13" t="s">
        <v>57</v>
      </c>
      <c r="CW4" s="13"/>
      <c r="CX4" s="13" t="s">
        <v>57</v>
      </c>
      <c r="CY4" s="13"/>
      <c r="CZ4" s="13" t="s">
        <v>57</v>
      </c>
      <c r="DA4" s="13"/>
      <c r="DB4" s="13" t="s">
        <v>57</v>
      </c>
      <c r="DC4" s="13"/>
      <c r="DD4" s="13" t="s">
        <v>57</v>
      </c>
      <c r="DE4" s="13"/>
      <c r="DF4" s="13" t="s">
        <v>57</v>
      </c>
      <c r="DG4" s="13"/>
      <c r="DH4" s="13" t="s">
        <v>57</v>
      </c>
      <c r="DI4" s="13"/>
      <c r="DJ4" s="13" t="s">
        <v>57</v>
      </c>
      <c r="DK4" s="13"/>
      <c r="DL4" s="13" t="s">
        <v>57</v>
      </c>
      <c r="DM4" s="13"/>
      <c r="DN4" s="13" t="s">
        <v>57</v>
      </c>
      <c r="DO4" s="13"/>
      <c r="DP4" s="13" t="s">
        <v>57</v>
      </c>
      <c r="DQ4" s="13"/>
      <c r="DR4" s="13" t="s">
        <v>57</v>
      </c>
      <c r="DS4" s="13"/>
      <c r="DT4" s="13" t="s">
        <v>57</v>
      </c>
      <c r="DU4" s="13"/>
      <c r="DV4" s="13" t="s">
        <v>57</v>
      </c>
      <c r="DW4" s="13"/>
      <c r="DX4" s="13" t="s">
        <v>57</v>
      </c>
      <c r="DY4" s="13"/>
      <c r="DZ4" s="13" t="s">
        <v>57</v>
      </c>
      <c r="EA4" s="13"/>
      <c r="EB4" s="13" t="s">
        <v>57</v>
      </c>
      <c r="EC4" s="13"/>
      <c r="ED4" s="13" t="s">
        <v>57</v>
      </c>
      <c r="EE4" s="13"/>
      <c r="EF4" s="13" t="s">
        <v>57</v>
      </c>
      <c r="EG4" s="13"/>
      <c r="EH4" s="31" t="s">
        <v>56</v>
      </c>
      <c r="EI4" s="13"/>
      <c r="EJ4" s="13" t="s">
        <v>57</v>
      </c>
      <c r="EK4" s="13"/>
      <c r="EL4" s="13" t="s">
        <v>57</v>
      </c>
      <c r="EM4" s="13"/>
      <c r="EN4" s="13" t="s">
        <v>57</v>
      </c>
      <c r="EO4" s="13"/>
      <c r="EP4" s="13" t="s">
        <v>57</v>
      </c>
      <c r="EQ4" s="13"/>
      <c r="ER4" s="13" t="s">
        <v>57</v>
      </c>
      <c r="ES4" s="13"/>
      <c r="ET4" s="13" t="s">
        <v>57</v>
      </c>
      <c r="EU4" s="13"/>
      <c r="EV4" s="13" t="s">
        <v>57</v>
      </c>
      <c r="EW4" s="13"/>
      <c r="EX4" s="13" t="s">
        <v>57</v>
      </c>
      <c r="EY4" s="13"/>
      <c r="EZ4" s="13" t="s">
        <v>57</v>
      </c>
      <c r="FA4" s="13"/>
      <c r="FB4" s="13" t="s">
        <v>57</v>
      </c>
      <c r="FC4" s="13"/>
      <c r="FD4" s="13" t="s">
        <v>57</v>
      </c>
      <c r="FE4" s="13"/>
      <c r="FF4" s="13" t="s">
        <v>57</v>
      </c>
      <c r="FG4" s="13"/>
      <c r="FH4" s="13" t="s">
        <v>58</v>
      </c>
      <c r="FI4" s="13"/>
      <c r="FJ4" s="13" t="s">
        <v>57</v>
      </c>
      <c r="FK4" s="13"/>
      <c r="FL4" s="13" t="s">
        <v>57</v>
      </c>
      <c r="FM4" s="13"/>
      <c r="FN4" s="13" t="s">
        <v>57</v>
      </c>
      <c r="FO4" s="13"/>
      <c r="FP4" s="13" t="s">
        <v>57</v>
      </c>
      <c r="FQ4" s="13"/>
      <c r="FR4" s="13" t="s">
        <v>57</v>
      </c>
      <c r="FS4" s="13"/>
      <c r="FT4" s="13" t="s">
        <v>57</v>
      </c>
      <c r="FU4" s="13"/>
      <c r="FV4" s="13" t="s">
        <v>57</v>
      </c>
      <c r="FW4" s="13"/>
      <c r="FX4" s="13" t="s">
        <v>57</v>
      </c>
      <c r="FY4" s="13"/>
      <c r="FZ4" s="31" t="s">
        <v>56</v>
      </c>
      <c r="GA4" s="13"/>
      <c r="GB4" s="13" t="s">
        <v>57</v>
      </c>
      <c r="GC4" s="13"/>
      <c r="GD4" s="13" t="s">
        <v>57</v>
      </c>
      <c r="GE4" s="13"/>
      <c r="GF4" s="13" t="s">
        <v>57</v>
      </c>
      <c r="GG4" s="13"/>
      <c r="GH4" s="13" t="s">
        <v>57</v>
      </c>
      <c r="GI4" s="13"/>
      <c r="GJ4" s="32" t="s">
        <v>57</v>
      </c>
      <c r="GK4" s="13"/>
      <c r="GL4" s="13" t="s">
        <v>57</v>
      </c>
      <c r="GM4" s="13"/>
      <c r="GN4" s="13" t="s">
        <v>57</v>
      </c>
      <c r="GO4" s="13"/>
      <c r="GP4" s="32" t="s">
        <v>57</v>
      </c>
      <c r="GQ4" s="13"/>
      <c r="GR4" s="13" t="s">
        <v>57</v>
      </c>
      <c r="GS4" s="13"/>
      <c r="GT4" s="13" t="s">
        <v>57</v>
      </c>
      <c r="GU4" s="13"/>
      <c r="GV4" s="13" t="s">
        <v>57</v>
      </c>
      <c r="GW4" s="13"/>
      <c r="GX4" s="13" t="s">
        <v>57</v>
      </c>
      <c r="GY4" s="13"/>
      <c r="GZ4" s="13" t="s">
        <v>57</v>
      </c>
      <c r="HA4" s="13"/>
      <c r="HB4" s="13" t="s">
        <v>57</v>
      </c>
      <c r="HC4" s="13"/>
      <c r="HD4" s="13" t="s">
        <v>57</v>
      </c>
      <c r="HE4" s="13"/>
      <c r="HF4" s="13" t="s">
        <v>57</v>
      </c>
      <c r="HG4" s="13"/>
      <c r="HH4" s="35" t="s">
        <v>57</v>
      </c>
      <c r="HI4" s="13"/>
      <c r="HJ4" s="32" t="s">
        <v>57</v>
      </c>
      <c r="HK4" s="13"/>
    </row>
    <row r="5" spans="1:221" s="14" customFormat="1" ht="16.5">
      <c r="B5" s="13"/>
      <c r="K5" s="13"/>
      <c r="N5" s="14" t="s">
        <v>59</v>
      </c>
      <c r="O5" s="14" t="s">
        <v>60</v>
      </c>
      <c r="Q5" s="27" t="s">
        <v>61</v>
      </c>
      <c r="R5" s="27" t="s">
        <v>61</v>
      </c>
      <c r="S5" s="27" t="s">
        <v>61</v>
      </c>
      <c r="T5" s="29"/>
      <c r="U5" s="30"/>
      <c r="V5" s="17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18" t="s">
        <v>62</v>
      </c>
      <c r="BG5" s="13"/>
      <c r="BH5" s="13" t="s">
        <v>63</v>
      </c>
      <c r="BI5" s="31" t="s">
        <v>64</v>
      </c>
      <c r="BJ5" s="13"/>
      <c r="BK5" s="13">
        <v>37147</v>
      </c>
      <c r="BL5" s="13"/>
      <c r="BM5" s="13">
        <v>39999</v>
      </c>
      <c r="BN5" s="32"/>
      <c r="BO5" s="33"/>
      <c r="BP5" s="32"/>
      <c r="BQ5" s="34"/>
      <c r="BR5" s="32" t="s">
        <v>65</v>
      </c>
      <c r="BS5" s="34"/>
      <c r="BT5" s="32" t="s">
        <v>65</v>
      </c>
      <c r="BU5" s="34"/>
      <c r="BV5" s="35" t="s">
        <v>430</v>
      </c>
      <c r="BW5" s="13"/>
      <c r="BX5" s="13" t="s">
        <v>430</v>
      </c>
      <c r="BY5" s="13"/>
      <c r="BZ5" s="13">
        <v>37147</v>
      </c>
      <c r="CA5" s="13"/>
      <c r="CB5" s="13">
        <v>37147</v>
      </c>
      <c r="CC5" s="13"/>
      <c r="CD5" s="13">
        <v>37147</v>
      </c>
      <c r="CE5" s="13"/>
      <c r="CF5" s="13">
        <v>37147</v>
      </c>
      <c r="CG5" s="13"/>
      <c r="CH5" s="13">
        <v>37147</v>
      </c>
      <c r="CI5" s="13"/>
      <c r="CJ5" s="13">
        <v>37147</v>
      </c>
      <c r="CK5" s="13"/>
      <c r="CL5" s="13">
        <v>37147</v>
      </c>
      <c r="CM5" s="13"/>
      <c r="CN5" s="13">
        <v>37147</v>
      </c>
      <c r="CO5" s="13"/>
      <c r="CP5" s="13">
        <v>37147</v>
      </c>
      <c r="CQ5" s="13"/>
      <c r="CR5" s="13">
        <v>37147</v>
      </c>
      <c r="CS5" s="13"/>
      <c r="CT5" s="13">
        <v>37147</v>
      </c>
      <c r="CU5" s="13"/>
      <c r="CV5" s="13">
        <v>37147</v>
      </c>
      <c r="CW5" s="13"/>
      <c r="CX5" s="13">
        <v>37147</v>
      </c>
      <c r="CY5" s="13"/>
      <c r="CZ5" s="13">
        <v>37147</v>
      </c>
      <c r="DA5" s="13"/>
      <c r="DB5" s="13">
        <v>37147</v>
      </c>
      <c r="DC5" s="13"/>
      <c r="DD5" s="13">
        <v>37147</v>
      </c>
      <c r="DE5" s="13"/>
      <c r="DF5" s="13">
        <v>37147</v>
      </c>
      <c r="DG5" s="13"/>
      <c r="DH5" s="13">
        <v>37147</v>
      </c>
      <c r="DI5" s="13"/>
      <c r="DJ5" s="13">
        <v>37147</v>
      </c>
      <c r="DK5" s="13"/>
      <c r="DL5" s="13">
        <v>37147</v>
      </c>
      <c r="DM5" s="13"/>
      <c r="DN5" s="13">
        <v>37147</v>
      </c>
      <c r="DO5" s="13"/>
      <c r="DP5" s="13">
        <v>37147</v>
      </c>
      <c r="DQ5" s="13"/>
      <c r="DR5" s="13">
        <v>37147</v>
      </c>
      <c r="DS5" s="13"/>
      <c r="DT5" s="13">
        <v>37147</v>
      </c>
      <c r="DU5" s="13"/>
      <c r="DV5" s="13">
        <v>37147</v>
      </c>
      <c r="DW5" s="13"/>
      <c r="DX5" s="13">
        <v>37147</v>
      </c>
      <c r="DY5" s="13"/>
      <c r="DZ5" s="13">
        <v>37147</v>
      </c>
      <c r="EA5" s="13"/>
      <c r="EB5" s="13">
        <v>37147</v>
      </c>
      <c r="EC5" s="13"/>
      <c r="ED5" s="13">
        <v>37147</v>
      </c>
      <c r="EE5" s="13"/>
      <c r="EF5" s="13">
        <v>37147</v>
      </c>
      <c r="EG5" s="13"/>
      <c r="EH5" s="31" t="s">
        <v>66</v>
      </c>
      <c r="EI5" s="13"/>
      <c r="EJ5" s="13">
        <v>37147</v>
      </c>
      <c r="EK5" s="13"/>
      <c r="EL5" s="13">
        <v>37147</v>
      </c>
      <c r="EM5" s="13"/>
      <c r="EN5" s="13">
        <v>37147</v>
      </c>
      <c r="EO5" s="13"/>
      <c r="EP5" s="13">
        <v>37147</v>
      </c>
      <c r="EQ5" s="13"/>
      <c r="ER5" s="13">
        <v>37147</v>
      </c>
      <c r="ES5" s="13"/>
      <c r="ET5" s="13">
        <v>37147</v>
      </c>
      <c r="EU5" s="13"/>
      <c r="EV5" s="13">
        <v>37147</v>
      </c>
      <c r="EW5" s="13"/>
      <c r="EX5" s="13">
        <v>37147</v>
      </c>
      <c r="EY5" s="13"/>
      <c r="EZ5" s="13">
        <v>37147</v>
      </c>
      <c r="FA5" s="13"/>
      <c r="FB5" s="13">
        <v>37147</v>
      </c>
      <c r="FC5" s="13"/>
      <c r="FD5" s="13">
        <v>37147</v>
      </c>
      <c r="FE5" s="13"/>
      <c r="FF5" s="13">
        <v>37147</v>
      </c>
      <c r="FG5" s="13"/>
      <c r="FH5" s="13">
        <v>37147</v>
      </c>
      <c r="FI5" s="13"/>
      <c r="FJ5" s="13">
        <v>37147</v>
      </c>
      <c r="FK5" s="13"/>
      <c r="FL5" s="13">
        <v>37147</v>
      </c>
      <c r="FM5" s="13"/>
      <c r="FN5" s="13">
        <v>37147</v>
      </c>
      <c r="FO5" s="13"/>
      <c r="FP5" s="13">
        <v>37147</v>
      </c>
      <c r="FQ5" s="13"/>
      <c r="FR5" s="13">
        <v>37147</v>
      </c>
      <c r="FS5" s="13"/>
      <c r="FT5" s="13">
        <v>37147</v>
      </c>
      <c r="FU5" s="13"/>
      <c r="FV5" s="13">
        <v>37147</v>
      </c>
      <c r="FW5" s="13"/>
      <c r="FX5" s="13">
        <v>37147</v>
      </c>
      <c r="FY5" s="13"/>
      <c r="FZ5" s="31" t="s">
        <v>64</v>
      </c>
      <c r="GA5" s="13"/>
      <c r="GB5" s="13">
        <v>37147</v>
      </c>
      <c r="GC5" s="13"/>
      <c r="GD5" s="13">
        <v>37147</v>
      </c>
      <c r="GE5" s="13"/>
      <c r="GF5" s="13">
        <v>37147</v>
      </c>
      <c r="GG5" s="13"/>
      <c r="GH5" s="13">
        <v>37147</v>
      </c>
      <c r="GI5" s="13"/>
      <c r="GJ5" s="32" t="s">
        <v>65</v>
      </c>
      <c r="GK5" s="13"/>
      <c r="GL5" s="13">
        <v>37147</v>
      </c>
      <c r="GM5" s="13"/>
      <c r="GN5" s="13">
        <v>37147</v>
      </c>
      <c r="GO5" s="13"/>
      <c r="GP5" s="32" t="s">
        <v>67</v>
      </c>
      <c r="GQ5" s="13"/>
      <c r="GR5" s="13">
        <v>37147</v>
      </c>
      <c r="GS5" s="13"/>
      <c r="GT5" s="13">
        <v>37147</v>
      </c>
      <c r="GU5" s="13"/>
      <c r="GV5" s="13">
        <v>37147</v>
      </c>
      <c r="GW5" s="13"/>
      <c r="GX5" s="13">
        <v>37147</v>
      </c>
      <c r="GY5" s="13"/>
      <c r="GZ5" s="13">
        <v>37147</v>
      </c>
      <c r="HA5" s="13"/>
      <c r="HB5" s="13">
        <v>37147</v>
      </c>
      <c r="HC5" s="13"/>
      <c r="HD5" s="13">
        <v>37147</v>
      </c>
      <c r="HE5" s="13"/>
      <c r="HF5" s="13">
        <v>37147</v>
      </c>
      <c r="HG5" s="13"/>
      <c r="HH5" s="35">
        <v>37147</v>
      </c>
      <c r="HI5" s="13"/>
      <c r="HJ5" s="32"/>
      <c r="HK5" s="13"/>
    </row>
    <row r="6" spans="1:221" s="36" customFormat="1" ht="16.5">
      <c r="B6" s="37"/>
      <c r="K6" s="37"/>
      <c r="N6" s="36" t="s">
        <v>68</v>
      </c>
      <c r="O6" s="36" t="s">
        <v>69</v>
      </c>
      <c r="Q6" s="38"/>
      <c r="R6" s="38"/>
      <c r="S6" s="38"/>
      <c r="T6" s="39"/>
      <c r="U6" s="40"/>
      <c r="V6" s="41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2"/>
      <c r="BG6" s="37"/>
      <c r="BH6" s="37"/>
      <c r="BI6" s="37" t="s">
        <v>70</v>
      </c>
      <c r="BJ6" s="37"/>
      <c r="BK6" s="37"/>
      <c r="BL6" s="37"/>
      <c r="BM6" s="37"/>
      <c r="BN6" s="43" t="s">
        <v>71</v>
      </c>
      <c r="BO6" s="44"/>
      <c r="BP6" s="43" t="s">
        <v>336</v>
      </c>
      <c r="BQ6" s="45"/>
      <c r="BR6" s="43" t="s">
        <v>72</v>
      </c>
      <c r="BS6" s="45"/>
      <c r="BT6" s="43" t="s">
        <v>73</v>
      </c>
      <c r="BU6" s="45"/>
      <c r="BV6" s="46" t="s">
        <v>74</v>
      </c>
      <c r="BW6" s="37"/>
      <c r="BX6" s="37" t="s">
        <v>77</v>
      </c>
      <c r="BY6" s="37"/>
      <c r="BZ6" s="37" t="s">
        <v>78</v>
      </c>
      <c r="CA6" s="37"/>
      <c r="CB6" s="37" t="s">
        <v>76</v>
      </c>
      <c r="CC6" s="37"/>
      <c r="CD6" s="37" t="s">
        <v>360</v>
      </c>
      <c r="CE6" s="37"/>
      <c r="CF6" s="37" t="s">
        <v>79</v>
      </c>
      <c r="CG6" s="37"/>
      <c r="CH6" s="37" t="s">
        <v>80</v>
      </c>
      <c r="CI6" s="37"/>
      <c r="CJ6" s="37" t="s">
        <v>81</v>
      </c>
      <c r="CK6" s="37"/>
      <c r="CL6" s="37" t="s">
        <v>82</v>
      </c>
      <c r="CM6" s="37"/>
      <c r="CN6" s="37" t="s">
        <v>83</v>
      </c>
      <c r="CO6" s="37"/>
      <c r="CP6" s="37" t="s">
        <v>84</v>
      </c>
      <c r="CQ6" s="37"/>
      <c r="CR6" s="37" t="s">
        <v>85</v>
      </c>
      <c r="CS6" s="37"/>
      <c r="CT6" s="37" t="s">
        <v>86</v>
      </c>
      <c r="CU6" s="37"/>
      <c r="CV6" s="37" t="s">
        <v>87</v>
      </c>
      <c r="CW6" s="37"/>
      <c r="CX6" s="37" t="s">
        <v>88</v>
      </c>
      <c r="CY6" s="37"/>
      <c r="CZ6" s="37" t="s">
        <v>89</v>
      </c>
      <c r="DA6" s="37"/>
      <c r="DB6" s="37" t="s">
        <v>90</v>
      </c>
      <c r="DC6" s="37"/>
      <c r="DD6" s="37" t="s">
        <v>78</v>
      </c>
      <c r="DE6" s="37"/>
      <c r="DF6" s="37" t="s">
        <v>75</v>
      </c>
      <c r="DG6" s="37"/>
      <c r="DH6" s="37" t="s">
        <v>76</v>
      </c>
      <c r="DI6" s="37"/>
      <c r="DJ6" s="37" t="s">
        <v>91</v>
      </c>
      <c r="DK6" s="37"/>
      <c r="DL6" s="37"/>
      <c r="DM6" s="37"/>
      <c r="DN6" s="37" t="s">
        <v>78</v>
      </c>
      <c r="DO6" s="37"/>
      <c r="DP6" s="37" t="s">
        <v>92</v>
      </c>
      <c r="DQ6" s="37"/>
      <c r="DR6" s="37" t="s">
        <v>92</v>
      </c>
      <c r="DS6" s="37"/>
      <c r="DT6" s="37" t="s">
        <v>78</v>
      </c>
      <c r="DU6" s="37"/>
      <c r="DV6" s="37" t="s">
        <v>75</v>
      </c>
      <c r="DW6" s="37"/>
      <c r="DX6" s="37" t="s">
        <v>76</v>
      </c>
      <c r="DY6" s="37"/>
      <c r="DZ6" s="37" t="s">
        <v>91</v>
      </c>
      <c r="EA6" s="37"/>
      <c r="EB6" s="37" t="s">
        <v>360</v>
      </c>
      <c r="EC6" s="37"/>
      <c r="ED6" s="37" t="s">
        <v>78</v>
      </c>
      <c r="EE6" s="37"/>
      <c r="EF6" s="37" t="s">
        <v>76</v>
      </c>
      <c r="EG6" s="37"/>
      <c r="EH6" s="31" t="s">
        <v>64</v>
      </c>
      <c r="EI6" s="37"/>
      <c r="EJ6" s="37" t="s">
        <v>78</v>
      </c>
      <c r="EK6" s="37"/>
      <c r="EL6" s="37" t="s">
        <v>360</v>
      </c>
      <c r="EM6" s="37"/>
      <c r="EN6" s="37" t="s">
        <v>75</v>
      </c>
      <c r="EO6" s="37"/>
      <c r="EP6" s="37" t="s">
        <v>76</v>
      </c>
      <c r="EQ6" s="37"/>
      <c r="ER6" s="37" t="s">
        <v>91</v>
      </c>
      <c r="ES6" s="37"/>
      <c r="ET6" s="37" t="s">
        <v>95</v>
      </c>
      <c r="EU6" s="37"/>
      <c r="EV6" s="37" t="s">
        <v>75</v>
      </c>
      <c r="EW6" s="37"/>
      <c r="EX6" s="37" t="s">
        <v>76</v>
      </c>
      <c r="EY6" s="37"/>
      <c r="EZ6" s="37" t="s">
        <v>91</v>
      </c>
      <c r="FA6" s="37"/>
      <c r="FB6" s="37" t="s">
        <v>75</v>
      </c>
      <c r="FC6" s="37"/>
      <c r="FD6" s="37" t="s">
        <v>76</v>
      </c>
      <c r="FE6" s="37"/>
      <c r="FF6" s="37" t="s">
        <v>357</v>
      </c>
      <c r="FG6" s="37"/>
      <c r="FH6" s="37" t="s">
        <v>77</v>
      </c>
      <c r="FI6" s="37"/>
      <c r="FJ6" s="37" t="s">
        <v>357</v>
      </c>
      <c r="FK6" s="37"/>
      <c r="FL6" s="37" t="s">
        <v>75</v>
      </c>
      <c r="FM6" s="37"/>
      <c r="FN6" s="37" t="s">
        <v>76</v>
      </c>
      <c r="FO6" s="37"/>
      <c r="FP6" s="37" t="s">
        <v>91</v>
      </c>
      <c r="FQ6" s="37"/>
      <c r="FR6" s="37" t="s">
        <v>75</v>
      </c>
      <c r="FS6" s="37"/>
      <c r="FT6" s="37" t="s">
        <v>77</v>
      </c>
      <c r="FU6" s="37"/>
      <c r="FV6" s="37" t="s">
        <v>93</v>
      </c>
      <c r="FW6" s="37"/>
      <c r="FX6" s="37" t="s">
        <v>94</v>
      </c>
      <c r="FY6" s="37"/>
      <c r="FZ6" s="37" t="s">
        <v>95</v>
      </c>
      <c r="GA6" s="37"/>
      <c r="GB6" s="37" t="s">
        <v>352</v>
      </c>
      <c r="GC6" s="37"/>
      <c r="GD6" s="37" t="s">
        <v>95</v>
      </c>
      <c r="GE6" s="37"/>
      <c r="GF6" s="37" t="s">
        <v>96</v>
      </c>
      <c r="GG6" s="37"/>
      <c r="GH6" s="37"/>
      <c r="GI6" s="37"/>
      <c r="GJ6" s="43" t="s">
        <v>97</v>
      </c>
      <c r="GK6" s="37"/>
      <c r="GL6" s="37"/>
      <c r="GM6" s="37"/>
      <c r="GN6" s="37"/>
      <c r="GO6" s="37"/>
      <c r="GP6" s="43" t="s">
        <v>71</v>
      </c>
      <c r="GQ6" s="37"/>
      <c r="GR6" s="37" t="s">
        <v>79</v>
      </c>
      <c r="GS6" s="37"/>
      <c r="GT6" s="37" t="s">
        <v>358</v>
      </c>
      <c r="GU6" s="37"/>
      <c r="GV6" s="37"/>
      <c r="GW6" s="37"/>
      <c r="GX6" s="37" t="s">
        <v>75</v>
      </c>
      <c r="GY6" s="37"/>
      <c r="GZ6" s="37" t="s">
        <v>76</v>
      </c>
      <c r="HA6" s="37"/>
      <c r="HB6" s="37"/>
      <c r="HC6" s="37"/>
      <c r="HD6" s="37" t="s">
        <v>75</v>
      </c>
      <c r="HE6" s="37"/>
      <c r="HF6" s="37" t="s">
        <v>76</v>
      </c>
      <c r="HG6" s="37"/>
      <c r="HH6" s="46"/>
      <c r="HI6" s="37"/>
      <c r="HJ6" s="47"/>
      <c r="HK6" s="37"/>
    </row>
    <row r="7" spans="1:221" s="48" customFormat="1" ht="15.75">
      <c r="A7" s="48" t="s">
        <v>98</v>
      </c>
      <c r="B7" s="49" t="s">
        <v>99</v>
      </c>
      <c r="C7" s="48" t="s">
        <v>100</v>
      </c>
      <c r="D7" s="48" t="s">
        <v>101</v>
      </c>
      <c r="E7" s="48" t="s">
        <v>102</v>
      </c>
      <c r="F7" s="48" t="s">
        <v>50</v>
      </c>
      <c r="G7" s="48" t="s">
        <v>103</v>
      </c>
      <c r="H7" s="48" t="s">
        <v>104</v>
      </c>
      <c r="I7" s="48" t="s">
        <v>105</v>
      </c>
      <c r="J7" s="48" t="s">
        <v>106</v>
      </c>
      <c r="K7" s="49" t="s">
        <v>52</v>
      </c>
      <c r="L7" s="48" t="s">
        <v>107</v>
      </c>
      <c r="M7" s="48" t="s">
        <v>108</v>
      </c>
      <c r="N7" s="48" t="s">
        <v>109</v>
      </c>
      <c r="O7" s="48" t="s">
        <v>110</v>
      </c>
      <c r="Q7" s="48" t="s">
        <v>111</v>
      </c>
      <c r="R7" s="27" t="s">
        <v>112</v>
      </c>
      <c r="S7" s="27" t="s">
        <v>113</v>
      </c>
      <c r="T7" s="49"/>
      <c r="U7" s="49"/>
      <c r="V7" s="50">
        <v>1</v>
      </c>
      <c r="W7" s="49">
        <v>2</v>
      </c>
      <c r="X7" s="49">
        <v>3</v>
      </c>
      <c r="Y7" s="49">
        <v>4</v>
      </c>
      <c r="Z7" s="49">
        <v>5</v>
      </c>
      <c r="AA7" s="49">
        <v>6</v>
      </c>
      <c r="AB7" s="49">
        <v>7</v>
      </c>
      <c r="AC7" s="49">
        <v>8</v>
      </c>
      <c r="AD7" s="49">
        <v>9</v>
      </c>
      <c r="AE7" s="49">
        <v>10</v>
      </c>
      <c r="AF7" s="49">
        <v>11</v>
      </c>
      <c r="AG7" s="49">
        <v>12</v>
      </c>
      <c r="AH7" s="49">
        <v>13</v>
      </c>
      <c r="AI7" s="49">
        <v>14</v>
      </c>
      <c r="AJ7" s="49">
        <v>15</v>
      </c>
      <c r="AK7" s="49">
        <v>16</v>
      </c>
      <c r="AL7" s="49">
        <v>17</v>
      </c>
      <c r="AM7" s="49">
        <v>18</v>
      </c>
      <c r="AN7" s="49">
        <v>19</v>
      </c>
      <c r="AO7" s="49">
        <v>20</v>
      </c>
      <c r="AP7" s="49">
        <v>21</v>
      </c>
      <c r="AQ7" s="49">
        <v>22</v>
      </c>
      <c r="AR7" s="49">
        <v>23</v>
      </c>
      <c r="AS7" s="49">
        <v>24</v>
      </c>
      <c r="AT7" s="49">
        <v>25</v>
      </c>
      <c r="AU7" s="49">
        <v>26</v>
      </c>
      <c r="AV7" s="49">
        <v>27</v>
      </c>
      <c r="AW7" s="49">
        <v>28</v>
      </c>
      <c r="AX7" s="49">
        <v>29</v>
      </c>
      <c r="AY7" s="49">
        <v>30</v>
      </c>
      <c r="AZ7" s="49">
        <v>31</v>
      </c>
      <c r="BA7" s="49"/>
      <c r="BB7" s="49" t="s">
        <v>114</v>
      </c>
      <c r="BC7" s="49" t="s">
        <v>115</v>
      </c>
      <c r="BD7" s="49" t="s">
        <v>116</v>
      </c>
      <c r="BE7" s="49"/>
      <c r="BF7" s="51" t="s">
        <v>117</v>
      </c>
      <c r="BG7" s="49" t="s">
        <v>118</v>
      </c>
      <c r="BH7" s="48">
        <v>57908</v>
      </c>
      <c r="BI7" s="48">
        <v>37956</v>
      </c>
      <c r="BK7" s="48">
        <v>38021</v>
      </c>
      <c r="BM7" s="48">
        <v>38992</v>
      </c>
      <c r="BN7" s="52">
        <v>61822</v>
      </c>
      <c r="BO7" s="53"/>
      <c r="BP7" s="52">
        <v>61825</v>
      </c>
      <c r="BQ7" s="54"/>
      <c r="BR7" s="52">
        <v>61838</v>
      </c>
      <c r="BS7" s="54"/>
      <c r="BT7" s="52">
        <v>61990</v>
      </c>
      <c r="BU7" s="54"/>
      <c r="BV7" s="55">
        <v>62164</v>
      </c>
      <c r="BX7" s="48">
        <v>62978</v>
      </c>
      <c r="BZ7" s="48">
        <v>62982</v>
      </c>
      <c r="CB7" s="48">
        <v>62983</v>
      </c>
      <c r="CD7" s="48">
        <v>62983</v>
      </c>
      <c r="CF7" s="48">
        <v>63281</v>
      </c>
      <c r="CH7" s="48">
        <v>63281</v>
      </c>
      <c r="CJ7" s="48">
        <v>63281</v>
      </c>
      <c r="CL7" s="48">
        <v>63281</v>
      </c>
      <c r="CN7" s="48">
        <v>63281</v>
      </c>
      <c r="CP7" s="48">
        <v>63281</v>
      </c>
      <c r="CR7" s="48">
        <v>63281</v>
      </c>
      <c r="CT7" s="48">
        <v>63281</v>
      </c>
      <c r="CV7" s="48">
        <v>63281</v>
      </c>
      <c r="CX7" s="48">
        <v>63281</v>
      </c>
      <c r="CZ7" s="48">
        <v>63281</v>
      </c>
      <c r="DB7" s="48">
        <v>63281</v>
      </c>
      <c r="DD7" s="48">
        <v>63282</v>
      </c>
      <c r="DF7" s="48">
        <v>63283</v>
      </c>
      <c r="DH7" s="48">
        <v>63283</v>
      </c>
      <c r="DJ7" s="48">
        <v>63283</v>
      </c>
      <c r="DL7" s="48">
        <v>63283</v>
      </c>
      <c r="DN7" s="48">
        <v>63557</v>
      </c>
      <c r="DP7" s="48">
        <v>63764</v>
      </c>
      <c r="DR7" s="48">
        <v>63764</v>
      </c>
      <c r="DT7" s="48">
        <v>63822</v>
      </c>
      <c r="DV7" s="48">
        <v>63825</v>
      </c>
      <c r="DX7" s="48">
        <v>63825</v>
      </c>
      <c r="DZ7" s="48">
        <v>63825</v>
      </c>
      <c r="EB7" s="48">
        <v>63825</v>
      </c>
      <c r="ED7" s="48">
        <v>64034</v>
      </c>
      <c r="EF7" s="48">
        <v>64036</v>
      </c>
      <c r="EH7" s="48">
        <v>64231</v>
      </c>
      <c r="EJ7" s="48">
        <v>64328</v>
      </c>
      <c r="EL7" s="48">
        <v>64329</v>
      </c>
      <c r="EN7" s="48">
        <v>64329</v>
      </c>
      <c r="EP7" s="48">
        <v>64329</v>
      </c>
      <c r="ER7" s="48">
        <v>64329</v>
      </c>
      <c r="ET7" s="48">
        <v>64651</v>
      </c>
      <c r="EV7" s="48">
        <v>64651</v>
      </c>
      <c r="EX7" s="48">
        <v>64651</v>
      </c>
      <c r="EZ7" s="48">
        <v>64651</v>
      </c>
      <c r="FB7" s="48">
        <v>64862</v>
      </c>
      <c r="FD7" s="48">
        <v>64862</v>
      </c>
      <c r="FF7" s="48">
        <v>64862</v>
      </c>
      <c r="FH7" s="48">
        <v>64939</v>
      </c>
      <c r="FJ7" s="48">
        <v>65026</v>
      </c>
      <c r="FL7" s="48">
        <v>65026</v>
      </c>
      <c r="FN7" s="48">
        <v>65026</v>
      </c>
      <c r="FP7" s="48">
        <v>65026</v>
      </c>
      <c r="FR7" s="48">
        <v>65041</v>
      </c>
      <c r="FT7" s="48">
        <v>65041</v>
      </c>
      <c r="FV7" s="48">
        <v>65041</v>
      </c>
      <c r="FX7" s="48">
        <v>65041</v>
      </c>
      <c r="FZ7" s="48">
        <v>65042</v>
      </c>
      <c r="GB7" s="48">
        <v>65071</v>
      </c>
      <c r="GD7" s="48">
        <v>65071</v>
      </c>
      <c r="GF7" s="48">
        <v>65071</v>
      </c>
      <c r="GH7" s="48">
        <v>65108</v>
      </c>
      <c r="GJ7" s="52">
        <v>65402</v>
      </c>
      <c r="GL7" s="48">
        <v>65403</v>
      </c>
      <c r="GN7" s="48">
        <v>65404</v>
      </c>
      <c r="GP7" s="52">
        <v>65418</v>
      </c>
      <c r="GR7" s="48">
        <v>65458</v>
      </c>
      <c r="GT7" s="48">
        <v>65534</v>
      </c>
      <c r="GV7" s="48">
        <v>65556</v>
      </c>
      <c r="GX7" s="48">
        <v>65556</v>
      </c>
      <c r="GZ7" s="48">
        <v>65556</v>
      </c>
      <c r="HB7" s="48">
        <v>65659</v>
      </c>
      <c r="HD7" s="48">
        <v>66280</v>
      </c>
      <c r="HF7" s="48">
        <v>66280</v>
      </c>
      <c r="HH7" s="55">
        <v>66392</v>
      </c>
      <c r="HJ7" s="52">
        <v>66391</v>
      </c>
    </row>
    <row r="8" spans="1:221" s="56" customFormat="1" ht="15.75">
      <c r="A8" s="56" t="s">
        <v>119</v>
      </c>
      <c r="B8" s="57" t="s">
        <v>120</v>
      </c>
      <c r="D8" s="36"/>
      <c r="E8" s="56">
        <v>1</v>
      </c>
      <c r="F8" s="56" t="s">
        <v>121</v>
      </c>
      <c r="G8" s="56" t="s">
        <v>151</v>
      </c>
      <c r="H8" s="58">
        <v>36336</v>
      </c>
      <c r="I8" s="56" t="s">
        <v>123</v>
      </c>
      <c r="J8" s="56" t="s">
        <v>124</v>
      </c>
      <c r="K8" s="57"/>
      <c r="L8" s="56" t="s">
        <v>125</v>
      </c>
      <c r="N8" s="56" t="str">
        <f t="shared" ref="N8:N19" si="0">CONCATENATE(B8,J8)</f>
        <v>30CSR</v>
      </c>
      <c r="O8" s="56" t="str">
        <f t="shared" ref="O8:O19" si="1">CONCATENATE(B8,J8,I8)</f>
        <v>30CSRBase</v>
      </c>
      <c r="Q8" s="59">
        <f t="shared" ref="Q8:Q26" si="2">+BC8</f>
        <v>0</v>
      </c>
      <c r="R8" s="59">
        <f t="shared" ref="R8:R30" si="3">+Q8</f>
        <v>0</v>
      </c>
      <c r="S8" s="59"/>
      <c r="T8" s="60">
        <v>37147</v>
      </c>
      <c r="U8" s="60"/>
      <c r="V8" s="61">
        <v>0</v>
      </c>
      <c r="W8" s="60">
        <f t="shared" ref="W8:AX8" si="4">V8</f>
        <v>0</v>
      </c>
      <c r="X8" s="60">
        <f t="shared" si="4"/>
        <v>0</v>
      </c>
      <c r="Y8" s="60">
        <f t="shared" si="4"/>
        <v>0</v>
      </c>
      <c r="Z8" s="60">
        <f t="shared" si="4"/>
        <v>0</v>
      </c>
      <c r="AA8" s="60">
        <f t="shared" si="4"/>
        <v>0</v>
      </c>
      <c r="AB8" s="60">
        <f t="shared" si="4"/>
        <v>0</v>
      </c>
      <c r="AC8" s="60">
        <f t="shared" si="4"/>
        <v>0</v>
      </c>
      <c r="AD8" s="60">
        <f t="shared" si="4"/>
        <v>0</v>
      </c>
      <c r="AE8" s="60">
        <f t="shared" si="4"/>
        <v>0</v>
      </c>
      <c r="AF8" s="60">
        <f t="shared" si="4"/>
        <v>0</v>
      </c>
      <c r="AG8" s="60">
        <f t="shared" si="4"/>
        <v>0</v>
      </c>
      <c r="AH8" s="60">
        <f t="shared" si="4"/>
        <v>0</v>
      </c>
      <c r="AI8" s="60">
        <f t="shared" si="4"/>
        <v>0</v>
      </c>
      <c r="AJ8" s="60">
        <f t="shared" si="4"/>
        <v>0</v>
      </c>
      <c r="AK8" s="60">
        <f t="shared" si="4"/>
        <v>0</v>
      </c>
      <c r="AL8" s="60">
        <f t="shared" si="4"/>
        <v>0</v>
      </c>
      <c r="AM8" s="60">
        <f t="shared" si="4"/>
        <v>0</v>
      </c>
      <c r="AN8" s="60">
        <f t="shared" si="4"/>
        <v>0</v>
      </c>
      <c r="AO8" s="60">
        <f t="shared" si="4"/>
        <v>0</v>
      </c>
      <c r="AP8" s="60">
        <f t="shared" si="4"/>
        <v>0</v>
      </c>
      <c r="AQ8" s="60">
        <f t="shared" si="4"/>
        <v>0</v>
      </c>
      <c r="AR8" s="60">
        <f t="shared" si="4"/>
        <v>0</v>
      </c>
      <c r="AS8" s="60">
        <f t="shared" si="4"/>
        <v>0</v>
      </c>
      <c r="AT8" s="60">
        <f t="shared" si="4"/>
        <v>0</v>
      </c>
      <c r="AU8" s="60">
        <f t="shared" si="4"/>
        <v>0</v>
      </c>
      <c r="AV8" s="60">
        <f t="shared" si="4"/>
        <v>0</v>
      </c>
      <c r="AW8" s="60">
        <f t="shared" si="4"/>
        <v>0</v>
      </c>
      <c r="AX8" s="60">
        <f t="shared" si="4"/>
        <v>0</v>
      </c>
      <c r="AY8" s="60">
        <f t="shared" ref="AY8:AZ23" si="5">AX8</f>
        <v>0</v>
      </c>
      <c r="AZ8" s="60">
        <f t="shared" si="5"/>
        <v>0</v>
      </c>
      <c r="BA8" s="60"/>
      <c r="BB8" s="60">
        <f>SUM(V8:AZ8)</f>
        <v>0</v>
      </c>
      <c r="BC8" s="207">
        <f>+BB8/31</f>
        <v>0</v>
      </c>
      <c r="BD8" s="60">
        <f>MAX(V8:AZ8)</f>
        <v>0</v>
      </c>
      <c r="BE8" s="60"/>
      <c r="BF8" s="59"/>
      <c r="BO8" s="62"/>
      <c r="HH8" s="63"/>
      <c r="HJ8" s="63"/>
      <c r="HL8" s="59">
        <f t="shared" ref="HL8:HL39" si="6">SUM(BG8:HK8)-V8</f>
        <v>0</v>
      </c>
      <c r="HM8" s="59"/>
    </row>
    <row r="9" spans="1:221" s="56" customFormat="1" ht="15.75">
      <c r="A9" s="56" t="s">
        <v>119</v>
      </c>
      <c r="B9" s="57" t="s">
        <v>120</v>
      </c>
      <c r="D9" s="36">
        <v>33</v>
      </c>
      <c r="E9" s="56">
        <v>1</v>
      </c>
      <c r="F9" s="56" t="s">
        <v>127</v>
      </c>
      <c r="G9" s="56" t="s">
        <v>151</v>
      </c>
      <c r="H9" s="58">
        <v>36336</v>
      </c>
      <c r="I9" s="56" t="s">
        <v>123</v>
      </c>
      <c r="J9" s="56" t="s">
        <v>124</v>
      </c>
      <c r="K9" s="57"/>
      <c r="L9" s="56" t="s">
        <v>132</v>
      </c>
      <c r="N9" s="56" t="str">
        <f t="shared" si="0"/>
        <v>30CSR</v>
      </c>
      <c r="O9" s="56" t="str">
        <f t="shared" si="1"/>
        <v>30CSRBase</v>
      </c>
      <c r="Q9" s="59">
        <f t="shared" si="2"/>
        <v>0</v>
      </c>
      <c r="R9" s="59">
        <f t="shared" si="3"/>
        <v>0</v>
      </c>
      <c r="S9" s="59"/>
      <c r="T9" s="60">
        <v>37147</v>
      </c>
      <c r="U9" s="60"/>
      <c r="V9" s="61">
        <v>0</v>
      </c>
      <c r="W9" s="60">
        <f t="shared" ref="W9:AX9" si="7">V9</f>
        <v>0</v>
      </c>
      <c r="X9" s="60">
        <f t="shared" si="7"/>
        <v>0</v>
      </c>
      <c r="Y9" s="60">
        <f t="shared" si="7"/>
        <v>0</v>
      </c>
      <c r="Z9" s="60">
        <f t="shared" si="7"/>
        <v>0</v>
      </c>
      <c r="AA9" s="60">
        <f t="shared" si="7"/>
        <v>0</v>
      </c>
      <c r="AB9" s="60">
        <f t="shared" si="7"/>
        <v>0</v>
      </c>
      <c r="AC9" s="60">
        <f t="shared" si="7"/>
        <v>0</v>
      </c>
      <c r="AD9" s="60">
        <f t="shared" si="7"/>
        <v>0</v>
      </c>
      <c r="AE9" s="60">
        <f t="shared" si="7"/>
        <v>0</v>
      </c>
      <c r="AF9" s="60">
        <f t="shared" si="7"/>
        <v>0</v>
      </c>
      <c r="AG9" s="60">
        <f t="shared" si="7"/>
        <v>0</v>
      </c>
      <c r="AH9" s="60">
        <f t="shared" si="7"/>
        <v>0</v>
      </c>
      <c r="AI9" s="60">
        <f t="shared" si="7"/>
        <v>0</v>
      </c>
      <c r="AJ9" s="60">
        <f t="shared" si="7"/>
        <v>0</v>
      </c>
      <c r="AK9" s="60">
        <f t="shared" si="7"/>
        <v>0</v>
      </c>
      <c r="AL9" s="60">
        <f t="shared" si="7"/>
        <v>0</v>
      </c>
      <c r="AM9" s="60">
        <f t="shared" si="7"/>
        <v>0</v>
      </c>
      <c r="AN9" s="60">
        <f t="shared" si="7"/>
        <v>0</v>
      </c>
      <c r="AO9" s="60">
        <f t="shared" si="7"/>
        <v>0</v>
      </c>
      <c r="AP9" s="60">
        <f t="shared" si="7"/>
        <v>0</v>
      </c>
      <c r="AQ9" s="60">
        <f t="shared" si="7"/>
        <v>0</v>
      </c>
      <c r="AR9" s="60">
        <f t="shared" si="7"/>
        <v>0</v>
      </c>
      <c r="AS9" s="60">
        <f t="shared" si="7"/>
        <v>0</v>
      </c>
      <c r="AT9" s="60">
        <f t="shared" si="7"/>
        <v>0</v>
      </c>
      <c r="AU9" s="60">
        <f t="shared" si="7"/>
        <v>0</v>
      </c>
      <c r="AV9" s="60">
        <f t="shared" si="7"/>
        <v>0</v>
      </c>
      <c r="AW9" s="60">
        <f t="shared" si="7"/>
        <v>0</v>
      </c>
      <c r="AX9" s="60">
        <f t="shared" si="7"/>
        <v>0</v>
      </c>
      <c r="AY9" s="60">
        <f t="shared" si="5"/>
        <v>0</v>
      </c>
      <c r="AZ9" s="60">
        <f t="shared" si="5"/>
        <v>0</v>
      </c>
      <c r="BA9" s="60"/>
      <c r="BB9" s="60">
        <f t="shared" ref="BB9:BB15" si="8">SUM(V9:AZ9)</f>
        <v>0</v>
      </c>
      <c r="BC9" s="60">
        <f t="shared" ref="BC9:BC14" si="9">+BB9/31</f>
        <v>0</v>
      </c>
      <c r="BD9" s="60">
        <f t="shared" ref="BD9:BD72" si="10">MAX(V9:AZ9)</f>
        <v>0</v>
      </c>
      <c r="BE9" s="60"/>
      <c r="BF9" s="59"/>
      <c r="BO9" s="62"/>
      <c r="BY9" s="56" t="s">
        <v>128</v>
      </c>
      <c r="EH9" s="56">
        <v>32</v>
      </c>
      <c r="EI9" s="56" t="s">
        <v>412</v>
      </c>
      <c r="HH9" s="63"/>
      <c r="HJ9" s="63"/>
      <c r="HL9" s="59">
        <f t="shared" si="6"/>
        <v>32</v>
      </c>
      <c r="HM9" s="59"/>
    </row>
    <row r="10" spans="1:221" s="56" customFormat="1" ht="15.75">
      <c r="A10" s="56" t="s">
        <v>119</v>
      </c>
      <c r="B10" s="57" t="s">
        <v>120</v>
      </c>
      <c r="D10" s="36">
        <v>34</v>
      </c>
      <c r="E10" s="56">
        <v>1</v>
      </c>
      <c r="F10" s="56" t="s">
        <v>127</v>
      </c>
      <c r="G10" s="56" t="s">
        <v>151</v>
      </c>
      <c r="H10" s="58">
        <v>36336</v>
      </c>
      <c r="I10" s="56" t="s">
        <v>123</v>
      </c>
      <c r="J10" s="56" t="s">
        <v>124</v>
      </c>
      <c r="K10" s="57"/>
      <c r="L10" s="56" t="s">
        <v>132</v>
      </c>
      <c r="M10" s="56" t="s">
        <v>350</v>
      </c>
      <c r="N10" s="56" t="str">
        <f t="shared" si="0"/>
        <v>30CSR</v>
      </c>
      <c r="O10" s="56" t="str">
        <f t="shared" si="1"/>
        <v>30CSRBase</v>
      </c>
      <c r="Q10" s="59">
        <f t="shared" si="2"/>
        <v>0</v>
      </c>
      <c r="R10" s="59">
        <f t="shared" si="3"/>
        <v>0</v>
      </c>
      <c r="S10" s="59"/>
      <c r="T10" s="60">
        <v>37147</v>
      </c>
      <c r="U10" s="60"/>
      <c r="V10" s="61">
        <v>0</v>
      </c>
      <c r="W10" s="60">
        <f t="shared" ref="W10:AX10" si="11">V10</f>
        <v>0</v>
      </c>
      <c r="X10" s="60">
        <f t="shared" si="11"/>
        <v>0</v>
      </c>
      <c r="Y10" s="60">
        <f t="shared" si="11"/>
        <v>0</v>
      </c>
      <c r="Z10" s="60">
        <f t="shared" si="11"/>
        <v>0</v>
      </c>
      <c r="AA10" s="60">
        <f t="shared" si="11"/>
        <v>0</v>
      </c>
      <c r="AB10" s="60">
        <f t="shared" si="11"/>
        <v>0</v>
      </c>
      <c r="AC10" s="60">
        <f t="shared" si="11"/>
        <v>0</v>
      </c>
      <c r="AD10" s="60">
        <f t="shared" si="11"/>
        <v>0</v>
      </c>
      <c r="AE10" s="60">
        <f t="shared" si="11"/>
        <v>0</v>
      </c>
      <c r="AF10" s="60">
        <f t="shared" si="11"/>
        <v>0</v>
      </c>
      <c r="AG10" s="60">
        <f t="shared" si="11"/>
        <v>0</v>
      </c>
      <c r="AH10" s="60">
        <f t="shared" si="11"/>
        <v>0</v>
      </c>
      <c r="AI10" s="60">
        <f t="shared" si="11"/>
        <v>0</v>
      </c>
      <c r="AJ10" s="60">
        <f t="shared" si="11"/>
        <v>0</v>
      </c>
      <c r="AK10" s="60">
        <f t="shared" si="11"/>
        <v>0</v>
      </c>
      <c r="AL10" s="60">
        <f t="shared" si="11"/>
        <v>0</v>
      </c>
      <c r="AM10" s="60">
        <f t="shared" si="11"/>
        <v>0</v>
      </c>
      <c r="AN10" s="60">
        <f t="shared" si="11"/>
        <v>0</v>
      </c>
      <c r="AO10" s="60">
        <f t="shared" si="11"/>
        <v>0</v>
      </c>
      <c r="AP10" s="60">
        <f t="shared" si="11"/>
        <v>0</v>
      </c>
      <c r="AQ10" s="60">
        <f t="shared" si="11"/>
        <v>0</v>
      </c>
      <c r="AR10" s="60">
        <f t="shared" si="11"/>
        <v>0</v>
      </c>
      <c r="AS10" s="60">
        <f t="shared" si="11"/>
        <v>0</v>
      </c>
      <c r="AT10" s="60">
        <f t="shared" si="11"/>
        <v>0</v>
      </c>
      <c r="AU10" s="60">
        <f t="shared" si="11"/>
        <v>0</v>
      </c>
      <c r="AV10" s="60">
        <f t="shared" si="11"/>
        <v>0</v>
      </c>
      <c r="AW10" s="60">
        <f t="shared" si="11"/>
        <v>0</v>
      </c>
      <c r="AX10" s="60">
        <f t="shared" si="11"/>
        <v>0</v>
      </c>
      <c r="AY10" s="60">
        <f t="shared" si="5"/>
        <v>0</v>
      </c>
      <c r="AZ10" s="60">
        <f t="shared" si="5"/>
        <v>0</v>
      </c>
      <c r="BA10" s="60"/>
      <c r="BB10" s="60">
        <f t="shared" si="8"/>
        <v>0</v>
      </c>
      <c r="BC10" s="60">
        <f t="shared" si="9"/>
        <v>0</v>
      </c>
      <c r="BD10" s="60">
        <f t="shared" si="10"/>
        <v>0</v>
      </c>
      <c r="BE10" s="60"/>
      <c r="BF10" s="59"/>
      <c r="BO10" s="62"/>
      <c r="BY10" s="56" t="s">
        <v>128</v>
      </c>
      <c r="EH10" s="56">
        <v>177</v>
      </c>
      <c r="EI10" s="56" t="s">
        <v>413</v>
      </c>
      <c r="HH10" s="63"/>
      <c r="HJ10" s="63"/>
      <c r="HL10" s="59">
        <f t="shared" si="6"/>
        <v>177</v>
      </c>
      <c r="HM10" s="59"/>
    </row>
    <row r="11" spans="1:221" s="64" customFormat="1" ht="16.5">
      <c r="A11" s="64" t="s">
        <v>129</v>
      </c>
      <c r="B11" s="65" t="s">
        <v>130</v>
      </c>
      <c r="E11" s="64">
        <v>1</v>
      </c>
      <c r="F11" s="64" t="s">
        <v>127</v>
      </c>
      <c r="G11" s="64" t="s">
        <v>131</v>
      </c>
      <c r="H11" s="66">
        <v>36336</v>
      </c>
      <c r="I11" s="64" t="s">
        <v>123</v>
      </c>
      <c r="J11" s="64" t="s">
        <v>124</v>
      </c>
      <c r="K11" s="65"/>
      <c r="L11" s="64" t="s">
        <v>132</v>
      </c>
      <c r="M11" s="56"/>
      <c r="N11" s="64" t="str">
        <f t="shared" si="0"/>
        <v>30RVR</v>
      </c>
      <c r="O11" s="64" t="str">
        <f t="shared" si="1"/>
        <v>30RVRBase</v>
      </c>
      <c r="Q11" s="59">
        <f t="shared" si="2"/>
        <v>0</v>
      </c>
      <c r="R11" s="67">
        <f t="shared" si="3"/>
        <v>0</v>
      </c>
      <c r="S11" s="67"/>
      <c r="T11" s="68">
        <v>37147</v>
      </c>
      <c r="U11" s="68"/>
      <c r="V11" s="69">
        <v>0</v>
      </c>
      <c r="W11" s="68">
        <f t="shared" ref="W11:AX11" si="12">V11</f>
        <v>0</v>
      </c>
      <c r="X11" s="68">
        <f t="shared" si="12"/>
        <v>0</v>
      </c>
      <c r="Y11" s="68">
        <f t="shared" si="12"/>
        <v>0</v>
      </c>
      <c r="Z11" s="68">
        <f t="shared" si="12"/>
        <v>0</v>
      </c>
      <c r="AA11" s="68">
        <f t="shared" si="12"/>
        <v>0</v>
      </c>
      <c r="AB11" s="68">
        <f t="shared" si="12"/>
        <v>0</v>
      </c>
      <c r="AC11" s="68">
        <f t="shared" si="12"/>
        <v>0</v>
      </c>
      <c r="AD11" s="68">
        <f t="shared" si="12"/>
        <v>0</v>
      </c>
      <c r="AE11" s="68">
        <f t="shared" si="12"/>
        <v>0</v>
      </c>
      <c r="AF11" s="68">
        <f t="shared" si="12"/>
        <v>0</v>
      </c>
      <c r="AG11" s="68">
        <f t="shared" si="12"/>
        <v>0</v>
      </c>
      <c r="AH11" s="68">
        <f t="shared" si="12"/>
        <v>0</v>
      </c>
      <c r="AI11" s="68">
        <f t="shared" si="12"/>
        <v>0</v>
      </c>
      <c r="AJ11" s="68">
        <f t="shared" si="12"/>
        <v>0</v>
      </c>
      <c r="AK11" s="68">
        <f t="shared" si="12"/>
        <v>0</v>
      </c>
      <c r="AL11" s="68">
        <f t="shared" si="12"/>
        <v>0</v>
      </c>
      <c r="AM11" s="68">
        <f t="shared" si="12"/>
        <v>0</v>
      </c>
      <c r="AN11" s="68">
        <f t="shared" si="12"/>
        <v>0</v>
      </c>
      <c r="AO11" s="68">
        <f t="shared" si="12"/>
        <v>0</v>
      </c>
      <c r="AP11" s="68">
        <f t="shared" si="12"/>
        <v>0</v>
      </c>
      <c r="AQ11" s="68">
        <f t="shared" si="12"/>
        <v>0</v>
      </c>
      <c r="AR11" s="68">
        <f t="shared" si="12"/>
        <v>0</v>
      </c>
      <c r="AS11" s="68">
        <f t="shared" si="12"/>
        <v>0</v>
      </c>
      <c r="AT11" s="68">
        <f t="shared" si="12"/>
        <v>0</v>
      </c>
      <c r="AU11" s="68">
        <f t="shared" si="12"/>
        <v>0</v>
      </c>
      <c r="AV11" s="68">
        <f t="shared" si="12"/>
        <v>0</v>
      </c>
      <c r="AW11" s="68">
        <f t="shared" si="12"/>
        <v>0</v>
      </c>
      <c r="AX11" s="68">
        <f t="shared" si="12"/>
        <v>0</v>
      </c>
      <c r="AY11" s="68">
        <f t="shared" si="5"/>
        <v>0</v>
      </c>
      <c r="AZ11" s="68">
        <f t="shared" si="5"/>
        <v>0</v>
      </c>
      <c r="BA11" s="68"/>
      <c r="BB11" s="208">
        <f t="shared" si="8"/>
        <v>0</v>
      </c>
      <c r="BC11" s="60">
        <f t="shared" si="9"/>
        <v>0</v>
      </c>
      <c r="BD11" s="60">
        <f t="shared" si="10"/>
        <v>0</v>
      </c>
      <c r="BE11" s="68"/>
      <c r="BF11" s="67"/>
      <c r="BO11" s="70"/>
      <c r="BY11" s="64" t="s">
        <v>133</v>
      </c>
      <c r="GI11" s="56"/>
      <c r="HH11" s="71"/>
      <c r="HJ11" s="71"/>
      <c r="HL11" s="59">
        <f t="shared" si="6"/>
        <v>0</v>
      </c>
      <c r="HM11" s="67"/>
    </row>
    <row r="12" spans="1:221" s="56" customFormat="1" ht="15.75">
      <c r="A12" s="56" t="s">
        <v>134</v>
      </c>
      <c r="B12" s="57">
        <v>833866</v>
      </c>
      <c r="D12" s="36"/>
      <c r="E12" s="56">
        <v>1</v>
      </c>
      <c r="F12" s="56" t="s">
        <v>134</v>
      </c>
      <c r="G12" s="56" t="s">
        <v>135</v>
      </c>
      <c r="H12" s="58">
        <v>36336</v>
      </c>
      <c r="I12" s="56" t="s">
        <v>123</v>
      </c>
      <c r="J12" s="56" t="s">
        <v>136</v>
      </c>
      <c r="K12" s="57"/>
      <c r="L12" s="56" t="s">
        <v>125</v>
      </c>
      <c r="N12" s="56" t="str">
        <f t="shared" si="0"/>
        <v>833866W</v>
      </c>
      <c r="O12" s="56" t="str">
        <f t="shared" si="1"/>
        <v>833866WBase</v>
      </c>
      <c r="Q12" s="59">
        <f t="shared" si="2"/>
        <v>0</v>
      </c>
      <c r="R12" s="59">
        <f t="shared" si="3"/>
        <v>0</v>
      </c>
      <c r="S12" s="59"/>
      <c r="T12" s="60">
        <v>37147</v>
      </c>
      <c r="U12" s="60"/>
      <c r="V12" s="61">
        <v>0</v>
      </c>
      <c r="W12" s="60">
        <f t="shared" ref="W12:AX12" si="13">V12</f>
        <v>0</v>
      </c>
      <c r="X12" s="60">
        <f t="shared" si="13"/>
        <v>0</v>
      </c>
      <c r="Y12" s="60">
        <f t="shared" si="13"/>
        <v>0</v>
      </c>
      <c r="Z12" s="60">
        <f t="shared" si="13"/>
        <v>0</v>
      </c>
      <c r="AA12" s="60">
        <f t="shared" si="13"/>
        <v>0</v>
      </c>
      <c r="AB12" s="60">
        <f t="shared" si="13"/>
        <v>0</v>
      </c>
      <c r="AC12" s="60">
        <f t="shared" si="13"/>
        <v>0</v>
      </c>
      <c r="AD12" s="60">
        <f t="shared" si="13"/>
        <v>0</v>
      </c>
      <c r="AE12" s="60">
        <f t="shared" si="13"/>
        <v>0</v>
      </c>
      <c r="AF12" s="60">
        <f t="shared" si="13"/>
        <v>0</v>
      </c>
      <c r="AG12" s="60">
        <f t="shared" si="13"/>
        <v>0</v>
      </c>
      <c r="AH12" s="60">
        <f t="shared" si="13"/>
        <v>0</v>
      </c>
      <c r="AI12" s="60">
        <f t="shared" si="13"/>
        <v>0</v>
      </c>
      <c r="AJ12" s="60">
        <f t="shared" si="13"/>
        <v>0</v>
      </c>
      <c r="AK12" s="60">
        <f t="shared" si="13"/>
        <v>0</v>
      </c>
      <c r="AL12" s="60">
        <f t="shared" si="13"/>
        <v>0</v>
      </c>
      <c r="AM12" s="60">
        <f t="shared" si="13"/>
        <v>0</v>
      </c>
      <c r="AN12" s="60">
        <f t="shared" si="13"/>
        <v>0</v>
      </c>
      <c r="AO12" s="60">
        <f t="shared" si="13"/>
        <v>0</v>
      </c>
      <c r="AP12" s="60">
        <f t="shared" si="13"/>
        <v>0</v>
      </c>
      <c r="AQ12" s="60">
        <f t="shared" si="13"/>
        <v>0</v>
      </c>
      <c r="AR12" s="60">
        <f t="shared" si="13"/>
        <v>0</v>
      </c>
      <c r="AS12" s="60">
        <f t="shared" si="13"/>
        <v>0</v>
      </c>
      <c r="AT12" s="60">
        <f t="shared" si="13"/>
        <v>0</v>
      </c>
      <c r="AU12" s="60">
        <f t="shared" si="13"/>
        <v>0</v>
      </c>
      <c r="AV12" s="60">
        <f t="shared" si="13"/>
        <v>0</v>
      </c>
      <c r="AW12" s="60">
        <f t="shared" si="13"/>
        <v>0</v>
      </c>
      <c r="AX12" s="60">
        <f t="shared" si="13"/>
        <v>0</v>
      </c>
      <c r="AY12" s="60">
        <f t="shared" si="5"/>
        <v>0</v>
      </c>
      <c r="AZ12" s="60">
        <f t="shared" si="5"/>
        <v>0</v>
      </c>
      <c r="BA12" s="60"/>
      <c r="BB12" s="60">
        <f t="shared" si="8"/>
        <v>0</v>
      </c>
      <c r="BC12" s="60">
        <f t="shared" si="9"/>
        <v>0</v>
      </c>
      <c r="BD12" s="60">
        <f t="shared" si="10"/>
        <v>0</v>
      </c>
      <c r="BE12" s="60"/>
      <c r="BF12" s="59"/>
      <c r="BO12" s="62"/>
      <c r="HH12" s="63"/>
      <c r="HJ12" s="63"/>
      <c r="HL12" s="59">
        <f t="shared" si="6"/>
        <v>0</v>
      </c>
      <c r="HM12" s="59"/>
    </row>
    <row r="13" spans="1:221" s="56" customFormat="1" ht="15.75">
      <c r="A13" s="56" t="s">
        <v>137</v>
      </c>
      <c r="B13" s="57">
        <v>833469</v>
      </c>
      <c r="D13" s="36"/>
      <c r="E13" s="56">
        <v>1</v>
      </c>
      <c r="F13" s="56" t="s">
        <v>137</v>
      </c>
      <c r="G13" s="56" t="s">
        <v>135</v>
      </c>
      <c r="H13" s="58">
        <v>36336</v>
      </c>
      <c r="I13" s="56" t="s">
        <v>123</v>
      </c>
      <c r="J13" s="56" t="s">
        <v>136</v>
      </c>
      <c r="K13" s="57"/>
      <c r="L13" s="56" t="s">
        <v>125</v>
      </c>
      <c r="N13" s="56" t="str">
        <f t="shared" si="0"/>
        <v>833469W</v>
      </c>
      <c r="O13" s="56" t="str">
        <f t="shared" si="1"/>
        <v>833469WBase</v>
      </c>
      <c r="Q13" s="59">
        <f t="shared" si="2"/>
        <v>0</v>
      </c>
      <c r="R13" s="59">
        <f t="shared" si="3"/>
        <v>0</v>
      </c>
      <c r="S13" s="59"/>
      <c r="T13" s="60">
        <v>37147</v>
      </c>
      <c r="U13" s="60"/>
      <c r="V13" s="61">
        <v>0</v>
      </c>
      <c r="W13" s="60">
        <f t="shared" ref="W13:AX13" si="14">V13</f>
        <v>0</v>
      </c>
      <c r="X13" s="60">
        <f t="shared" si="14"/>
        <v>0</v>
      </c>
      <c r="Y13" s="60">
        <f t="shared" si="14"/>
        <v>0</v>
      </c>
      <c r="Z13" s="60">
        <f t="shared" si="14"/>
        <v>0</v>
      </c>
      <c r="AA13" s="60">
        <f t="shared" si="14"/>
        <v>0</v>
      </c>
      <c r="AB13" s="60">
        <f t="shared" si="14"/>
        <v>0</v>
      </c>
      <c r="AC13" s="60">
        <f t="shared" si="14"/>
        <v>0</v>
      </c>
      <c r="AD13" s="60">
        <f t="shared" si="14"/>
        <v>0</v>
      </c>
      <c r="AE13" s="60">
        <f t="shared" si="14"/>
        <v>0</v>
      </c>
      <c r="AF13" s="60">
        <f t="shared" si="14"/>
        <v>0</v>
      </c>
      <c r="AG13" s="60">
        <f t="shared" si="14"/>
        <v>0</v>
      </c>
      <c r="AH13" s="60">
        <f t="shared" si="14"/>
        <v>0</v>
      </c>
      <c r="AI13" s="60">
        <f t="shared" si="14"/>
        <v>0</v>
      </c>
      <c r="AJ13" s="60">
        <f t="shared" si="14"/>
        <v>0</v>
      </c>
      <c r="AK13" s="60">
        <f t="shared" si="14"/>
        <v>0</v>
      </c>
      <c r="AL13" s="60">
        <f t="shared" si="14"/>
        <v>0</v>
      </c>
      <c r="AM13" s="60">
        <f t="shared" si="14"/>
        <v>0</v>
      </c>
      <c r="AN13" s="60">
        <f t="shared" si="14"/>
        <v>0</v>
      </c>
      <c r="AO13" s="60">
        <f t="shared" si="14"/>
        <v>0</v>
      </c>
      <c r="AP13" s="60">
        <f t="shared" si="14"/>
        <v>0</v>
      </c>
      <c r="AQ13" s="60">
        <f t="shared" si="14"/>
        <v>0</v>
      </c>
      <c r="AR13" s="60">
        <f t="shared" si="14"/>
        <v>0</v>
      </c>
      <c r="AS13" s="60">
        <f t="shared" si="14"/>
        <v>0</v>
      </c>
      <c r="AT13" s="60">
        <f t="shared" si="14"/>
        <v>0</v>
      </c>
      <c r="AU13" s="60">
        <f t="shared" si="14"/>
        <v>0</v>
      </c>
      <c r="AV13" s="60">
        <f t="shared" si="14"/>
        <v>0</v>
      </c>
      <c r="AW13" s="60">
        <f t="shared" si="14"/>
        <v>0</v>
      </c>
      <c r="AX13" s="60">
        <f t="shared" si="14"/>
        <v>0</v>
      </c>
      <c r="AY13" s="60">
        <f t="shared" si="5"/>
        <v>0</v>
      </c>
      <c r="AZ13" s="60">
        <f t="shared" si="5"/>
        <v>0</v>
      </c>
      <c r="BA13" s="60"/>
      <c r="BB13" s="60">
        <f t="shared" si="8"/>
        <v>0</v>
      </c>
      <c r="BC13" s="60">
        <f t="shared" si="9"/>
        <v>0</v>
      </c>
      <c r="BD13" s="60">
        <f t="shared" si="10"/>
        <v>0</v>
      </c>
      <c r="BE13" s="60"/>
      <c r="BF13" s="59"/>
      <c r="BO13" s="62"/>
      <c r="HH13" s="63"/>
      <c r="HJ13" s="63"/>
      <c r="HL13" s="59">
        <f t="shared" si="6"/>
        <v>0</v>
      </c>
      <c r="HM13" s="59"/>
    </row>
    <row r="14" spans="1:221" s="56" customFormat="1" ht="15.75">
      <c r="A14" s="56" t="s">
        <v>138</v>
      </c>
      <c r="B14" s="57">
        <v>831095</v>
      </c>
      <c r="D14" s="36"/>
      <c r="E14" s="56">
        <v>1</v>
      </c>
      <c r="F14" s="56" t="s">
        <v>138</v>
      </c>
      <c r="G14" s="56" t="s">
        <v>135</v>
      </c>
      <c r="H14" s="58">
        <v>36336</v>
      </c>
      <c r="I14" s="56" t="s">
        <v>123</v>
      </c>
      <c r="J14" s="56" t="s">
        <v>136</v>
      </c>
      <c r="K14" s="57"/>
      <c r="L14" s="56" t="s">
        <v>125</v>
      </c>
      <c r="N14" s="56" t="str">
        <f t="shared" si="0"/>
        <v>831095W</v>
      </c>
      <c r="O14" s="56" t="str">
        <f t="shared" si="1"/>
        <v>831095WBase</v>
      </c>
      <c r="Q14" s="59">
        <f t="shared" si="2"/>
        <v>0</v>
      </c>
      <c r="R14" s="59">
        <f t="shared" si="3"/>
        <v>0</v>
      </c>
      <c r="S14" s="59"/>
      <c r="T14" s="60">
        <v>37147</v>
      </c>
      <c r="U14" s="60"/>
      <c r="V14" s="61">
        <v>0</v>
      </c>
      <c r="W14" s="60">
        <f t="shared" ref="W14:AX14" si="15">V14</f>
        <v>0</v>
      </c>
      <c r="X14" s="60">
        <f t="shared" si="15"/>
        <v>0</v>
      </c>
      <c r="Y14" s="60">
        <f t="shared" si="15"/>
        <v>0</v>
      </c>
      <c r="Z14" s="60">
        <f t="shared" si="15"/>
        <v>0</v>
      </c>
      <c r="AA14" s="60">
        <f t="shared" si="15"/>
        <v>0</v>
      </c>
      <c r="AB14" s="60">
        <f t="shared" si="15"/>
        <v>0</v>
      </c>
      <c r="AC14" s="60">
        <f t="shared" si="15"/>
        <v>0</v>
      </c>
      <c r="AD14" s="60">
        <f t="shared" si="15"/>
        <v>0</v>
      </c>
      <c r="AE14" s="60">
        <f t="shared" si="15"/>
        <v>0</v>
      </c>
      <c r="AF14" s="60">
        <f t="shared" si="15"/>
        <v>0</v>
      </c>
      <c r="AG14" s="60">
        <f t="shared" si="15"/>
        <v>0</v>
      </c>
      <c r="AH14" s="60">
        <f t="shared" si="15"/>
        <v>0</v>
      </c>
      <c r="AI14" s="60">
        <f t="shared" si="15"/>
        <v>0</v>
      </c>
      <c r="AJ14" s="60">
        <f t="shared" si="15"/>
        <v>0</v>
      </c>
      <c r="AK14" s="60">
        <f t="shared" si="15"/>
        <v>0</v>
      </c>
      <c r="AL14" s="60">
        <f t="shared" si="15"/>
        <v>0</v>
      </c>
      <c r="AM14" s="60">
        <f t="shared" si="15"/>
        <v>0</v>
      </c>
      <c r="AN14" s="60">
        <f t="shared" si="15"/>
        <v>0</v>
      </c>
      <c r="AO14" s="60">
        <f t="shared" si="15"/>
        <v>0</v>
      </c>
      <c r="AP14" s="60">
        <f t="shared" si="15"/>
        <v>0</v>
      </c>
      <c r="AQ14" s="60">
        <f t="shared" si="15"/>
        <v>0</v>
      </c>
      <c r="AR14" s="60">
        <f t="shared" si="15"/>
        <v>0</v>
      </c>
      <c r="AS14" s="60">
        <f t="shared" si="15"/>
        <v>0</v>
      </c>
      <c r="AT14" s="60">
        <f t="shared" si="15"/>
        <v>0</v>
      </c>
      <c r="AU14" s="60">
        <f t="shared" si="15"/>
        <v>0</v>
      </c>
      <c r="AV14" s="60">
        <f t="shared" si="15"/>
        <v>0</v>
      </c>
      <c r="AW14" s="60">
        <f t="shared" si="15"/>
        <v>0</v>
      </c>
      <c r="AX14" s="60">
        <f t="shared" si="15"/>
        <v>0</v>
      </c>
      <c r="AY14" s="60">
        <f t="shared" si="5"/>
        <v>0</v>
      </c>
      <c r="AZ14" s="60">
        <f t="shared" si="5"/>
        <v>0</v>
      </c>
      <c r="BA14" s="60"/>
      <c r="BB14" s="60">
        <f t="shared" si="8"/>
        <v>0</v>
      </c>
      <c r="BC14" s="60">
        <f t="shared" si="9"/>
        <v>0</v>
      </c>
      <c r="BD14" s="60">
        <f t="shared" si="10"/>
        <v>0</v>
      </c>
      <c r="BE14" s="60"/>
      <c r="BF14" s="59"/>
      <c r="BO14" s="62"/>
      <c r="EH14" s="56">
        <v>4500</v>
      </c>
      <c r="EI14" s="56" t="s">
        <v>141</v>
      </c>
      <c r="GI14" s="72"/>
      <c r="HH14" s="63"/>
      <c r="HJ14" s="63"/>
      <c r="HL14" s="59">
        <f t="shared" si="6"/>
        <v>4500</v>
      </c>
      <c r="HM14" s="59"/>
    </row>
    <row r="15" spans="1:221" s="72" customFormat="1" ht="15.75">
      <c r="A15" s="72" t="s">
        <v>140</v>
      </c>
      <c r="B15" s="73">
        <v>21</v>
      </c>
      <c r="D15" s="14">
        <v>20</v>
      </c>
      <c r="E15" s="72">
        <v>2</v>
      </c>
      <c r="F15" s="72" t="s">
        <v>127</v>
      </c>
      <c r="G15" s="74" t="s">
        <v>151</v>
      </c>
      <c r="H15" s="75">
        <v>36336</v>
      </c>
      <c r="I15" s="72" t="s">
        <v>123</v>
      </c>
      <c r="J15" s="72" t="s">
        <v>124</v>
      </c>
      <c r="K15" s="76"/>
      <c r="L15" s="72" t="s">
        <v>125</v>
      </c>
      <c r="M15" s="77"/>
      <c r="N15" s="72" t="str">
        <f t="shared" si="0"/>
        <v>21R</v>
      </c>
      <c r="O15" s="72" t="str">
        <f t="shared" si="1"/>
        <v>21RBase</v>
      </c>
      <c r="Q15" s="23">
        <f t="shared" si="2"/>
        <v>0</v>
      </c>
      <c r="R15" s="23">
        <f t="shared" si="3"/>
        <v>0</v>
      </c>
      <c r="S15" s="23"/>
      <c r="T15" s="78">
        <v>37147</v>
      </c>
      <c r="U15" s="78"/>
      <c r="V15" s="79">
        <v>0</v>
      </c>
      <c r="W15" s="78">
        <f t="shared" ref="W15:AX15" si="16">V15</f>
        <v>0</v>
      </c>
      <c r="X15" s="78">
        <f t="shared" si="16"/>
        <v>0</v>
      </c>
      <c r="Y15" s="78">
        <f t="shared" si="16"/>
        <v>0</v>
      </c>
      <c r="Z15" s="78">
        <f t="shared" si="16"/>
        <v>0</v>
      </c>
      <c r="AA15" s="78">
        <f t="shared" si="16"/>
        <v>0</v>
      </c>
      <c r="AB15" s="78">
        <f t="shared" si="16"/>
        <v>0</v>
      </c>
      <c r="AC15" s="78">
        <f t="shared" si="16"/>
        <v>0</v>
      </c>
      <c r="AD15" s="78">
        <f t="shared" si="16"/>
        <v>0</v>
      </c>
      <c r="AE15" s="78">
        <f t="shared" si="16"/>
        <v>0</v>
      </c>
      <c r="AF15" s="78">
        <f t="shared" si="16"/>
        <v>0</v>
      </c>
      <c r="AG15" s="78">
        <f t="shared" si="16"/>
        <v>0</v>
      </c>
      <c r="AH15" s="78">
        <f t="shared" si="16"/>
        <v>0</v>
      </c>
      <c r="AI15" s="78">
        <f t="shared" si="16"/>
        <v>0</v>
      </c>
      <c r="AJ15" s="78">
        <f t="shared" si="16"/>
        <v>0</v>
      </c>
      <c r="AK15" s="78">
        <f t="shared" si="16"/>
        <v>0</v>
      </c>
      <c r="AL15" s="78">
        <f t="shared" si="16"/>
        <v>0</v>
      </c>
      <c r="AM15" s="78">
        <f t="shared" si="16"/>
        <v>0</v>
      </c>
      <c r="AN15" s="78">
        <f t="shared" si="16"/>
        <v>0</v>
      </c>
      <c r="AO15" s="78">
        <f t="shared" si="16"/>
        <v>0</v>
      </c>
      <c r="AP15" s="78">
        <f t="shared" si="16"/>
        <v>0</v>
      </c>
      <c r="AQ15" s="78">
        <f t="shared" si="16"/>
        <v>0</v>
      </c>
      <c r="AR15" s="78">
        <f t="shared" si="16"/>
        <v>0</v>
      </c>
      <c r="AS15" s="78">
        <f t="shared" si="16"/>
        <v>0</v>
      </c>
      <c r="AT15" s="78">
        <f t="shared" si="16"/>
        <v>0</v>
      </c>
      <c r="AU15" s="78">
        <f t="shared" si="16"/>
        <v>0</v>
      </c>
      <c r="AV15" s="78">
        <f t="shared" si="16"/>
        <v>0</v>
      </c>
      <c r="AW15" s="78">
        <f t="shared" si="16"/>
        <v>0</v>
      </c>
      <c r="AX15" s="78">
        <f t="shared" si="16"/>
        <v>0</v>
      </c>
      <c r="AY15" s="78">
        <f t="shared" si="5"/>
        <v>0</v>
      </c>
      <c r="AZ15" s="78">
        <f t="shared" si="5"/>
        <v>0</v>
      </c>
      <c r="BA15" s="78"/>
      <c r="BB15" s="60">
        <f t="shared" si="8"/>
        <v>0</v>
      </c>
      <c r="BC15" s="78">
        <f>+BB15/31</f>
        <v>0</v>
      </c>
      <c r="BD15" s="78">
        <f t="shared" si="10"/>
        <v>0</v>
      </c>
      <c r="BE15" s="78"/>
      <c r="BF15" s="23"/>
      <c r="BG15" s="23"/>
      <c r="BH15" s="23"/>
      <c r="BI15" s="23"/>
      <c r="BJ15" s="23"/>
      <c r="BK15" s="23"/>
      <c r="BL15" s="23"/>
      <c r="BM15" s="23"/>
      <c r="BO15" s="80"/>
      <c r="HH15" s="74"/>
      <c r="HJ15" s="74"/>
      <c r="HL15" s="23">
        <f t="shared" si="6"/>
        <v>0</v>
      </c>
      <c r="HM15" s="23"/>
    </row>
    <row r="16" spans="1:221" s="72" customFormat="1" ht="15.75">
      <c r="A16" s="72" t="s">
        <v>142</v>
      </c>
      <c r="B16" s="73">
        <v>22</v>
      </c>
      <c r="D16" s="14">
        <v>15</v>
      </c>
      <c r="E16" s="72">
        <v>3</v>
      </c>
      <c r="F16" s="72" t="s">
        <v>127</v>
      </c>
      <c r="G16" s="72" t="s">
        <v>143</v>
      </c>
      <c r="H16" s="75">
        <v>36459</v>
      </c>
      <c r="I16" s="72" t="s">
        <v>123</v>
      </c>
      <c r="J16" s="72" t="s">
        <v>124</v>
      </c>
      <c r="K16" s="73"/>
      <c r="L16" s="72" t="s">
        <v>125</v>
      </c>
      <c r="M16" s="56"/>
      <c r="N16" s="72" t="str">
        <f t="shared" si="0"/>
        <v>22R</v>
      </c>
      <c r="O16" s="72" t="str">
        <f t="shared" si="1"/>
        <v>22RBase</v>
      </c>
      <c r="Q16" s="23">
        <f t="shared" si="2"/>
        <v>0</v>
      </c>
      <c r="R16" s="23">
        <f t="shared" si="3"/>
        <v>0</v>
      </c>
      <c r="S16" s="23"/>
      <c r="T16" s="78">
        <v>37147</v>
      </c>
      <c r="U16" s="78"/>
      <c r="V16" s="79">
        <v>0</v>
      </c>
      <c r="W16" s="78">
        <f t="shared" ref="W16:AX16" si="17">V16</f>
        <v>0</v>
      </c>
      <c r="X16" s="78">
        <f t="shared" si="17"/>
        <v>0</v>
      </c>
      <c r="Y16" s="78">
        <f t="shared" si="17"/>
        <v>0</v>
      </c>
      <c r="Z16" s="78">
        <f t="shared" si="17"/>
        <v>0</v>
      </c>
      <c r="AA16" s="78">
        <f t="shared" si="17"/>
        <v>0</v>
      </c>
      <c r="AB16" s="78">
        <f t="shared" si="17"/>
        <v>0</v>
      </c>
      <c r="AC16" s="78">
        <f t="shared" si="17"/>
        <v>0</v>
      </c>
      <c r="AD16" s="78">
        <f t="shared" si="17"/>
        <v>0</v>
      </c>
      <c r="AE16" s="78">
        <f t="shared" si="17"/>
        <v>0</v>
      </c>
      <c r="AF16" s="78">
        <f t="shared" si="17"/>
        <v>0</v>
      </c>
      <c r="AG16" s="78">
        <f t="shared" si="17"/>
        <v>0</v>
      </c>
      <c r="AH16" s="78">
        <f t="shared" si="17"/>
        <v>0</v>
      </c>
      <c r="AI16" s="78">
        <f t="shared" si="17"/>
        <v>0</v>
      </c>
      <c r="AJ16" s="78">
        <f t="shared" si="17"/>
        <v>0</v>
      </c>
      <c r="AK16" s="78">
        <f t="shared" si="17"/>
        <v>0</v>
      </c>
      <c r="AL16" s="78">
        <f t="shared" si="17"/>
        <v>0</v>
      </c>
      <c r="AM16" s="78">
        <f t="shared" si="17"/>
        <v>0</v>
      </c>
      <c r="AN16" s="78">
        <f t="shared" si="17"/>
        <v>0</v>
      </c>
      <c r="AO16" s="78">
        <f t="shared" si="17"/>
        <v>0</v>
      </c>
      <c r="AP16" s="78">
        <f t="shared" si="17"/>
        <v>0</v>
      </c>
      <c r="AQ16" s="78">
        <f t="shared" si="17"/>
        <v>0</v>
      </c>
      <c r="AR16" s="78">
        <f t="shared" si="17"/>
        <v>0</v>
      </c>
      <c r="AS16" s="78">
        <f t="shared" si="17"/>
        <v>0</v>
      </c>
      <c r="AT16" s="78">
        <f t="shared" si="17"/>
        <v>0</v>
      </c>
      <c r="AU16" s="78">
        <f t="shared" si="17"/>
        <v>0</v>
      </c>
      <c r="AV16" s="78">
        <f t="shared" si="17"/>
        <v>0</v>
      </c>
      <c r="AW16" s="78">
        <f t="shared" si="17"/>
        <v>0</v>
      </c>
      <c r="AX16" s="78">
        <f t="shared" si="17"/>
        <v>0</v>
      </c>
      <c r="AY16" s="78">
        <f t="shared" si="5"/>
        <v>0</v>
      </c>
      <c r="AZ16" s="78">
        <f t="shared" si="5"/>
        <v>0</v>
      </c>
      <c r="BA16" s="78"/>
      <c r="BB16" s="78">
        <f>SUM(V16:AZ16)</f>
        <v>0</v>
      </c>
      <c r="BC16" s="78">
        <f t="shared" ref="BC16:BC79" si="18">+BB16/31</f>
        <v>0</v>
      </c>
      <c r="BD16" s="78">
        <f t="shared" si="10"/>
        <v>0</v>
      </c>
      <c r="BE16" s="78"/>
      <c r="BF16" s="23"/>
      <c r="BK16" s="72">
        <v>1180</v>
      </c>
      <c r="BO16" s="80"/>
      <c r="BW16" s="72" t="s">
        <v>144</v>
      </c>
      <c r="GR16" s="72">
        <v>33</v>
      </c>
      <c r="GS16" s="72" t="s">
        <v>170</v>
      </c>
      <c r="HH16" s="74"/>
      <c r="HJ16" s="74"/>
      <c r="HL16" s="23">
        <f t="shared" si="6"/>
        <v>1213</v>
      </c>
      <c r="HM16" s="23"/>
    </row>
    <row r="17" spans="1:221" s="72" customFormat="1" ht="15.75">
      <c r="A17" s="72" t="s">
        <v>142</v>
      </c>
      <c r="B17" s="73">
        <v>22</v>
      </c>
      <c r="D17" s="14">
        <v>15</v>
      </c>
      <c r="E17" s="72">
        <v>3</v>
      </c>
      <c r="F17" s="72" t="s">
        <v>146</v>
      </c>
      <c r="G17" s="72" t="s">
        <v>143</v>
      </c>
      <c r="H17" s="75">
        <v>36459</v>
      </c>
      <c r="I17" s="72" t="s">
        <v>123</v>
      </c>
      <c r="J17" s="72" t="s">
        <v>124</v>
      </c>
      <c r="K17" s="73"/>
      <c r="L17" s="72" t="s">
        <v>125</v>
      </c>
      <c r="M17" s="56"/>
      <c r="N17" s="72" t="str">
        <f t="shared" si="0"/>
        <v>22R</v>
      </c>
      <c r="O17" s="72" t="str">
        <f t="shared" si="1"/>
        <v>22RBase</v>
      </c>
      <c r="Q17" s="23">
        <f t="shared" si="2"/>
        <v>0</v>
      </c>
      <c r="R17" s="23">
        <f t="shared" si="3"/>
        <v>0</v>
      </c>
      <c r="S17" s="23"/>
      <c r="T17" s="78">
        <v>37147</v>
      </c>
      <c r="U17" s="78"/>
      <c r="V17" s="79">
        <v>0</v>
      </c>
      <c r="W17" s="78">
        <f t="shared" ref="W17:AX17" si="19">V17</f>
        <v>0</v>
      </c>
      <c r="X17" s="78">
        <f t="shared" si="19"/>
        <v>0</v>
      </c>
      <c r="Y17" s="78">
        <f t="shared" si="19"/>
        <v>0</v>
      </c>
      <c r="Z17" s="78">
        <f t="shared" si="19"/>
        <v>0</v>
      </c>
      <c r="AA17" s="78">
        <f t="shared" si="19"/>
        <v>0</v>
      </c>
      <c r="AB17" s="78">
        <f t="shared" si="19"/>
        <v>0</v>
      </c>
      <c r="AC17" s="78">
        <f t="shared" si="19"/>
        <v>0</v>
      </c>
      <c r="AD17" s="78">
        <f t="shared" si="19"/>
        <v>0</v>
      </c>
      <c r="AE17" s="78">
        <f t="shared" si="19"/>
        <v>0</v>
      </c>
      <c r="AF17" s="78">
        <f t="shared" si="19"/>
        <v>0</v>
      </c>
      <c r="AG17" s="78">
        <f t="shared" si="19"/>
        <v>0</v>
      </c>
      <c r="AH17" s="78">
        <f t="shared" si="19"/>
        <v>0</v>
      </c>
      <c r="AI17" s="78">
        <f t="shared" si="19"/>
        <v>0</v>
      </c>
      <c r="AJ17" s="78">
        <f t="shared" si="19"/>
        <v>0</v>
      </c>
      <c r="AK17" s="78">
        <f t="shared" si="19"/>
        <v>0</v>
      </c>
      <c r="AL17" s="78">
        <f t="shared" si="19"/>
        <v>0</v>
      </c>
      <c r="AM17" s="78">
        <f t="shared" si="19"/>
        <v>0</v>
      </c>
      <c r="AN17" s="78">
        <f t="shared" si="19"/>
        <v>0</v>
      </c>
      <c r="AO17" s="78">
        <f t="shared" si="19"/>
        <v>0</v>
      </c>
      <c r="AP17" s="78">
        <f t="shared" si="19"/>
        <v>0</v>
      </c>
      <c r="AQ17" s="78">
        <f t="shared" si="19"/>
        <v>0</v>
      </c>
      <c r="AR17" s="78">
        <f t="shared" si="19"/>
        <v>0</v>
      </c>
      <c r="AS17" s="78">
        <f t="shared" si="19"/>
        <v>0</v>
      </c>
      <c r="AT17" s="78">
        <f t="shared" si="19"/>
        <v>0</v>
      </c>
      <c r="AU17" s="78">
        <f t="shared" si="19"/>
        <v>0</v>
      </c>
      <c r="AV17" s="78">
        <f t="shared" si="19"/>
        <v>0</v>
      </c>
      <c r="AW17" s="78">
        <f t="shared" si="19"/>
        <v>0</v>
      </c>
      <c r="AX17" s="78">
        <f t="shared" si="19"/>
        <v>0</v>
      </c>
      <c r="AY17" s="78">
        <f t="shared" si="5"/>
        <v>0</v>
      </c>
      <c r="AZ17" s="78">
        <f t="shared" si="5"/>
        <v>0</v>
      </c>
      <c r="BA17" s="78"/>
      <c r="BB17" s="78">
        <f t="shared" ref="BB17:BB26" si="20">SUM(V17:AZ17)</f>
        <v>0</v>
      </c>
      <c r="BC17" s="78">
        <f t="shared" si="18"/>
        <v>0</v>
      </c>
      <c r="BD17" s="78">
        <f t="shared" si="10"/>
        <v>0</v>
      </c>
      <c r="BE17" s="78"/>
      <c r="BF17" s="23"/>
      <c r="BO17" s="80"/>
      <c r="CF17" s="72">
        <v>1271</v>
      </c>
      <c r="CG17" s="72" t="s">
        <v>370</v>
      </c>
      <c r="HH17" s="74"/>
      <c r="HJ17" s="74"/>
      <c r="HL17" s="23">
        <f t="shared" si="6"/>
        <v>1271</v>
      </c>
      <c r="HM17" s="23"/>
    </row>
    <row r="18" spans="1:221" s="198" customFormat="1" ht="15.75">
      <c r="A18" s="198" t="s">
        <v>148</v>
      </c>
      <c r="B18" s="199">
        <v>22</v>
      </c>
      <c r="D18" s="200">
        <v>15</v>
      </c>
      <c r="E18" s="198">
        <v>3</v>
      </c>
      <c r="F18" s="198" t="s">
        <v>149</v>
      </c>
      <c r="G18" s="198" t="s">
        <v>332</v>
      </c>
      <c r="H18" s="201">
        <v>36459</v>
      </c>
      <c r="I18" s="198" t="s">
        <v>123</v>
      </c>
      <c r="J18" s="198" t="s">
        <v>136</v>
      </c>
      <c r="K18" s="199"/>
      <c r="L18" s="198" t="s">
        <v>125</v>
      </c>
      <c r="N18" s="198" t="str">
        <f t="shared" si="0"/>
        <v>22W</v>
      </c>
      <c r="O18" s="198" t="str">
        <f t="shared" si="1"/>
        <v>22WBase</v>
      </c>
      <c r="Q18" s="202">
        <f t="shared" si="2"/>
        <v>0</v>
      </c>
      <c r="R18" s="202">
        <f t="shared" si="3"/>
        <v>0</v>
      </c>
      <c r="S18" s="202"/>
      <c r="T18" s="203">
        <v>37147</v>
      </c>
      <c r="U18" s="203"/>
      <c r="V18" s="204">
        <v>0</v>
      </c>
      <c r="W18" s="203">
        <f t="shared" ref="W18:AX18" si="21">V18</f>
        <v>0</v>
      </c>
      <c r="X18" s="203">
        <f t="shared" si="21"/>
        <v>0</v>
      </c>
      <c r="Y18" s="203">
        <f t="shared" si="21"/>
        <v>0</v>
      </c>
      <c r="Z18" s="203">
        <f t="shared" si="21"/>
        <v>0</v>
      </c>
      <c r="AA18" s="203">
        <f t="shared" si="21"/>
        <v>0</v>
      </c>
      <c r="AB18" s="203">
        <f t="shared" si="21"/>
        <v>0</v>
      </c>
      <c r="AC18" s="203">
        <f t="shared" si="21"/>
        <v>0</v>
      </c>
      <c r="AD18" s="203">
        <f t="shared" si="21"/>
        <v>0</v>
      </c>
      <c r="AE18" s="203">
        <f t="shared" si="21"/>
        <v>0</v>
      </c>
      <c r="AF18" s="203">
        <f t="shared" si="21"/>
        <v>0</v>
      </c>
      <c r="AG18" s="203">
        <f t="shared" si="21"/>
        <v>0</v>
      </c>
      <c r="AH18" s="203">
        <f t="shared" si="21"/>
        <v>0</v>
      </c>
      <c r="AI18" s="203">
        <f t="shared" si="21"/>
        <v>0</v>
      </c>
      <c r="AJ18" s="203">
        <f t="shared" si="21"/>
        <v>0</v>
      </c>
      <c r="AK18" s="203">
        <f t="shared" si="21"/>
        <v>0</v>
      </c>
      <c r="AL18" s="203">
        <f t="shared" si="21"/>
        <v>0</v>
      </c>
      <c r="AM18" s="203">
        <f t="shared" si="21"/>
        <v>0</v>
      </c>
      <c r="AN18" s="203">
        <f t="shared" si="21"/>
        <v>0</v>
      </c>
      <c r="AO18" s="203">
        <f t="shared" si="21"/>
        <v>0</v>
      </c>
      <c r="AP18" s="203">
        <f t="shared" si="21"/>
        <v>0</v>
      </c>
      <c r="AQ18" s="203">
        <f t="shared" si="21"/>
        <v>0</v>
      </c>
      <c r="AR18" s="203">
        <f t="shared" si="21"/>
        <v>0</v>
      </c>
      <c r="AS18" s="203">
        <f t="shared" si="21"/>
        <v>0</v>
      </c>
      <c r="AT18" s="203">
        <f t="shared" si="21"/>
        <v>0</v>
      </c>
      <c r="AU18" s="203">
        <f t="shared" si="21"/>
        <v>0</v>
      </c>
      <c r="AV18" s="203">
        <f t="shared" si="21"/>
        <v>0</v>
      </c>
      <c r="AW18" s="203">
        <f t="shared" si="21"/>
        <v>0</v>
      </c>
      <c r="AX18" s="203">
        <f t="shared" si="21"/>
        <v>0</v>
      </c>
      <c r="AY18" s="203">
        <f t="shared" si="5"/>
        <v>0</v>
      </c>
      <c r="AZ18" s="203">
        <f t="shared" si="5"/>
        <v>0</v>
      </c>
      <c r="BA18" s="203"/>
      <c r="BB18" s="78">
        <f t="shared" si="20"/>
        <v>0</v>
      </c>
      <c r="BC18" s="78">
        <f t="shared" si="18"/>
        <v>0</v>
      </c>
      <c r="BD18" s="78">
        <f t="shared" si="10"/>
        <v>0</v>
      </c>
      <c r="BE18" s="203"/>
      <c r="BF18" s="202"/>
      <c r="BK18" s="198">
        <v>974</v>
      </c>
      <c r="BO18" s="205"/>
      <c r="HL18" s="202">
        <f t="shared" si="6"/>
        <v>974</v>
      </c>
      <c r="HM18" s="202"/>
    </row>
    <row r="19" spans="1:221" s="72" customFormat="1" ht="15.75">
      <c r="A19" s="72" t="s">
        <v>150</v>
      </c>
      <c r="B19" s="73">
        <v>17</v>
      </c>
      <c r="D19" s="14">
        <v>15</v>
      </c>
      <c r="E19" s="72">
        <v>3</v>
      </c>
      <c r="F19" s="72" t="s">
        <v>127</v>
      </c>
      <c r="G19" s="72" t="s">
        <v>178</v>
      </c>
      <c r="H19" s="75">
        <v>36336</v>
      </c>
      <c r="I19" s="72" t="s">
        <v>123</v>
      </c>
      <c r="J19" s="72" t="s">
        <v>124</v>
      </c>
      <c r="K19" s="73"/>
      <c r="L19" s="72" t="s">
        <v>125</v>
      </c>
      <c r="M19" s="77"/>
      <c r="N19" s="72" t="str">
        <f t="shared" si="0"/>
        <v>17R</v>
      </c>
      <c r="O19" s="72" t="str">
        <f t="shared" si="1"/>
        <v>17RBase</v>
      </c>
      <c r="Q19" s="23">
        <f t="shared" si="2"/>
        <v>0</v>
      </c>
      <c r="R19" s="23">
        <f t="shared" si="3"/>
        <v>0</v>
      </c>
      <c r="S19" s="23"/>
      <c r="T19" s="78">
        <v>37147</v>
      </c>
      <c r="U19" s="78"/>
      <c r="V19" s="79">
        <v>0</v>
      </c>
      <c r="W19" s="78">
        <f t="shared" ref="W19:AX19" si="22">V19</f>
        <v>0</v>
      </c>
      <c r="X19" s="78">
        <f t="shared" si="22"/>
        <v>0</v>
      </c>
      <c r="Y19" s="78">
        <f t="shared" si="22"/>
        <v>0</v>
      </c>
      <c r="Z19" s="78">
        <f t="shared" si="22"/>
        <v>0</v>
      </c>
      <c r="AA19" s="78">
        <f t="shared" si="22"/>
        <v>0</v>
      </c>
      <c r="AB19" s="78">
        <f t="shared" si="22"/>
        <v>0</v>
      </c>
      <c r="AC19" s="78">
        <f t="shared" si="22"/>
        <v>0</v>
      </c>
      <c r="AD19" s="78">
        <f t="shared" si="22"/>
        <v>0</v>
      </c>
      <c r="AE19" s="78">
        <f t="shared" si="22"/>
        <v>0</v>
      </c>
      <c r="AF19" s="78">
        <f t="shared" si="22"/>
        <v>0</v>
      </c>
      <c r="AG19" s="78">
        <f t="shared" si="22"/>
        <v>0</v>
      </c>
      <c r="AH19" s="78">
        <f t="shared" si="22"/>
        <v>0</v>
      </c>
      <c r="AI19" s="78">
        <f t="shared" si="22"/>
        <v>0</v>
      </c>
      <c r="AJ19" s="78">
        <f t="shared" si="22"/>
        <v>0</v>
      </c>
      <c r="AK19" s="78">
        <f t="shared" si="22"/>
        <v>0</v>
      </c>
      <c r="AL19" s="78">
        <f t="shared" si="22"/>
        <v>0</v>
      </c>
      <c r="AM19" s="78">
        <f t="shared" si="22"/>
        <v>0</v>
      </c>
      <c r="AN19" s="78">
        <f t="shared" si="22"/>
        <v>0</v>
      </c>
      <c r="AO19" s="78">
        <f t="shared" si="22"/>
        <v>0</v>
      </c>
      <c r="AP19" s="78">
        <f t="shared" si="22"/>
        <v>0</v>
      </c>
      <c r="AQ19" s="78">
        <f t="shared" si="22"/>
        <v>0</v>
      </c>
      <c r="AR19" s="78">
        <f t="shared" si="22"/>
        <v>0</v>
      </c>
      <c r="AS19" s="78">
        <f t="shared" si="22"/>
        <v>0</v>
      </c>
      <c r="AT19" s="78">
        <f t="shared" si="22"/>
        <v>0</v>
      </c>
      <c r="AU19" s="78">
        <f t="shared" si="22"/>
        <v>0</v>
      </c>
      <c r="AV19" s="78">
        <f t="shared" si="22"/>
        <v>0</v>
      </c>
      <c r="AW19" s="78">
        <f t="shared" si="22"/>
        <v>0</v>
      </c>
      <c r="AX19" s="78">
        <f t="shared" si="22"/>
        <v>0</v>
      </c>
      <c r="AY19" s="78">
        <f t="shared" si="5"/>
        <v>0</v>
      </c>
      <c r="AZ19" s="78">
        <f t="shared" si="5"/>
        <v>0</v>
      </c>
      <c r="BA19" s="78"/>
      <c r="BB19" s="78">
        <f t="shared" si="20"/>
        <v>0</v>
      </c>
      <c r="BC19" s="78">
        <f t="shared" si="18"/>
        <v>0</v>
      </c>
      <c r="BD19" s="78">
        <f t="shared" si="10"/>
        <v>0</v>
      </c>
      <c r="BE19" s="78"/>
      <c r="BF19" s="23"/>
      <c r="BO19" s="80"/>
      <c r="BW19" s="72" t="s">
        <v>152</v>
      </c>
      <c r="HH19" s="74"/>
      <c r="HJ19" s="74"/>
      <c r="HL19" s="23">
        <f t="shared" si="6"/>
        <v>0</v>
      </c>
      <c r="HM19" s="23"/>
    </row>
    <row r="20" spans="1:221" s="72" customFormat="1" ht="15.75">
      <c r="A20" s="72" t="s">
        <v>154</v>
      </c>
      <c r="B20" s="73">
        <v>27</v>
      </c>
      <c r="D20" s="14">
        <v>16</v>
      </c>
      <c r="E20" s="72">
        <v>3</v>
      </c>
      <c r="F20" s="72" t="s">
        <v>155</v>
      </c>
      <c r="G20" s="72" t="s">
        <v>189</v>
      </c>
      <c r="H20" s="75">
        <v>36521</v>
      </c>
      <c r="I20" s="72" t="s">
        <v>123</v>
      </c>
      <c r="J20" s="72" t="s">
        <v>124</v>
      </c>
      <c r="K20" s="73"/>
      <c r="L20" s="72" t="s">
        <v>132</v>
      </c>
      <c r="M20" s="56"/>
      <c r="N20" s="72" t="str">
        <f t="shared" ref="N20:N30" si="23">CONCATENATE(B20,J20)</f>
        <v>27R</v>
      </c>
      <c r="O20" s="72" t="str">
        <f t="shared" ref="O20:O30" si="24">CONCATENATE(B20,J20,I20)</f>
        <v>27RBase</v>
      </c>
      <c r="Q20" s="23">
        <f t="shared" si="2"/>
        <v>0</v>
      </c>
      <c r="R20" s="23">
        <f t="shared" si="3"/>
        <v>0</v>
      </c>
      <c r="S20" s="23"/>
      <c r="T20" s="78">
        <v>39999</v>
      </c>
      <c r="U20" s="78"/>
      <c r="V20" s="79">
        <v>0</v>
      </c>
      <c r="W20" s="78">
        <f t="shared" ref="W20:AX20" si="25">V20</f>
        <v>0</v>
      </c>
      <c r="X20" s="78">
        <f t="shared" si="25"/>
        <v>0</v>
      </c>
      <c r="Y20" s="78">
        <f t="shared" si="25"/>
        <v>0</v>
      </c>
      <c r="Z20" s="78">
        <f t="shared" si="25"/>
        <v>0</v>
      </c>
      <c r="AA20" s="78">
        <f t="shared" si="25"/>
        <v>0</v>
      </c>
      <c r="AB20" s="78">
        <f t="shared" si="25"/>
        <v>0</v>
      </c>
      <c r="AC20" s="78">
        <f t="shared" si="25"/>
        <v>0</v>
      </c>
      <c r="AD20" s="78">
        <f t="shared" si="25"/>
        <v>0</v>
      </c>
      <c r="AE20" s="78">
        <f t="shared" si="25"/>
        <v>0</v>
      </c>
      <c r="AF20" s="78">
        <f t="shared" si="25"/>
        <v>0</v>
      </c>
      <c r="AG20" s="78">
        <f t="shared" si="25"/>
        <v>0</v>
      </c>
      <c r="AH20" s="78">
        <f t="shared" si="25"/>
        <v>0</v>
      </c>
      <c r="AI20" s="78">
        <f t="shared" si="25"/>
        <v>0</v>
      </c>
      <c r="AJ20" s="78">
        <f t="shared" si="25"/>
        <v>0</v>
      </c>
      <c r="AK20" s="78">
        <f t="shared" si="25"/>
        <v>0</v>
      </c>
      <c r="AL20" s="78">
        <f t="shared" si="25"/>
        <v>0</v>
      </c>
      <c r="AM20" s="78">
        <f t="shared" si="25"/>
        <v>0</v>
      </c>
      <c r="AN20" s="78">
        <f t="shared" si="25"/>
        <v>0</v>
      </c>
      <c r="AO20" s="78">
        <f t="shared" si="25"/>
        <v>0</v>
      </c>
      <c r="AP20" s="78">
        <f t="shared" si="25"/>
        <v>0</v>
      </c>
      <c r="AQ20" s="78">
        <f t="shared" si="25"/>
        <v>0</v>
      </c>
      <c r="AR20" s="78">
        <f t="shared" si="25"/>
        <v>0</v>
      </c>
      <c r="AS20" s="78">
        <f t="shared" si="25"/>
        <v>0</v>
      </c>
      <c r="AT20" s="78">
        <f t="shared" si="25"/>
        <v>0</v>
      </c>
      <c r="AU20" s="78">
        <f t="shared" si="25"/>
        <v>0</v>
      </c>
      <c r="AV20" s="78">
        <f t="shared" si="25"/>
        <v>0</v>
      </c>
      <c r="AW20" s="78">
        <f t="shared" si="25"/>
        <v>0</v>
      </c>
      <c r="AX20" s="78">
        <f t="shared" si="25"/>
        <v>0</v>
      </c>
      <c r="AY20" s="78">
        <f t="shared" si="5"/>
        <v>0</v>
      </c>
      <c r="AZ20" s="78">
        <f t="shared" si="5"/>
        <v>0</v>
      </c>
      <c r="BA20" s="78"/>
      <c r="BB20" s="78">
        <f t="shared" si="20"/>
        <v>0</v>
      </c>
      <c r="BC20" s="78">
        <f t="shared" si="18"/>
        <v>0</v>
      </c>
      <c r="BD20" s="78">
        <f t="shared" si="10"/>
        <v>0</v>
      </c>
      <c r="BE20" s="78"/>
      <c r="BF20" s="23"/>
      <c r="BO20" s="80"/>
      <c r="BW20" s="72" t="s">
        <v>157</v>
      </c>
      <c r="EH20" s="72">
        <v>745</v>
      </c>
      <c r="EI20" s="72" t="s">
        <v>414</v>
      </c>
      <c r="HH20" s="74"/>
      <c r="HJ20" s="74"/>
      <c r="HL20" s="23">
        <f t="shared" si="6"/>
        <v>745</v>
      </c>
      <c r="HM20" s="23"/>
    </row>
    <row r="21" spans="1:221" s="72" customFormat="1" ht="15.75">
      <c r="A21" s="72" t="s">
        <v>154</v>
      </c>
      <c r="B21" s="73">
        <v>27</v>
      </c>
      <c r="D21" s="14">
        <v>17</v>
      </c>
      <c r="E21" s="72">
        <v>3</v>
      </c>
      <c r="F21" s="72" t="s">
        <v>155</v>
      </c>
      <c r="G21" s="72" t="s">
        <v>189</v>
      </c>
      <c r="H21" s="75">
        <v>36521</v>
      </c>
      <c r="I21" s="72" t="s">
        <v>123</v>
      </c>
      <c r="J21" s="72" t="s">
        <v>124</v>
      </c>
      <c r="K21" s="73"/>
      <c r="L21" s="72" t="s">
        <v>132</v>
      </c>
      <c r="M21" s="56"/>
      <c r="N21" s="72" t="str">
        <f t="shared" si="23"/>
        <v>27R</v>
      </c>
      <c r="O21" s="72" t="str">
        <f t="shared" si="24"/>
        <v>27RBase</v>
      </c>
      <c r="Q21" s="23">
        <f t="shared" si="2"/>
        <v>0</v>
      </c>
      <c r="R21" s="23">
        <f t="shared" si="3"/>
        <v>0</v>
      </c>
      <c r="S21" s="23"/>
      <c r="T21" s="78">
        <v>39999</v>
      </c>
      <c r="U21" s="78"/>
      <c r="V21" s="79">
        <v>0</v>
      </c>
      <c r="W21" s="78">
        <f t="shared" ref="W21:AX21" si="26">V21</f>
        <v>0</v>
      </c>
      <c r="X21" s="78">
        <f t="shared" si="26"/>
        <v>0</v>
      </c>
      <c r="Y21" s="78">
        <f t="shared" si="26"/>
        <v>0</v>
      </c>
      <c r="Z21" s="78">
        <f t="shared" si="26"/>
        <v>0</v>
      </c>
      <c r="AA21" s="78">
        <f t="shared" si="26"/>
        <v>0</v>
      </c>
      <c r="AB21" s="78">
        <f t="shared" si="26"/>
        <v>0</v>
      </c>
      <c r="AC21" s="78">
        <f t="shared" si="26"/>
        <v>0</v>
      </c>
      <c r="AD21" s="78">
        <f t="shared" si="26"/>
        <v>0</v>
      </c>
      <c r="AE21" s="78">
        <f t="shared" si="26"/>
        <v>0</v>
      </c>
      <c r="AF21" s="78">
        <f t="shared" si="26"/>
        <v>0</v>
      </c>
      <c r="AG21" s="78">
        <f t="shared" si="26"/>
        <v>0</v>
      </c>
      <c r="AH21" s="78">
        <f t="shared" si="26"/>
        <v>0</v>
      </c>
      <c r="AI21" s="78">
        <f t="shared" si="26"/>
        <v>0</v>
      </c>
      <c r="AJ21" s="78">
        <f t="shared" si="26"/>
        <v>0</v>
      </c>
      <c r="AK21" s="78">
        <f t="shared" si="26"/>
        <v>0</v>
      </c>
      <c r="AL21" s="78">
        <f t="shared" si="26"/>
        <v>0</v>
      </c>
      <c r="AM21" s="78">
        <f t="shared" si="26"/>
        <v>0</v>
      </c>
      <c r="AN21" s="78">
        <f t="shared" si="26"/>
        <v>0</v>
      </c>
      <c r="AO21" s="78">
        <f t="shared" si="26"/>
        <v>0</v>
      </c>
      <c r="AP21" s="78">
        <f t="shared" si="26"/>
        <v>0</v>
      </c>
      <c r="AQ21" s="78">
        <f t="shared" si="26"/>
        <v>0</v>
      </c>
      <c r="AR21" s="78">
        <f t="shared" si="26"/>
        <v>0</v>
      </c>
      <c r="AS21" s="78">
        <f t="shared" si="26"/>
        <v>0</v>
      </c>
      <c r="AT21" s="78">
        <f t="shared" si="26"/>
        <v>0</v>
      </c>
      <c r="AU21" s="78">
        <f t="shared" si="26"/>
        <v>0</v>
      </c>
      <c r="AV21" s="78">
        <f t="shared" si="26"/>
        <v>0</v>
      </c>
      <c r="AW21" s="78">
        <f t="shared" si="26"/>
        <v>0</v>
      </c>
      <c r="AX21" s="78">
        <f t="shared" si="26"/>
        <v>0</v>
      </c>
      <c r="AY21" s="78">
        <f t="shared" si="5"/>
        <v>0</v>
      </c>
      <c r="AZ21" s="78">
        <f t="shared" si="5"/>
        <v>0</v>
      </c>
      <c r="BA21" s="78"/>
      <c r="BB21" s="78">
        <f t="shared" si="20"/>
        <v>0</v>
      </c>
      <c r="BC21" s="78">
        <f t="shared" si="18"/>
        <v>0</v>
      </c>
      <c r="BD21" s="78">
        <f t="shared" si="10"/>
        <v>0</v>
      </c>
      <c r="BE21" s="78"/>
      <c r="BF21" s="23"/>
      <c r="BO21" s="80"/>
      <c r="EH21" s="72">
        <v>247</v>
      </c>
      <c r="EI21" s="72" t="s">
        <v>223</v>
      </c>
      <c r="HH21" s="74"/>
      <c r="HJ21" s="74"/>
      <c r="HL21" s="23">
        <f t="shared" si="6"/>
        <v>247</v>
      </c>
      <c r="HM21" s="23"/>
    </row>
    <row r="22" spans="1:221" s="72" customFormat="1" ht="15.75">
      <c r="A22" s="72" t="s">
        <v>154</v>
      </c>
      <c r="B22" s="73">
        <v>27</v>
      </c>
      <c r="D22" s="14">
        <v>19</v>
      </c>
      <c r="E22" s="72">
        <v>3</v>
      </c>
      <c r="F22" s="72" t="s">
        <v>155</v>
      </c>
      <c r="G22" s="72" t="s">
        <v>189</v>
      </c>
      <c r="H22" s="75">
        <v>36521</v>
      </c>
      <c r="I22" s="72" t="s">
        <v>123</v>
      </c>
      <c r="J22" s="72" t="s">
        <v>124</v>
      </c>
      <c r="K22" s="73"/>
      <c r="L22" s="72" t="s">
        <v>132</v>
      </c>
      <c r="N22" s="72" t="str">
        <f t="shared" si="23"/>
        <v>27R</v>
      </c>
      <c r="O22" s="72" t="str">
        <f t="shared" si="24"/>
        <v>27RBase</v>
      </c>
      <c r="Q22" s="23">
        <f t="shared" si="2"/>
        <v>0</v>
      </c>
      <c r="R22" s="23">
        <f t="shared" si="3"/>
        <v>0</v>
      </c>
      <c r="S22" s="23"/>
      <c r="T22" s="78">
        <v>39999</v>
      </c>
      <c r="U22" s="78"/>
      <c r="V22" s="79">
        <v>0</v>
      </c>
      <c r="W22" s="78">
        <f t="shared" ref="W22:AX22" si="27">V22</f>
        <v>0</v>
      </c>
      <c r="X22" s="78">
        <f t="shared" si="27"/>
        <v>0</v>
      </c>
      <c r="Y22" s="78">
        <f t="shared" si="27"/>
        <v>0</v>
      </c>
      <c r="Z22" s="78">
        <f t="shared" si="27"/>
        <v>0</v>
      </c>
      <c r="AA22" s="78">
        <f t="shared" si="27"/>
        <v>0</v>
      </c>
      <c r="AB22" s="78">
        <f t="shared" si="27"/>
        <v>0</v>
      </c>
      <c r="AC22" s="78">
        <f t="shared" si="27"/>
        <v>0</v>
      </c>
      <c r="AD22" s="78">
        <f t="shared" si="27"/>
        <v>0</v>
      </c>
      <c r="AE22" s="78">
        <f t="shared" si="27"/>
        <v>0</v>
      </c>
      <c r="AF22" s="78">
        <f t="shared" si="27"/>
        <v>0</v>
      </c>
      <c r="AG22" s="78">
        <f t="shared" si="27"/>
        <v>0</v>
      </c>
      <c r="AH22" s="78">
        <f t="shared" si="27"/>
        <v>0</v>
      </c>
      <c r="AI22" s="78">
        <f t="shared" si="27"/>
        <v>0</v>
      </c>
      <c r="AJ22" s="78">
        <f t="shared" si="27"/>
        <v>0</v>
      </c>
      <c r="AK22" s="78">
        <f t="shared" si="27"/>
        <v>0</v>
      </c>
      <c r="AL22" s="78">
        <f t="shared" si="27"/>
        <v>0</v>
      </c>
      <c r="AM22" s="78">
        <f t="shared" si="27"/>
        <v>0</v>
      </c>
      <c r="AN22" s="78">
        <f t="shared" si="27"/>
        <v>0</v>
      </c>
      <c r="AO22" s="78">
        <f t="shared" si="27"/>
        <v>0</v>
      </c>
      <c r="AP22" s="78">
        <f t="shared" si="27"/>
        <v>0</v>
      </c>
      <c r="AQ22" s="78">
        <f t="shared" si="27"/>
        <v>0</v>
      </c>
      <c r="AR22" s="78">
        <f t="shared" si="27"/>
        <v>0</v>
      </c>
      <c r="AS22" s="78">
        <f t="shared" si="27"/>
        <v>0</v>
      </c>
      <c r="AT22" s="78">
        <f t="shared" si="27"/>
        <v>0</v>
      </c>
      <c r="AU22" s="78">
        <f t="shared" si="27"/>
        <v>0</v>
      </c>
      <c r="AV22" s="78">
        <f t="shared" si="27"/>
        <v>0</v>
      </c>
      <c r="AW22" s="78">
        <f t="shared" si="27"/>
        <v>0</v>
      </c>
      <c r="AX22" s="78">
        <f t="shared" si="27"/>
        <v>0</v>
      </c>
      <c r="AY22" s="78">
        <f t="shared" si="5"/>
        <v>0</v>
      </c>
      <c r="AZ22" s="78">
        <f t="shared" si="5"/>
        <v>0</v>
      </c>
      <c r="BA22" s="78"/>
      <c r="BB22" s="78">
        <f t="shared" si="20"/>
        <v>0</v>
      </c>
      <c r="BC22" s="78">
        <f t="shared" si="18"/>
        <v>0</v>
      </c>
      <c r="BD22" s="78">
        <f t="shared" si="10"/>
        <v>0</v>
      </c>
      <c r="BE22" s="78"/>
      <c r="BF22" s="23"/>
      <c r="BO22" s="80"/>
      <c r="EH22" s="72">
        <v>428</v>
      </c>
      <c r="EI22" s="72" t="s">
        <v>415</v>
      </c>
      <c r="HH22" s="74"/>
      <c r="HJ22" s="74"/>
      <c r="HL22" s="23">
        <f t="shared" si="6"/>
        <v>428</v>
      </c>
      <c r="HM22" s="23"/>
    </row>
    <row r="23" spans="1:221" s="72" customFormat="1" ht="16.5">
      <c r="A23" s="72" t="s">
        <v>154</v>
      </c>
      <c r="B23" s="73">
        <v>27</v>
      </c>
      <c r="D23" s="14">
        <v>19</v>
      </c>
      <c r="E23" s="72">
        <v>3</v>
      </c>
      <c r="F23" s="195" t="s">
        <v>159</v>
      </c>
      <c r="G23" s="72" t="s">
        <v>189</v>
      </c>
      <c r="H23" s="75">
        <v>36521</v>
      </c>
      <c r="I23" s="72" t="s">
        <v>123</v>
      </c>
      <c r="J23" s="72" t="s">
        <v>124</v>
      </c>
      <c r="K23" s="73"/>
      <c r="L23" s="72" t="s">
        <v>132</v>
      </c>
      <c r="N23" s="72" t="str">
        <f t="shared" si="23"/>
        <v>27R</v>
      </c>
      <c r="O23" s="72" t="str">
        <f t="shared" si="24"/>
        <v>27RBase</v>
      </c>
      <c r="Q23" s="23">
        <f t="shared" si="2"/>
        <v>0</v>
      </c>
      <c r="R23" s="23">
        <f t="shared" si="3"/>
        <v>0</v>
      </c>
      <c r="S23" s="23"/>
      <c r="T23" s="81">
        <v>37147</v>
      </c>
      <c r="U23" s="78"/>
      <c r="V23" s="79">
        <v>0</v>
      </c>
      <c r="W23" s="78">
        <f t="shared" ref="W23:AX23" si="28">V23</f>
        <v>0</v>
      </c>
      <c r="X23" s="78">
        <f t="shared" si="28"/>
        <v>0</v>
      </c>
      <c r="Y23" s="78">
        <f t="shared" si="28"/>
        <v>0</v>
      </c>
      <c r="Z23" s="78">
        <f t="shared" si="28"/>
        <v>0</v>
      </c>
      <c r="AA23" s="78">
        <f t="shared" si="28"/>
        <v>0</v>
      </c>
      <c r="AB23" s="78">
        <f t="shared" si="28"/>
        <v>0</v>
      </c>
      <c r="AC23" s="78">
        <f t="shared" si="28"/>
        <v>0</v>
      </c>
      <c r="AD23" s="78">
        <f t="shared" si="28"/>
        <v>0</v>
      </c>
      <c r="AE23" s="78">
        <f t="shared" si="28"/>
        <v>0</v>
      </c>
      <c r="AF23" s="78">
        <f t="shared" si="28"/>
        <v>0</v>
      </c>
      <c r="AG23" s="78">
        <f t="shared" si="28"/>
        <v>0</v>
      </c>
      <c r="AH23" s="78">
        <f t="shared" si="28"/>
        <v>0</v>
      </c>
      <c r="AI23" s="78">
        <f t="shared" si="28"/>
        <v>0</v>
      </c>
      <c r="AJ23" s="78">
        <f t="shared" si="28"/>
        <v>0</v>
      </c>
      <c r="AK23" s="78">
        <f t="shared" si="28"/>
        <v>0</v>
      </c>
      <c r="AL23" s="78">
        <f t="shared" si="28"/>
        <v>0</v>
      </c>
      <c r="AM23" s="78">
        <f t="shared" si="28"/>
        <v>0</v>
      </c>
      <c r="AN23" s="78">
        <f t="shared" si="28"/>
        <v>0</v>
      </c>
      <c r="AO23" s="78">
        <f t="shared" si="28"/>
        <v>0</v>
      </c>
      <c r="AP23" s="78">
        <f t="shared" si="28"/>
        <v>0</v>
      </c>
      <c r="AQ23" s="78">
        <f t="shared" si="28"/>
        <v>0</v>
      </c>
      <c r="AR23" s="78">
        <f t="shared" si="28"/>
        <v>0</v>
      </c>
      <c r="AS23" s="78">
        <f t="shared" si="28"/>
        <v>0</v>
      </c>
      <c r="AT23" s="78">
        <f t="shared" si="28"/>
        <v>0</v>
      </c>
      <c r="AU23" s="78">
        <f t="shared" si="28"/>
        <v>0</v>
      </c>
      <c r="AV23" s="78">
        <f t="shared" si="28"/>
        <v>0</v>
      </c>
      <c r="AW23" s="78">
        <f t="shared" si="28"/>
        <v>0</v>
      </c>
      <c r="AX23" s="78">
        <f t="shared" si="28"/>
        <v>0</v>
      </c>
      <c r="AY23" s="78">
        <f t="shared" si="5"/>
        <v>0</v>
      </c>
      <c r="AZ23" s="78">
        <f t="shared" si="5"/>
        <v>0</v>
      </c>
      <c r="BA23" s="78"/>
      <c r="BB23" s="78">
        <f t="shared" si="20"/>
        <v>0</v>
      </c>
      <c r="BC23" s="78">
        <f t="shared" si="18"/>
        <v>0</v>
      </c>
      <c r="BD23" s="78">
        <f t="shared" si="10"/>
        <v>0</v>
      </c>
      <c r="BE23" s="78"/>
      <c r="BF23" s="23"/>
      <c r="BO23" s="80"/>
      <c r="EH23" s="72">
        <v>345</v>
      </c>
      <c r="EI23" s="72" t="s">
        <v>416</v>
      </c>
      <c r="GI23" s="82"/>
      <c r="HH23" s="74"/>
      <c r="HJ23" s="74"/>
      <c r="HL23" s="23">
        <f t="shared" si="6"/>
        <v>345</v>
      </c>
      <c r="HM23" s="23"/>
    </row>
    <row r="24" spans="1:221" s="82" customFormat="1" ht="16.5">
      <c r="A24" s="82" t="s">
        <v>154</v>
      </c>
      <c r="B24" s="83">
        <v>27</v>
      </c>
      <c r="D24" s="82">
        <v>16</v>
      </c>
      <c r="E24" s="82">
        <v>3</v>
      </c>
      <c r="F24" s="82" t="s">
        <v>160</v>
      </c>
      <c r="G24" s="72" t="s">
        <v>189</v>
      </c>
      <c r="H24" s="84">
        <v>36521</v>
      </c>
      <c r="I24" s="82" t="s">
        <v>123</v>
      </c>
      <c r="J24" s="82" t="s">
        <v>124</v>
      </c>
      <c r="K24" s="83"/>
      <c r="L24" s="82" t="s">
        <v>132</v>
      </c>
      <c r="M24" s="56"/>
      <c r="N24" s="82" t="str">
        <f t="shared" si="23"/>
        <v>27R</v>
      </c>
      <c r="O24" s="82" t="str">
        <f t="shared" si="24"/>
        <v>27RBase</v>
      </c>
      <c r="Q24" s="15">
        <f t="shared" si="2"/>
        <v>0</v>
      </c>
      <c r="R24" s="85">
        <f t="shared" si="3"/>
        <v>0</v>
      </c>
      <c r="S24" s="85"/>
      <c r="T24" s="86">
        <v>39999</v>
      </c>
      <c r="U24" s="86"/>
      <c r="V24" s="87">
        <v>0</v>
      </c>
      <c r="W24" s="86">
        <f>V24</f>
        <v>0</v>
      </c>
      <c r="X24" s="86">
        <f>W24</f>
        <v>0</v>
      </c>
      <c r="Y24" s="86">
        <f t="shared" ref="Y24:AZ24" si="29">X24</f>
        <v>0</v>
      </c>
      <c r="Z24" s="86">
        <f t="shared" si="29"/>
        <v>0</v>
      </c>
      <c r="AA24" s="86">
        <f t="shared" si="29"/>
        <v>0</v>
      </c>
      <c r="AB24" s="86">
        <f t="shared" si="29"/>
        <v>0</v>
      </c>
      <c r="AC24" s="86">
        <f t="shared" si="29"/>
        <v>0</v>
      </c>
      <c r="AD24" s="86">
        <f t="shared" si="29"/>
        <v>0</v>
      </c>
      <c r="AE24" s="86">
        <f t="shared" si="29"/>
        <v>0</v>
      </c>
      <c r="AF24" s="86">
        <f t="shared" si="29"/>
        <v>0</v>
      </c>
      <c r="AG24" s="86">
        <f t="shared" si="29"/>
        <v>0</v>
      </c>
      <c r="AH24" s="86">
        <f t="shared" si="29"/>
        <v>0</v>
      </c>
      <c r="AI24" s="86">
        <f t="shared" si="29"/>
        <v>0</v>
      </c>
      <c r="AJ24" s="86">
        <f t="shared" si="29"/>
        <v>0</v>
      </c>
      <c r="AK24" s="86">
        <f t="shared" si="29"/>
        <v>0</v>
      </c>
      <c r="AL24" s="86">
        <f t="shared" si="29"/>
        <v>0</v>
      </c>
      <c r="AM24" s="86">
        <f t="shared" si="29"/>
        <v>0</v>
      </c>
      <c r="AN24" s="86">
        <f t="shared" si="29"/>
        <v>0</v>
      </c>
      <c r="AO24" s="86">
        <f t="shared" si="29"/>
        <v>0</v>
      </c>
      <c r="AP24" s="86">
        <f t="shared" si="29"/>
        <v>0</v>
      </c>
      <c r="AQ24" s="86">
        <f t="shared" si="29"/>
        <v>0</v>
      </c>
      <c r="AR24" s="86">
        <f t="shared" si="29"/>
        <v>0</v>
      </c>
      <c r="AS24" s="86">
        <f t="shared" si="29"/>
        <v>0</v>
      </c>
      <c r="AT24" s="86">
        <f t="shared" si="29"/>
        <v>0</v>
      </c>
      <c r="AU24" s="86">
        <f t="shared" si="29"/>
        <v>0</v>
      </c>
      <c r="AV24" s="86">
        <f t="shared" si="29"/>
        <v>0</v>
      </c>
      <c r="AW24" s="86">
        <f t="shared" si="29"/>
        <v>0</v>
      </c>
      <c r="AX24" s="86">
        <f t="shared" si="29"/>
        <v>0</v>
      </c>
      <c r="AY24" s="86">
        <f t="shared" si="29"/>
        <v>0</v>
      </c>
      <c r="AZ24" s="86">
        <f t="shared" si="29"/>
        <v>0</v>
      </c>
      <c r="BA24" s="86"/>
      <c r="BB24" s="16">
        <f t="shared" si="20"/>
        <v>0</v>
      </c>
      <c r="BC24" s="78">
        <f t="shared" si="18"/>
        <v>0</v>
      </c>
      <c r="BD24" s="78">
        <f t="shared" si="10"/>
        <v>0</v>
      </c>
      <c r="BE24" s="86"/>
      <c r="BF24" s="85"/>
      <c r="BO24" s="88"/>
      <c r="BW24" s="82" t="s">
        <v>161</v>
      </c>
      <c r="EH24" s="82">
        <v>209</v>
      </c>
      <c r="EI24" s="82" t="s">
        <v>417</v>
      </c>
      <c r="HH24" s="89"/>
      <c r="HJ24" s="89"/>
      <c r="HL24" s="85">
        <f t="shared" si="6"/>
        <v>209</v>
      </c>
      <c r="HM24" s="85"/>
    </row>
    <row r="25" spans="1:221" s="82" customFormat="1" ht="16.5">
      <c r="A25" s="82" t="s">
        <v>154</v>
      </c>
      <c r="B25" s="83">
        <v>27</v>
      </c>
      <c r="D25" s="82">
        <v>19</v>
      </c>
      <c r="E25" s="82">
        <v>3</v>
      </c>
      <c r="F25" s="82" t="s">
        <v>160</v>
      </c>
      <c r="G25" s="72" t="s">
        <v>189</v>
      </c>
      <c r="H25" s="84">
        <v>36521</v>
      </c>
      <c r="I25" s="82" t="s">
        <v>123</v>
      </c>
      <c r="J25" s="82" t="s">
        <v>124</v>
      </c>
      <c r="K25" s="83"/>
      <c r="L25" s="82" t="s">
        <v>132</v>
      </c>
      <c r="M25" s="56"/>
      <c r="N25" s="82" t="str">
        <f t="shared" si="23"/>
        <v>27R</v>
      </c>
      <c r="O25" s="82" t="str">
        <f t="shared" si="24"/>
        <v>27RBase</v>
      </c>
      <c r="Q25" s="15">
        <f t="shared" si="2"/>
        <v>0</v>
      </c>
      <c r="R25" s="85">
        <f t="shared" si="3"/>
        <v>0</v>
      </c>
      <c r="S25" s="85"/>
      <c r="T25" s="86">
        <v>39999</v>
      </c>
      <c r="U25" s="86"/>
      <c r="V25" s="87">
        <v>0</v>
      </c>
      <c r="W25" s="86">
        <f>V25</f>
        <v>0</v>
      </c>
      <c r="X25" s="86">
        <f>W25</f>
        <v>0</v>
      </c>
      <c r="Y25" s="86">
        <f t="shared" ref="Y25:AZ25" si="30">X25</f>
        <v>0</v>
      </c>
      <c r="Z25" s="86">
        <f t="shared" si="30"/>
        <v>0</v>
      </c>
      <c r="AA25" s="86">
        <f t="shared" si="30"/>
        <v>0</v>
      </c>
      <c r="AB25" s="86">
        <f t="shared" si="30"/>
        <v>0</v>
      </c>
      <c r="AC25" s="86">
        <f t="shared" si="30"/>
        <v>0</v>
      </c>
      <c r="AD25" s="86">
        <f t="shared" si="30"/>
        <v>0</v>
      </c>
      <c r="AE25" s="86">
        <f t="shared" si="30"/>
        <v>0</v>
      </c>
      <c r="AF25" s="86">
        <f t="shared" si="30"/>
        <v>0</v>
      </c>
      <c r="AG25" s="86">
        <f t="shared" si="30"/>
        <v>0</v>
      </c>
      <c r="AH25" s="86">
        <f t="shared" si="30"/>
        <v>0</v>
      </c>
      <c r="AI25" s="86">
        <f t="shared" si="30"/>
        <v>0</v>
      </c>
      <c r="AJ25" s="86">
        <f t="shared" si="30"/>
        <v>0</v>
      </c>
      <c r="AK25" s="86">
        <f t="shared" si="30"/>
        <v>0</v>
      </c>
      <c r="AL25" s="86">
        <f t="shared" si="30"/>
        <v>0</v>
      </c>
      <c r="AM25" s="86">
        <f t="shared" si="30"/>
        <v>0</v>
      </c>
      <c r="AN25" s="86">
        <f t="shared" si="30"/>
        <v>0</v>
      </c>
      <c r="AO25" s="86">
        <f t="shared" si="30"/>
        <v>0</v>
      </c>
      <c r="AP25" s="86">
        <f t="shared" si="30"/>
        <v>0</v>
      </c>
      <c r="AQ25" s="86">
        <f t="shared" si="30"/>
        <v>0</v>
      </c>
      <c r="AR25" s="86">
        <f t="shared" si="30"/>
        <v>0</v>
      </c>
      <c r="AS25" s="86">
        <f t="shared" si="30"/>
        <v>0</v>
      </c>
      <c r="AT25" s="86">
        <f t="shared" si="30"/>
        <v>0</v>
      </c>
      <c r="AU25" s="86">
        <f t="shared" si="30"/>
        <v>0</v>
      </c>
      <c r="AV25" s="86">
        <f t="shared" si="30"/>
        <v>0</v>
      </c>
      <c r="AW25" s="86">
        <f t="shared" si="30"/>
        <v>0</v>
      </c>
      <c r="AX25" s="86">
        <f t="shared" si="30"/>
        <v>0</v>
      </c>
      <c r="AY25" s="86">
        <f t="shared" si="30"/>
        <v>0</v>
      </c>
      <c r="AZ25" s="86">
        <f t="shared" si="30"/>
        <v>0</v>
      </c>
      <c r="BA25" s="86"/>
      <c r="BB25" s="16">
        <f t="shared" si="20"/>
        <v>0</v>
      </c>
      <c r="BC25" s="78">
        <f t="shared" si="18"/>
        <v>0</v>
      </c>
      <c r="BD25" s="78">
        <f t="shared" si="10"/>
        <v>0</v>
      </c>
      <c r="BE25" s="86"/>
      <c r="BF25" s="85"/>
      <c r="BO25" s="88"/>
      <c r="BW25" s="82" t="s">
        <v>161</v>
      </c>
      <c r="EH25" s="82">
        <v>114</v>
      </c>
      <c r="EI25" s="82" t="s">
        <v>418</v>
      </c>
      <c r="GI25" s="90"/>
      <c r="HH25" s="89"/>
      <c r="HJ25" s="89"/>
      <c r="HL25" s="85">
        <f t="shared" si="6"/>
        <v>114</v>
      </c>
      <c r="HM25" s="85"/>
    </row>
    <row r="26" spans="1:221" s="72" customFormat="1" ht="15.75">
      <c r="A26" s="72" t="s">
        <v>154</v>
      </c>
      <c r="B26" s="73">
        <v>27</v>
      </c>
      <c r="D26" s="14">
        <v>19</v>
      </c>
      <c r="E26" s="72">
        <v>3</v>
      </c>
      <c r="F26" s="196" t="s">
        <v>333</v>
      </c>
      <c r="G26" s="72" t="s">
        <v>334</v>
      </c>
      <c r="H26" s="75">
        <v>36521</v>
      </c>
      <c r="I26" s="72" t="s">
        <v>123</v>
      </c>
      <c r="J26" s="72" t="s">
        <v>124</v>
      </c>
      <c r="K26" s="73"/>
      <c r="L26" s="72" t="s">
        <v>132</v>
      </c>
      <c r="N26" s="72" t="str">
        <f>CONCATENATE(B26,J26)</f>
        <v>27R</v>
      </c>
      <c r="O26" s="72" t="str">
        <f>CONCATENATE(B26,J26,I26)</f>
        <v>27RBase</v>
      </c>
      <c r="Q26" s="23">
        <f t="shared" si="2"/>
        <v>0</v>
      </c>
      <c r="R26" s="23">
        <f t="shared" si="3"/>
        <v>0</v>
      </c>
      <c r="S26" s="23"/>
      <c r="T26" s="78">
        <v>39999</v>
      </c>
      <c r="U26" s="78"/>
      <c r="V26" s="79">
        <v>0</v>
      </c>
      <c r="W26" s="78">
        <f t="shared" ref="W26:AX26" si="31">V26</f>
        <v>0</v>
      </c>
      <c r="X26" s="78">
        <f t="shared" si="31"/>
        <v>0</v>
      </c>
      <c r="Y26" s="78">
        <f t="shared" si="31"/>
        <v>0</v>
      </c>
      <c r="Z26" s="78">
        <f t="shared" si="31"/>
        <v>0</v>
      </c>
      <c r="AA26" s="78">
        <f t="shared" si="31"/>
        <v>0</v>
      </c>
      <c r="AB26" s="78">
        <f t="shared" si="31"/>
        <v>0</v>
      </c>
      <c r="AC26" s="78">
        <f t="shared" si="31"/>
        <v>0</v>
      </c>
      <c r="AD26" s="78">
        <f t="shared" si="31"/>
        <v>0</v>
      </c>
      <c r="AE26" s="78">
        <f t="shared" si="31"/>
        <v>0</v>
      </c>
      <c r="AF26" s="78">
        <f t="shared" si="31"/>
        <v>0</v>
      </c>
      <c r="AG26" s="78">
        <f t="shared" si="31"/>
        <v>0</v>
      </c>
      <c r="AH26" s="78">
        <f t="shared" si="31"/>
        <v>0</v>
      </c>
      <c r="AI26" s="78">
        <f t="shared" si="31"/>
        <v>0</v>
      </c>
      <c r="AJ26" s="78">
        <f t="shared" si="31"/>
        <v>0</v>
      </c>
      <c r="AK26" s="78">
        <f t="shared" si="31"/>
        <v>0</v>
      </c>
      <c r="AL26" s="78">
        <f t="shared" si="31"/>
        <v>0</v>
      </c>
      <c r="AM26" s="78">
        <f t="shared" si="31"/>
        <v>0</v>
      </c>
      <c r="AN26" s="78">
        <f t="shared" si="31"/>
        <v>0</v>
      </c>
      <c r="AO26" s="78">
        <f t="shared" si="31"/>
        <v>0</v>
      </c>
      <c r="AP26" s="78">
        <f t="shared" si="31"/>
        <v>0</v>
      </c>
      <c r="AQ26" s="78">
        <f t="shared" si="31"/>
        <v>0</v>
      </c>
      <c r="AR26" s="78">
        <f t="shared" si="31"/>
        <v>0</v>
      </c>
      <c r="AS26" s="78">
        <f t="shared" si="31"/>
        <v>0</v>
      </c>
      <c r="AT26" s="78">
        <f t="shared" si="31"/>
        <v>0</v>
      </c>
      <c r="AU26" s="78">
        <f t="shared" si="31"/>
        <v>0</v>
      </c>
      <c r="AV26" s="78">
        <f t="shared" si="31"/>
        <v>0</v>
      </c>
      <c r="AW26" s="78">
        <f t="shared" si="31"/>
        <v>0</v>
      </c>
      <c r="AX26" s="78">
        <f t="shared" si="31"/>
        <v>0</v>
      </c>
      <c r="AY26" s="78">
        <f t="shared" ref="AY26:AZ38" si="32">AX26</f>
        <v>0</v>
      </c>
      <c r="AZ26" s="78">
        <f t="shared" si="32"/>
        <v>0</v>
      </c>
      <c r="BA26" s="78"/>
      <c r="BB26" s="78">
        <f t="shared" si="20"/>
        <v>0</v>
      </c>
      <c r="BC26" s="78">
        <f t="shared" si="18"/>
        <v>0</v>
      </c>
      <c r="BD26" s="78">
        <f t="shared" si="10"/>
        <v>0</v>
      </c>
      <c r="BE26" s="78"/>
      <c r="BF26" s="23"/>
      <c r="BO26" s="80"/>
      <c r="HH26" s="74"/>
      <c r="HJ26" s="74"/>
      <c r="HL26" s="23">
        <f t="shared" si="6"/>
        <v>0</v>
      </c>
      <c r="HM26" s="15" t="s">
        <v>359</v>
      </c>
    </row>
    <row r="27" spans="1:221" s="90" customFormat="1" ht="15.75">
      <c r="A27" s="90" t="s">
        <v>164</v>
      </c>
      <c r="B27" s="91" t="s">
        <v>165</v>
      </c>
      <c r="D27" s="92">
        <v>25</v>
      </c>
      <c r="E27" s="90">
        <v>4</v>
      </c>
      <c r="F27" s="90" t="s">
        <v>166</v>
      </c>
      <c r="G27" s="72" t="s">
        <v>151</v>
      </c>
      <c r="H27" s="93">
        <v>36336</v>
      </c>
      <c r="I27" s="90" t="s">
        <v>123</v>
      </c>
      <c r="J27" s="90" t="s">
        <v>124</v>
      </c>
      <c r="K27" s="91"/>
      <c r="L27" s="90" t="s">
        <v>125</v>
      </c>
      <c r="M27" s="56" t="s">
        <v>346</v>
      </c>
      <c r="N27" s="90" t="str">
        <f t="shared" si="23"/>
        <v>25ER</v>
      </c>
      <c r="O27" s="90" t="str">
        <f t="shared" si="24"/>
        <v>25ERBase</v>
      </c>
      <c r="Q27" s="94">
        <f t="shared" ref="Q27:Q41" si="33">+BC27</f>
        <v>0</v>
      </c>
      <c r="R27" s="94">
        <f t="shared" si="3"/>
        <v>0</v>
      </c>
      <c r="S27" s="94"/>
      <c r="T27" s="95">
        <v>37147</v>
      </c>
      <c r="U27" s="95"/>
      <c r="V27" s="96">
        <v>0</v>
      </c>
      <c r="W27" s="95">
        <f t="shared" ref="W27:AX27" si="34">V27</f>
        <v>0</v>
      </c>
      <c r="X27" s="95">
        <f t="shared" si="34"/>
        <v>0</v>
      </c>
      <c r="Y27" s="95">
        <f t="shared" si="34"/>
        <v>0</v>
      </c>
      <c r="Z27" s="95">
        <f t="shared" si="34"/>
        <v>0</v>
      </c>
      <c r="AA27" s="95">
        <f t="shared" si="34"/>
        <v>0</v>
      </c>
      <c r="AB27" s="95">
        <f t="shared" si="34"/>
        <v>0</v>
      </c>
      <c r="AC27" s="95">
        <f t="shared" si="34"/>
        <v>0</v>
      </c>
      <c r="AD27" s="95">
        <f t="shared" si="34"/>
        <v>0</v>
      </c>
      <c r="AE27" s="95">
        <f t="shared" si="34"/>
        <v>0</v>
      </c>
      <c r="AF27" s="95">
        <f t="shared" si="34"/>
        <v>0</v>
      </c>
      <c r="AG27" s="95">
        <f t="shared" si="34"/>
        <v>0</v>
      </c>
      <c r="AH27" s="95">
        <f t="shared" si="34"/>
        <v>0</v>
      </c>
      <c r="AI27" s="95">
        <f t="shared" si="34"/>
        <v>0</v>
      </c>
      <c r="AJ27" s="95">
        <f t="shared" si="34"/>
        <v>0</v>
      </c>
      <c r="AK27" s="95">
        <f t="shared" si="34"/>
        <v>0</v>
      </c>
      <c r="AL27" s="95">
        <f t="shared" si="34"/>
        <v>0</v>
      </c>
      <c r="AM27" s="95">
        <f t="shared" si="34"/>
        <v>0</v>
      </c>
      <c r="AN27" s="95">
        <f t="shared" si="34"/>
        <v>0</v>
      </c>
      <c r="AO27" s="95">
        <f t="shared" si="34"/>
        <v>0</v>
      </c>
      <c r="AP27" s="95">
        <f t="shared" si="34"/>
        <v>0</v>
      </c>
      <c r="AQ27" s="95">
        <f t="shared" si="34"/>
        <v>0</v>
      </c>
      <c r="AR27" s="95">
        <f t="shared" si="34"/>
        <v>0</v>
      </c>
      <c r="AS27" s="95">
        <f t="shared" si="34"/>
        <v>0</v>
      </c>
      <c r="AT27" s="95">
        <f t="shared" si="34"/>
        <v>0</v>
      </c>
      <c r="AU27" s="95">
        <f t="shared" si="34"/>
        <v>0</v>
      </c>
      <c r="AV27" s="95">
        <f t="shared" si="34"/>
        <v>0</v>
      </c>
      <c r="AW27" s="95">
        <f t="shared" si="34"/>
        <v>0</v>
      </c>
      <c r="AX27" s="95">
        <f t="shared" si="34"/>
        <v>0</v>
      </c>
      <c r="AY27" s="95">
        <f t="shared" si="32"/>
        <v>0</v>
      </c>
      <c r="AZ27" s="95">
        <f t="shared" si="32"/>
        <v>0</v>
      </c>
      <c r="BA27" s="95"/>
      <c r="BB27" s="95">
        <f>SUM(V27:AZ27)</f>
        <v>0</v>
      </c>
      <c r="BC27" s="95">
        <f t="shared" si="18"/>
        <v>0</v>
      </c>
      <c r="BD27" s="95">
        <f t="shared" si="10"/>
        <v>0</v>
      </c>
      <c r="BE27" s="95"/>
      <c r="BF27" s="94"/>
      <c r="BO27" s="97"/>
      <c r="FZ27" s="90">
        <v>4319</v>
      </c>
      <c r="GA27" s="90" t="s">
        <v>181</v>
      </c>
      <c r="HH27" s="98"/>
      <c r="HJ27" s="98"/>
      <c r="HL27" s="94">
        <f t="shared" si="6"/>
        <v>4319</v>
      </c>
      <c r="HM27" s="94"/>
    </row>
    <row r="28" spans="1:221" s="90" customFormat="1" ht="15.75">
      <c r="A28" s="90" t="s">
        <v>164</v>
      </c>
      <c r="B28" s="91" t="s">
        <v>165</v>
      </c>
      <c r="D28" s="92">
        <v>25</v>
      </c>
      <c r="E28" s="90">
        <v>4</v>
      </c>
      <c r="F28" s="90" t="s">
        <v>127</v>
      </c>
      <c r="G28" s="72" t="s">
        <v>151</v>
      </c>
      <c r="H28" s="93">
        <v>36336</v>
      </c>
      <c r="I28" s="90" t="s">
        <v>123</v>
      </c>
      <c r="J28" s="90" t="s">
        <v>124</v>
      </c>
      <c r="K28" s="91"/>
      <c r="L28" s="90" t="s">
        <v>125</v>
      </c>
      <c r="M28" s="72"/>
      <c r="N28" s="90" t="str">
        <f t="shared" si="23"/>
        <v>25ER</v>
      </c>
      <c r="O28" s="90" t="str">
        <f t="shared" si="24"/>
        <v>25ERBase</v>
      </c>
      <c r="Q28" s="94">
        <f t="shared" si="33"/>
        <v>0</v>
      </c>
      <c r="R28" s="94">
        <f t="shared" si="3"/>
        <v>0</v>
      </c>
      <c r="S28" s="94"/>
      <c r="T28" s="95">
        <v>37147</v>
      </c>
      <c r="U28" s="95"/>
      <c r="V28" s="96">
        <v>0</v>
      </c>
      <c r="W28" s="95">
        <f t="shared" ref="W28:AX28" si="35">V28</f>
        <v>0</v>
      </c>
      <c r="X28" s="95">
        <f t="shared" si="35"/>
        <v>0</v>
      </c>
      <c r="Y28" s="95">
        <f t="shared" si="35"/>
        <v>0</v>
      </c>
      <c r="Z28" s="95">
        <f t="shared" si="35"/>
        <v>0</v>
      </c>
      <c r="AA28" s="95">
        <f t="shared" si="35"/>
        <v>0</v>
      </c>
      <c r="AB28" s="95">
        <f t="shared" si="35"/>
        <v>0</v>
      </c>
      <c r="AC28" s="95">
        <f t="shared" si="35"/>
        <v>0</v>
      </c>
      <c r="AD28" s="95">
        <f t="shared" si="35"/>
        <v>0</v>
      </c>
      <c r="AE28" s="95">
        <f t="shared" si="35"/>
        <v>0</v>
      </c>
      <c r="AF28" s="95">
        <f t="shared" si="35"/>
        <v>0</v>
      </c>
      <c r="AG28" s="95">
        <f t="shared" si="35"/>
        <v>0</v>
      </c>
      <c r="AH28" s="95">
        <f t="shared" si="35"/>
        <v>0</v>
      </c>
      <c r="AI28" s="95">
        <f t="shared" si="35"/>
        <v>0</v>
      </c>
      <c r="AJ28" s="95">
        <f t="shared" si="35"/>
        <v>0</v>
      </c>
      <c r="AK28" s="95">
        <f t="shared" si="35"/>
        <v>0</v>
      </c>
      <c r="AL28" s="95">
        <f t="shared" si="35"/>
        <v>0</v>
      </c>
      <c r="AM28" s="95">
        <f t="shared" si="35"/>
        <v>0</v>
      </c>
      <c r="AN28" s="95">
        <f t="shared" si="35"/>
        <v>0</v>
      </c>
      <c r="AO28" s="95">
        <f t="shared" si="35"/>
        <v>0</v>
      </c>
      <c r="AP28" s="95">
        <f t="shared" si="35"/>
        <v>0</v>
      </c>
      <c r="AQ28" s="95">
        <f t="shared" si="35"/>
        <v>0</v>
      </c>
      <c r="AR28" s="95">
        <f t="shared" si="35"/>
        <v>0</v>
      </c>
      <c r="AS28" s="95">
        <f t="shared" si="35"/>
        <v>0</v>
      </c>
      <c r="AT28" s="95">
        <f t="shared" si="35"/>
        <v>0</v>
      </c>
      <c r="AU28" s="95">
        <f t="shared" si="35"/>
        <v>0</v>
      </c>
      <c r="AV28" s="95">
        <f t="shared" si="35"/>
        <v>0</v>
      </c>
      <c r="AW28" s="95">
        <f t="shared" si="35"/>
        <v>0</v>
      </c>
      <c r="AX28" s="95">
        <f t="shared" si="35"/>
        <v>0</v>
      </c>
      <c r="AY28" s="95">
        <f t="shared" si="32"/>
        <v>0</v>
      </c>
      <c r="AZ28" s="95">
        <f t="shared" si="32"/>
        <v>0</v>
      </c>
      <c r="BA28" s="95"/>
      <c r="BB28" s="95">
        <f t="shared" ref="BB28:BB42" si="36">SUM(V28:AZ28)</f>
        <v>0</v>
      </c>
      <c r="BC28" s="95">
        <f t="shared" si="18"/>
        <v>0</v>
      </c>
      <c r="BD28" s="95">
        <f t="shared" si="10"/>
        <v>0</v>
      </c>
      <c r="BE28" s="95"/>
      <c r="BF28" s="94"/>
      <c r="BK28" s="90">
        <f>8986-799</f>
        <v>8187</v>
      </c>
      <c r="BO28" s="97"/>
      <c r="DA28" s="90" t="s">
        <v>169</v>
      </c>
      <c r="FY28" s="90" t="s">
        <v>139</v>
      </c>
      <c r="FZ28" s="90">
        <v>38</v>
      </c>
      <c r="GA28" s="90" t="s">
        <v>167</v>
      </c>
      <c r="GD28" s="90">
        <v>799</v>
      </c>
      <c r="GE28" s="90" t="s">
        <v>405</v>
      </c>
      <c r="HH28" s="98"/>
      <c r="HJ28" s="98">
        <v>1041</v>
      </c>
      <c r="HK28" s="90" t="s">
        <v>168</v>
      </c>
      <c r="HL28" s="94">
        <f t="shared" si="6"/>
        <v>10065</v>
      </c>
      <c r="HM28" s="94"/>
    </row>
    <row r="29" spans="1:221" s="90" customFormat="1" ht="15.75">
      <c r="A29" s="90" t="s">
        <v>164</v>
      </c>
      <c r="B29" s="91" t="s">
        <v>165</v>
      </c>
      <c r="D29" s="92">
        <v>25</v>
      </c>
      <c r="E29" s="90">
        <v>4</v>
      </c>
      <c r="F29" s="90" t="s">
        <v>171</v>
      </c>
      <c r="G29" s="72" t="s">
        <v>151</v>
      </c>
      <c r="H29" s="93">
        <v>36336</v>
      </c>
      <c r="I29" s="90" t="s">
        <v>123</v>
      </c>
      <c r="J29" s="90" t="s">
        <v>124</v>
      </c>
      <c r="K29" s="91"/>
      <c r="L29" s="90" t="s">
        <v>125</v>
      </c>
      <c r="M29" s="72"/>
      <c r="N29" s="90" t="str">
        <f t="shared" si="23"/>
        <v>25ER</v>
      </c>
      <c r="O29" s="90" t="str">
        <f t="shared" si="24"/>
        <v>25ERBase</v>
      </c>
      <c r="Q29" s="94">
        <f t="shared" si="33"/>
        <v>0</v>
      </c>
      <c r="R29" s="94">
        <f t="shared" si="3"/>
        <v>0</v>
      </c>
      <c r="S29" s="94"/>
      <c r="T29" s="95">
        <v>37147</v>
      </c>
      <c r="U29" s="95"/>
      <c r="V29" s="96">
        <v>0</v>
      </c>
      <c r="W29" s="95">
        <f t="shared" ref="W29:AX29" si="37">V29</f>
        <v>0</v>
      </c>
      <c r="X29" s="95">
        <f t="shared" si="37"/>
        <v>0</v>
      </c>
      <c r="Y29" s="95">
        <f t="shared" si="37"/>
        <v>0</v>
      </c>
      <c r="Z29" s="95">
        <f t="shared" si="37"/>
        <v>0</v>
      </c>
      <c r="AA29" s="95">
        <f t="shared" si="37"/>
        <v>0</v>
      </c>
      <c r="AB29" s="95">
        <f t="shared" si="37"/>
        <v>0</v>
      </c>
      <c r="AC29" s="95">
        <f t="shared" si="37"/>
        <v>0</v>
      </c>
      <c r="AD29" s="95">
        <f t="shared" si="37"/>
        <v>0</v>
      </c>
      <c r="AE29" s="95">
        <f t="shared" si="37"/>
        <v>0</v>
      </c>
      <c r="AF29" s="95">
        <f t="shared" si="37"/>
        <v>0</v>
      </c>
      <c r="AG29" s="95">
        <f t="shared" si="37"/>
        <v>0</v>
      </c>
      <c r="AH29" s="95">
        <f t="shared" si="37"/>
        <v>0</v>
      </c>
      <c r="AI29" s="95">
        <f t="shared" si="37"/>
        <v>0</v>
      </c>
      <c r="AJ29" s="95">
        <f t="shared" si="37"/>
        <v>0</v>
      </c>
      <c r="AK29" s="95">
        <f t="shared" si="37"/>
        <v>0</v>
      </c>
      <c r="AL29" s="95">
        <f t="shared" si="37"/>
        <v>0</v>
      </c>
      <c r="AM29" s="95">
        <f t="shared" si="37"/>
        <v>0</v>
      </c>
      <c r="AN29" s="95">
        <f t="shared" si="37"/>
        <v>0</v>
      </c>
      <c r="AO29" s="95">
        <f t="shared" si="37"/>
        <v>0</v>
      </c>
      <c r="AP29" s="95">
        <f t="shared" si="37"/>
        <v>0</v>
      </c>
      <c r="AQ29" s="95">
        <f t="shared" si="37"/>
        <v>0</v>
      </c>
      <c r="AR29" s="95">
        <f t="shared" si="37"/>
        <v>0</v>
      </c>
      <c r="AS29" s="95">
        <f t="shared" si="37"/>
        <v>0</v>
      </c>
      <c r="AT29" s="95">
        <f t="shared" si="37"/>
        <v>0</v>
      </c>
      <c r="AU29" s="95">
        <f t="shared" si="37"/>
        <v>0</v>
      </c>
      <c r="AV29" s="95">
        <f t="shared" si="37"/>
        <v>0</v>
      </c>
      <c r="AW29" s="95">
        <f t="shared" si="37"/>
        <v>0</v>
      </c>
      <c r="AX29" s="95">
        <f t="shared" si="37"/>
        <v>0</v>
      </c>
      <c r="AY29" s="95">
        <f t="shared" si="32"/>
        <v>0</v>
      </c>
      <c r="AZ29" s="95">
        <f t="shared" si="32"/>
        <v>0</v>
      </c>
      <c r="BA29" s="95"/>
      <c r="BB29" s="95">
        <f t="shared" si="36"/>
        <v>0</v>
      </c>
      <c r="BC29" s="95">
        <f t="shared" si="18"/>
        <v>0</v>
      </c>
      <c r="BD29" s="95">
        <f t="shared" si="10"/>
        <v>0</v>
      </c>
      <c r="BE29" s="95"/>
      <c r="BF29" s="94"/>
      <c r="BO29" s="97"/>
      <c r="HH29" s="98"/>
      <c r="HJ29" s="98"/>
      <c r="HL29" s="94">
        <f t="shared" si="6"/>
        <v>0</v>
      </c>
      <c r="HM29" s="99" t="s">
        <v>172</v>
      </c>
    </row>
    <row r="30" spans="1:221" s="90" customFormat="1" ht="15.75">
      <c r="A30" s="90" t="s">
        <v>164</v>
      </c>
      <c r="B30" s="91" t="s">
        <v>165</v>
      </c>
      <c r="D30" s="92">
        <v>25</v>
      </c>
      <c r="E30" s="90">
        <v>4</v>
      </c>
      <c r="F30" s="90" t="s">
        <v>173</v>
      </c>
      <c r="G30" s="72" t="s">
        <v>174</v>
      </c>
      <c r="H30" s="93">
        <v>36495</v>
      </c>
      <c r="I30" s="90" t="s">
        <v>123</v>
      </c>
      <c r="J30" s="90" t="s">
        <v>136</v>
      </c>
      <c r="K30" s="91"/>
      <c r="L30" s="90" t="s">
        <v>125</v>
      </c>
      <c r="M30" s="56"/>
      <c r="N30" s="90" t="str">
        <f t="shared" si="23"/>
        <v>25EW</v>
      </c>
      <c r="O30" s="90" t="str">
        <f t="shared" si="24"/>
        <v>25EWBase</v>
      </c>
      <c r="Q30" s="94">
        <f t="shared" si="33"/>
        <v>0</v>
      </c>
      <c r="R30" s="94">
        <f t="shared" si="3"/>
        <v>0</v>
      </c>
      <c r="S30" s="94"/>
      <c r="T30" s="95">
        <v>37147</v>
      </c>
      <c r="U30" s="95"/>
      <c r="V30" s="96">
        <v>0</v>
      </c>
      <c r="W30" s="95">
        <f t="shared" ref="W30:AX30" si="38">V30</f>
        <v>0</v>
      </c>
      <c r="X30" s="95">
        <f t="shared" si="38"/>
        <v>0</v>
      </c>
      <c r="Y30" s="95">
        <f t="shared" si="38"/>
        <v>0</v>
      </c>
      <c r="Z30" s="95">
        <f t="shared" si="38"/>
        <v>0</v>
      </c>
      <c r="AA30" s="95">
        <f t="shared" si="38"/>
        <v>0</v>
      </c>
      <c r="AB30" s="95">
        <f t="shared" si="38"/>
        <v>0</v>
      </c>
      <c r="AC30" s="95">
        <f t="shared" si="38"/>
        <v>0</v>
      </c>
      <c r="AD30" s="95">
        <f t="shared" si="38"/>
        <v>0</v>
      </c>
      <c r="AE30" s="95">
        <f t="shared" si="38"/>
        <v>0</v>
      </c>
      <c r="AF30" s="95">
        <f t="shared" si="38"/>
        <v>0</v>
      </c>
      <c r="AG30" s="95">
        <f t="shared" si="38"/>
        <v>0</v>
      </c>
      <c r="AH30" s="95">
        <f t="shared" si="38"/>
        <v>0</v>
      </c>
      <c r="AI30" s="95">
        <f t="shared" si="38"/>
        <v>0</v>
      </c>
      <c r="AJ30" s="95">
        <f t="shared" si="38"/>
        <v>0</v>
      </c>
      <c r="AK30" s="95">
        <f t="shared" si="38"/>
        <v>0</v>
      </c>
      <c r="AL30" s="95">
        <f t="shared" si="38"/>
        <v>0</v>
      </c>
      <c r="AM30" s="95">
        <f t="shared" si="38"/>
        <v>0</v>
      </c>
      <c r="AN30" s="95">
        <f t="shared" si="38"/>
        <v>0</v>
      </c>
      <c r="AO30" s="95">
        <f t="shared" si="38"/>
        <v>0</v>
      </c>
      <c r="AP30" s="95">
        <f t="shared" si="38"/>
        <v>0</v>
      </c>
      <c r="AQ30" s="95">
        <f t="shared" si="38"/>
        <v>0</v>
      </c>
      <c r="AR30" s="95">
        <f t="shared" si="38"/>
        <v>0</v>
      </c>
      <c r="AS30" s="95">
        <f t="shared" si="38"/>
        <v>0</v>
      </c>
      <c r="AT30" s="95">
        <f t="shared" si="38"/>
        <v>0</v>
      </c>
      <c r="AU30" s="95">
        <f t="shared" si="38"/>
        <v>0</v>
      </c>
      <c r="AV30" s="95">
        <f t="shared" si="38"/>
        <v>0</v>
      </c>
      <c r="AW30" s="95">
        <f t="shared" si="38"/>
        <v>0</v>
      </c>
      <c r="AX30" s="95">
        <f t="shared" si="38"/>
        <v>0</v>
      </c>
      <c r="AY30" s="95">
        <f t="shared" si="32"/>
        <v>0</v>
      </c>
      <c r="AZ30" s="95">
        <f t="shared" si="32"/>
        <v>0</v>
      </c>
      <c r="BA30" s="95"/>
      <c r="BB30" s="95">
        <f t="shared" si="36"/>
        <v>0</v>
      </c>
      <c r="BC30" s="95">
        <f t="shared" si="18"/>
        <v>0</v>
      </c>
      <c r="BD30" s="95">
        <f t="shared" si="10"/>
        <v>0</v>
      </c>
      <c r="BE30" s="95"/>
      <c r="BF30" s="94"/>
      <c r="BO30" s="97"/>
      <c r="FZ30" s="90">
        <v>70</v>
      </c>
      <c r="GA30" s="90" t="s">
        <v>180</v>
      </c>
      <c r="HH30" s="98"/>
      <c r="HJ30" s="98"/>
      <c r="HL30" s="94">
        <f t="shared" si="6"/>
        <v>70</v>
      </c>
      <c r="HM30" s="94"/>
    </row>
    <row r="31" spans="1:221" s="90" customFormat="1" ht="15.75">
      <c r="A31" s="90" t="s">
        <v>176</v>
      </c>
      <c r="B31" s="91" t="s">
        <v>177</v>
      </c>
      <c r="D31" s="92">
        <v>25</v>
      </c>
      <c r="E31" s="90">
        <v>4</v>
      </c>
      <c r="F31" s="90" t="s">
        <v>127</v>
      </c>
      <c r="G31" s="72" t="s">
        <v>178</v>
      </c>
      <c r="H31" s="93">
        <v>36336</v>
      </c>
      <c r="I31" s="90" t="s">
        <v>123</v>
      </c>
      <c r="J31" s="90" t="s">
        <v>124</v>
      </c>
      <c r="K31" s="91"/>
      <c r="L31" s="90" t="s">
        <v>125</v>
      </c>
      <c r="M31" s="56"/>
      <c r="N31" s="90" t="str">
        <f t="shared" ref="N31:N61" si="39">CONCATENATE(B31,J31)</f>
        <v>19ER</v>
      </c>
      <c r="O31" s="90" t="str">
        <f t="shared" ref="O31:O61" si="40">CONCATENATE(B31,J31,I31)</f>
        <v>19ERBase</v>
      </c>
      <c r="Q31" s="94">
        <f t="shared" si="33"/>
        <v>0</v>
      </c>
      <c r="R31" s="94">
        <f t="shared" ref="R31:R61" si="41">+Q31</f>
        <v>0</v>
      </c>
      <c r="S31" s="94"/>
      <c r="T31" s="95">
        <v>37147</v>
      </c>
      <c r="U31" s="95"/>
      <c r="V31" s="96">
        <v>0</v>
      </c>
      <c r="W31" s="95">
        <f t="shared" ref="W31:AX31" si="42">V31</f>
        <v>0</v>
      </c>
      <c r="X31" s="95">
        <f t="shared" si="42"/>
        <v>0</v>
      </c>
      <c r="Y31" s="95">
        <f t="shared" si="42"/>
        <v>0</v>
      </c>
      <c r="Z31" s="95">
        <f t="shared" si="42"/>
        <v>0</v>
      </c>
      <c r="AA31" s="95">
        <f t="shared" si="42"/>
        <v>0</v>
      </c>
      <c r="AB31" s="95">
        <f t="shared" si="42"/>
        <v>0</v>
      </c>
      <c r="AC31" s="95">
        <f t="shared" si="42"/>
        <v>0</v>
      </c>
      <c r="AD31" s="95">
        <f t="shared" si="42"/>
        <v>0</v>
      </c>
      <c r="AE31" s="95">
        <f t="shared" si="42"/>
        <v>0</v>
      </c>
      <c r="AF31" s="95">
        <f t="shared" si="42"/>
        <v>0</v>
      </c>
      <c r="AG31" s="95">
        <f t="shared" si="42"/>
        <v>0</v>
      </c>
      <c r="AH31" s="95">
        <f t="shared" si="42"/>
        <v>0</v>
      </c>
      <c r="AI31" s="95">
        <f t="shared" si="42"/>
        <v>0</v>
      </c>
      <c r="AJ31" s="95">
        <f t="shared" si="42"/>
        <v>0</v>
      </c>
      <c r="AK31" s="95">
        <f t="shared" si="42"/>
        <v>0</v>
      </c>
      <c r="AL31" s="95">
        <f t="shared" si="42"/>
        <v>0</v>
      </c>
      <c r="AM31" s="95">
        <f t="shared" si="42"/>
        <v>0</v>
      </c>
      <c r="AN31" s="95">
        <f t="shared" si="42"/>
        <v>0</v>
      </c>
      <c r="AO31" s="95">
        <f t="shared" si="42"/>
        <v>0</v>
      </c>
      <c r="AP31" s="95">
        <f t="shared" si="42"/>
        <v>0</v>
      </c>
      <c r="AQ31" s="95">
        <f t="shared" si="42"/>
        <v>0</v>
      </c>
      <c r="AR31" s="95">
        <f t="shared" si="42"/>
        <v>0</v>
      </c>
      <c r="AS31" s="95">
        <f t="shared" si="42"/>
        <v>0</v>
      </c>
      <c r="AT31" s="95">
        <f t="shared" si="42"/>
        <v>0</v>
      </c>
      <c r="AU31" s="95">
        <f t="shared" si="42"/>
        <v>0</v>
      </c>
      <c r="AV31" s="95">
        <f t="shared" si="42"/>
        <v>0</v>
      </c>
      <c r="AW31" s="95">
        <f t="shared" si="42"/>
        <v>0</v>
      </c>
      <c r="AX31" s="95">
        <f t="shared" si="42"/>
        <v>0</v>
      </c>
      <c r="AY31" s="95">
        <f t="shared" si="32"/>
        <v>0</v>
      </c>
      <c r="AZ31" s="95">
        <f t="shared" si="32"/>
        <v>0</v>
      </c>
      <c r="BA31" s="95"/>
      <c r="BB31" s="95">
        <f t="shared" si="36"/>
        <v>0</v>
      </c>
      <c r="BC31" s="95">
        <f t="shared" si="18"/>
        <v>0</v>
      </c>
      <c r="BD31" s="95">
        <f t="shared" si="10"/>
        <v>0</v>
      </c>
      <c r="BE31" s="95"/>
      <c r="BF31" s="94"/>
      <c r="BK31" s="90">
        <v>2996</v>
      </c>
      <c r="BO31" s="97"/>
      <c r="EB31" s="90">
        <v>4</v>
      </c>
      <c r="EC31" s="90" t="s">
        <v>201</v>
      </c>
      <c r="FY31" s="90" t="s">
        <v>145</v>
      </c>
      <c r="HH31" s="98"/>
      <c r="HJ31" s="98">
        <v>1011</v>
      </c>
      <c r="HK31" s="90" t="s">
        <v>170</v>
      </c>
      <c r="HL31" s="94">
        <f t="shared" si="6"/>
        <v>4011</v>
      </c>
      <c r="HM31" s="94"/>
    </row>
    <row r="32" spans="1:221" s="90" customFormat="1" ht="15.75">
      <c r="A32" s="90" t="s">
        <v>176</v>
      </c>
      <c r="B32" s="91" t="s">
        <v>177</v>
      </c>
      <c r="D32" s="92">
        <v>25</v>
      </c>
      <c r="E32" s="90">
        <v>4</v>
      </c>
      <c r="F32" s="90" t="s">
        <v>166</v>
      </c>
      <c r="G32" s="72" t="s">
        <v>178</v>
      </c>
      <c r="H32" s="93">
        <v>36336</v>
      </c>
      <c r="I32" s="90" t="s">
        <v>123</v>
      </c>
      <c r="J32" s="90" t="s">
        <v>124</v>
      </c>
      <c r="K32" s="91"/>
      <c r="L32" s="90" t="s">
        <v>125</v>
      </c>
      <c r="M32" s="56"/>
      <c r="N32" s="90" t="str">
        <f t="shared" si="39"/>
        <v>19ER</v>
      </c>
      <c r="O32" s="90" t="str">
        <f t="shared" si="40"/>
        <v>19ERBase</v>
      </c>
      <c r="Q32" s="94">
        <f t="shared" si="33"/>
        <v>0</v>
      </c>
      <c r="R32" s="94">
        <f t="shared" si="41"/>
        <v>0</v>
      </c>
      <c r="S32" s="94"/>
      <c r="T32" s="95">
        <v>37147</v>
      </c>
      <c r="U32" s="95"/>
      <c r="V32" s="96">
        <v>0</v>
      </c>
      <c r="W32" s="95">
        <f t="shared" ref="W32:AX32" si="43">V32</f>
        <v>0</v>
      </c>
      <c r="X32" s="95">
        <f t="shared" si="43"/>
        <v>0</v>
      </c>
      <c r="Y32" s="95">
        <f t="shared" si="43"/>
        <v>0</v>
      </c>
      <c r="Z32" s="95">
        <f t="shared" si="43"/>
        <v>0</v>
      </c>
      <c r="AA32" s="95">
        <f t="shared" si="43"/>
        <v>0</v>
      </c>
      <c r="AB32" s="95">
        <f t="shared" si="43"/>
        <v>0</v>
      </c>
      <c r="AC32" s="95">
        <f t="shared" si="43"/>
        <v>0</v>
      </c>
      <c r="AD32" s="95">
        <f t="shared" si="43"/>
        <v>0</v>
      </c>
      <c r="AE32" s="95">
        <f t="shared" si="43"/>
        <v>0</v>
      </c>
      <c r="AF32" s="95">
        <f t="shared" si="43"/>
        <v>0</v>
      </c>
      <c r="AG32" s="95">
        <f t="shared" si="43"/>
        <v>0</v>
      </c>
      <c r="AH32" s="95">
        <f t="shared" si="43"/>
        <v>0</v>
      </c>
      <c r="AI32" s="95">
        <f t="shared" si="43"/>
        <v>0</v>
      </c>
      <c r="AJ32" s="95">
        <f t="shared" si="43"/>
        <v>0</v>
      </c>
      <c r="AK32" s="95">
        <f t="shared" si="43"/>
        <v>0</v>
      </c>
      <c r="AL32" s="95">
        <f t="shared" si="43"/>
        <v>0</v>
      </c>
      <c r="AM32" s="95">
        <f t="shared" si="43"/>
        <v>0</v>
      </c>
      <c r="AN32" s="95">
        <f t="shared" si="43"/>
        <v>0</v>
      </c>
      <c r="AO32" s="95">
        <f t="shared" si="43"/>
        <v>0</v>
      </c>
      <c r="AP32" s="95">
        <f t="shared" si="43"/>
        <v>0</v>
      </c>
      <c r="AQ32" s="95">
        <f t="shared" si="43"/>
        <v>0</v>
      </c>
      <c r="AR32" s="95">
        <f t="shared" si="43"/>
        <v>0</v>
      </c>
      <c r="AS32" s="95">
        <f t="shared" si="43"/>
        <v>0</v>
      </c>
      <c r="AT32" s="95">
        <f t="shared" si="43"/>
        <v>0</v>
      </c>
      <c r="AU32" s="95">
        <f t="shared" si="43"/>
        <v>0</v>
      </c>
      <c r="AV32" s="95">
        <f t="shared" si="43"/>
        <v>0</v>
      </c>
      <c r="AW32" s="95">
        <f t="shared" si="43"/>
        <v>0</v>
      </c>
      <c r="AX32" s="95">
        <f t="shared" si="43"/>
        <v>0</v>
      </c>
      <c r="AY32" s="95">
        <f t="shared" si="32"/>
        <v>0</v>
      </c>
      <c r="AZ32" s="95">
        <f t="shared" si="32"/>
        <v>0</v>
      </c>
      <c r="BA32" s="95"/>
      <c r="BB32" s="95">
        <f t="shared" si="36"/>
        <v>0</v>
      </c>
      <c r="BC32" s="95">
        <f t="shared" si="18"/>
        <v>0</v>
      </c>
      <c r="BD32" s="95">
        <f t="shared" si="10"/>
        <v>0</v>
      </c>
      <c r="BE32" s="95"/>
      <c r="BF32" s="94"/>
      <c r="BO32" s="97"/>
      <c r="CD32" s="90">
        <v>1</v>
      </c>
      <c r="CE32" s="90" t="s">
        <v>229</v>
      </c>
      <c r="DL32" s="90">
        <v>13</v>
      </c>
      <c r="DM32" s="90" t="s">
        <v>229</v>
      </c>
      <c r="EB32" s="90">
        <v>88</v>
      </c>
      <c r="EC32" s="90" t="s">
        <v>402</v>
      </c>
      <c r="EL32" s="90">
        <v>1</v>
      </c>
      <c r="EM32" s="90" t="s">
        <v>145</v>
      </c>
      <c r="ET32" s="90">
        <v>34</v>
      </c>
      <c r="EU32" s="90" t="s">
        <v>145</v>
      </c>
      <c r="FF32" s="90">
        <v>10</v>
      </c>
      <c r="FG32" s="90" t="s">
        <v>204</v>
      </c>
      <c r="FJ32" s="90">
        <v>38</v>
      </c>
      <c r="FK32" s="90" t="s">
        <v>126</v>
      </c>
      <c r="GV32" s="90">
        <v>1</v>
      </c>
      <c r="GW32" s="90" t="s">
        <v>180</v>
      </c>
      <c r="HH32" s="98"/>
      <c r="HJ32" s="98"/>
      <c r="HL32" s="94">
        <f t="shared" si="6"/>
        <v>186</v>
      </c>
      <c r="HM32" s="94"/>
    </row>
    <row r="33" spans="1:221" s="90" customFormat="1" ht="15.75">
      <c r="A33" s="90" t="s">
        <v>182</v>
      </c>
      <c r="B33" s="91">
        <v>56</v>
      </c>
      <c r="D33" s="92"/>
      <c r="E33" s="90">
        <v>4</v>
      </c>
      <c r="F33" s="90" t="s">
        <v>183</v>
      </c>
      <c r="G33" s="72" t="s">
        <v>122</v>
      </c>
      <c r="H33" s="93">
        <v>36336</v>
      </c>
      <c r="I33" s="90" t="s">
        <v>123</v>
      </c>
      <c r="J33" s="90" t="s">
        <v>136</v>
      </c>
      <c r="K33" s="91"/>
      <c r="L33" s="90" t="s">
        <v>125</v>
      </c>
      <c r="M33" s="72"/>
      <c r="N33" s="90" t="str">
        <f t="shared" si="39"/>
        <v>56W</v>
      </c>
      <c r="O33" s="90" t="str">
        <f t="shared" si="40"/>
        <v>56WBase</v>
      </c>
      <c r="Q33" s="94">
        <f t="shared" si="33"/>
        <v>0</v>
      </c>
      <c r="R33" s="94">
        <f t="shared" si="41"/>
        <v>0</v>
      </c>
      <c r="S33" s="94"/>
      <c r="T33" s="95">
        <v>37147</v>
      </c>
      <c r="U33" s="95"/>
      <c r="V33" s="96">
        <v>0</v>
      </c>
      <c r="W33" s="95">
        <f t="shared" ref="W33:AX33" si="44">V33</f>
        <v>0</v>
      </c>
      <c r="X33" s="95">
        <f t="shared" si="44"/>
        <v>0</v>
      </c>
      <c r="Y33" s="95">
        <f t="shared" si="44"/>
        <v>0</v>
      </c>
      <c r="Z33" s="95">
        <f t="shared" si="44"/>
        <v>0</v>
      </c>
      <c r="AA33" s="95">
        <f t="shared" si="44"/>
        <v>0</v>
      </c>
      <c r="AB33" s="95">
        <f t="shared" si="44"/>
        <v>0</v>
      </c>
      <c r="AC33" s="95">
        <f t="shared" si="44"/>
        <v>0</v>
      </c>
      <c r="AD33" s="95">
        <f t="shared" si="44"/>
        <v>0</v>
      </c>
      <c r="AE33" s="95">
        <f t="shared" si="44"/>
        <v>0</v>
      </c>
      <c r="AF33" s="95">
        <f t="shared" si="44"/>
        <v>0</v>
      </c>
      <c r="AG33" s="95">
        <f t="shared" si="44"/>
        <v>0</v>
      </c>
      <c r="AH33" s="95">
        <f t="shared" si="44"/>
        <v>0</v>
      </c>
      <c r="AI33" s="95">
        <f t="shared" si="44"/>
        <v>0</v>
      </c>
      <c r="AJ33" s="95">
        <f t="shared" si="44"/>
        <v>0</v>
      </c>
      <c r="AK33" s="95">
        <f t="shared" si="44"/>
        <v>0</v>
      </c>
      <c r="AL33" s="95">
        <f t="shared" si="44"/>
        <v>0</v>
      </c>
      <c r="AM33" s="95">
        <f t="shared" si="44"/>
        <v>0</v>
      </c>
      <c r="AN33" s="95">
        <f t="shared" si="44"/>
        <v>0</v>
      </c>
      <c r="AO33" s="95">
        <f t="shared" si="44"/>
        <v>0</v>
      </c>
      <c r="AP33" s="95">
        <f t="shared" si="44"/>
        <v>0</v>
      </c>
      <c r="AQ33" s="95">
        <f t="shared" si="44"/>
        <v>0</v>
      </c>
      <c r="AR33" s="95">
        <f t="shared" si="44"/>
        <v>0</v>
      </c>
      <c r="AS33" s="95">
        <f t="shared" si="44"/>
        <v>0</v>
      </c>
      <c r="AT33" s="95">
        <f t="shared" si="44"/>
        <v>0</v>
      </c>
      <c r="AU33" s="95">
        <f t="shared" si="44"/>
        <v>0</v>
      </c>
      <c r="AV33" s="95">
        <f t="shared" si="44"/>
        <v>0</v>
      </c>
      <c r="AW33" s="95">
        <f t="shared" si="44"/>
        <v>0</v>
      </c>
      <c r="AX33" s="95">
        <f t="shared" si="44"/>
        <v>0</v>
      </c>
      <c r="AY33" s="95">
        <f t="shared" si="32"/>
        <v>0</v>
      </c>
      <c r="AZ33" s="95">
        <f t="shared" si="32"/>
        <v>0</v>
      </c>
      <c r="BA33" s="95"/>
      <c r="BB33" s="95">
        <f t="shared" si="36"/>
        <v>0</v>
      </c>
      <c r="BC33" s="95">
        <f t="shared" si="18"/>
        <v>0</v>
      </c>
      <c r="BD33" s="95">
        <f t="shared" si="10"/>
        <v>0</v>
      </c>
      <c r="BE33" s="95"/>
      <c r="BF33" s="94"/>
      <c r="BO33" s="97"/>
      <c r="HH33" s="98"/>
      <c r="HJ33" s="98"/>
      <c r="HL33" s="94">
        <f t="shared" si="6"/>
        <v>0</v>
      </c>
      <c r="HM33" s="94"/>
    </row>
    <row r="34" spans="1:221" s="90" customFormat="1" ht="15.75">
      <c r="A34" s="90" t="s">
        <v>182</v>
      </c>
      <c r="B34" s="91">
        <v>56</v>
      </c>
      <c r="D34" s="92"/>
      <c r="E34" s="90">
        <v>4</v>
      </c>
      <c r="F34" s="90" t="s">
        <v>184</v>
      </c>
      <c r="G34" s="72" t="s">
        <v>122</v>
      </c>
      <c r="H34" s="93">
        <v>36465</v>
      </c>
      <c r="I34" s="90" t="s">
        <v>185</v>
      </c>
      <c r="J34" s="90" t="s">
        <v>136</v>
      </c>
      <c r="K34" s="91"/>
      <c r="L34" s="90" t="s">
        <v>125</v>
      </c>
      <c r="M34" s="72"/>
      <c r="N34" s="90" t="str">
        <f t="shared" si="39"/>
        <v>56W</v>
      </c>
      <c r="O34" s="90" t="str">
        <f t="shared" si="40"/>
        <v>56WSpot</v>
      </c>
      <c r="Q34" s="94">
        <f t="shared" si="33"/>
        <v>0</v>
      </c>
      <c r="R34" s="94">
        <f t="shared" si="41"/>
        <v>0</v>
      </c>
      <c r="S34" s="94"/>
      <c r="T34" s="95">
        <v>37147</v>
      </c>
      <c r="U34" s="95"/>
      <c r="V34" s="96">
        <v>0</v>
      </c>
      <c r="W34" s="95">
        <f t="shared" ref="W34:AX36" si="45">V34</f>
        <v>0</v>
      </c>
      <c r="X34" s="95">
        <f t="shared" si="45"/>
        <v>0</v>
      </c>
      <c r="Y34" s="95">
        <f t="shared" si="45"/>
        <v>0</v>
      </c>
      <c r="Z34" s="95">
        <f t="shared" si="45"/>
        <v>0</v>
      </c>
      <c r="AA34" s="95">
        <f t="shared" si="45"/>
        <v>0</v>
      </c>
      <c r="AB34" s="95">
        <f t="shared" si="45"/>
        <v>0</v>
      </c>
      <c r="AC34" s="95">
        <f t="shared" si="45"/>
        <v>0</v>
      </c>
      <c r="AD34" s="95">
        <f t="shared" si="45"/>
        <v>0</v>
      </c>
      <c r="AE34" s="95">
        <f t="shared" si="45"/>
        <v>0</v>
      </c>
      <c r="AF34" s="95">
        <f t="shared" si="45"/>
        <v>0</v>
      </c>
      <c r="AG34" s="95">
        <f t="shared" si="45"/>
        <v>0</v>
      </c>
      <c r="AH34" s="95">
        <f t="shared" si="45"/>
        <v>0</v>
      </c>
      <c r="AI34" s="95">
        <f t="shared" si="45"/>
        <v>0</v>
      </c>
      <c r="AJ34" s="95">
        <f t="shared" si="45"/>
        <v>0</v>
      </c>
      <c r="AK34" s="95">
        <f t="shared" si="45"/>
        <v>0</v>
      </c>
      <c r="AL34" s="95">
        <f t="shared" si="45"/>
        <v>0</v>
      </c>
      <c r="AM34" s="95">
        <f t="shared" si="45"/>
        <v>0</v>
      </c>
      <c r="AN34" s="95">
        <f t="shared" si="45"/>
        <v>0</v>
      </c>
      <c r="AO34" s="95">
        <f t="shared" si="45"/>
        <v>0</v>
      </c>
      <c r="AP34" s="95">
        <f t="shared" si="45"/>
        <v>0</v>
      </c>
      <c r="AQ34" s="95">
        <f t="shared" si="45"/>
        <v>0</v>
      </c>
      <c r="AR34" s="95">
        <f t="shared" si="45"/>
        <v>0</v>
      </c>
      <c r="AS34" s="95">
        <f t="shared" si="45"/>
        <v>0</v>
      </c>
      <c r="AT34" s="95">
        <f t="shared" si="45"/>
        <v>0</v>
      </c>
      <c r="AU34" s="95">
        <f t="shared" si="45"/>
        <v>0</v>
      </c>
      <c r="AV34" s="95">
        <f t="shared" si="45"/>
        <v>0</v>
      </c>
      <c r="AW34" s="95">
        <f t="shared" si="45"/>
        <v>0</v>
      </c>
      <c r="AX34" s="95">
        <f t="shared" si="45"/>
        <v>0</v>
      </c>
      <c r="AY34" s="95">
        <f t="shared" si="32"/>
        <v>0</v>
      </c>
      <c r="AZ34" s="95">
        <f t="shared" si="32"/>
        <v>0</v>
      </c>
      <c r="BA34" s="95"/>
      <c r="BB34" s="95">
        <f t="shared" si="36"/>
        <v>0</v>
      </c>
      <c r="BC34" s="95">
        <f t="shared" si="18"/>
        <v>0</v>
      </c>
      <c r="BD34" s="95">
        <f t="shared" si="10"/>
        <v>0</v>
      </c>
      <c r="BE34" s="95"/>
      <c r="BF34" s="94"/>
      <c r="BO34" s="97"/>
      <c r="HH34" s="98"/>
      <c r="HJ34" s="98"/>
      <c r="HL34" s="94">
        <f t="shared" si="6"/>
        <v>0</v>
      </c>
      <c r="HM34" s="94"/>
    </row>
    <row r="35" spans="1:221" s="90" customFormat="1" ht="15.75">
      <c r="A35" s="90" t="s">
        <v>406</v>
      </c>
      <c r="B35" s="91">
        <v>634197</v>
      </c>
      <c r="D35" s="92">
        <v>21</v>
      </c>
      <c r="E35" s="90">
        <v>4</v>
      </c>
      <c r="F35" s="90" t="s">
        <v>182</v>
      </c>
      <c r="G35" s="72" t="s">
        <v>232</v>
      </c>
      <c r="H35" s="93">
        <v>36465</v>
      </c>
      <c r="I35" s="90" t="s">
        <v>123</v>
      </c>
      <c r="J35" s="90" t="s">
        <v>136</v>
      </c>
      <c r="K35" s="91"/>
      <c r="L35" s="90" t="s">
        <v>125</v>
      </c>
      <c r="M35" s="72"/>
      <c r="N35" s="90" t="str">
        <f>CONCATENATE(B35,J35)</f>
        <v>634197W</v>
      </c>
      <c r="O35" s="90" t="str">
        <f>CONCATENATE(B35,J35,I35)</f>
        <v>634197WBase</v>
      </c>
      <c r="Q35" s="94">
        <f>+BC35</f>
        <v>0</v>
      </c>
      <c r="R35" s="94">
        <f t="shared" si="41"/>
        <v>0</v>
      </c>
      <c r="S35" s="94"/>
      <c r="T35" s="95">
        <v>37147</v>
      </c>
      <c r="U35" s="95"/>
      <c r="V35" s="96">
        <v>0</v>
      </c>
      <c r="W35" s="95">
        <f t="shared" si="45"/>
        <v>0</v>
      </c>
      <c r="X35" s="95">
        <f t="shared" si="45"/>
        <v>0</v>
      </c>
      <c r="Y35" s="95">
        <f t="shared" si="45"/>
        <v>0</v>
      </c>
      <c r="Z35" s="95">
        <f t="shared" si="45"/>
        <v>0</v>
      </c>
      <c r="AA35" s="95">
        <f t="shared" si="45"/>
        <v>0</v>
      </c>
      <c r="AB35" s="95">
        <f t="shared" si="45"/>
        <v>0</v>
      </c>
      <c r="AC35" s="95">
        <f t="shared" si="45"/>
        <v>0</v>
      </c>
      <c r="AD35" s="95">
        <f t="shared" si="45"/>
        <v>0</v>
      </c>
      <c r="AE35" s="95">
        <f t="shared" si="45"/>
        <v>0</v>
      </c>
      <c r="AF35" s="95">
        <f t="shared" si="45"/>
        <v>0</v>
      </c>
      <c r="AG35" s="95">
        <f t="shared" si="45"/>
        <v>0</v>
      </c>
      <c r="AH35" s="95">
        <f t="shared" si="45"/>
        <v>0</v>
      </c>
      <c r="AI35" s="95">
        <f t="shared" si="45"/>
        <v>0</v>
      </c>
      <c r="AJ35" s="95">
        <f t="shared" si="45"/>
        <v>0</v>
      </c>
      <c r="AK35" s="95">
        <f t="shared" si="45"/>
        <v>0</v>
      </c>
      <c r="AL35" s="95">
        <f t="shared" si="45"/>
        <v>0</v>
      </c>
      <c r="AM35" s="95">
        <f t="shared" si="45"/>
        <v>0</v>
      </c>
      <c r="AN35" s="95">
        <f t="shared" si="45"/>
        <v>0</v>
      </c>
      <c r="AO35" s="95">
        <f t="shared" si="45"/>
        <v>0</v>
      </c>
      <c r="AP35" s="95">
        <f t="shared" si="45"/>
        <v>0</v>
      </c>
      <c r="AQ35" s="95">
        <f t="shared" si="45"/>
        <v>0</v>
      </c>
      <c r="AR35" s="95">
        <f t="shared" si="45"/>
        <v>0</v>
      </c>
      <c r="AS35" s="95">
        <f t="shared" si="45"/>
        <v>0</v>
      </c>
      <c r="AT35" s="95">
        <f t="shared" si="45"/>
        <v>0</v>
      </c>
      <c r="AU35" s="95">
        <f t="shared" si="45"/>
        <v>0</v>
      </c>
      <c r="AV35" s="95">
        <f t="shared" si="45"/>
        <v>0</v>
      </c>
      <c r="AW35" s="95">
        <f t="shared" si="45"/>
        <v>0</v>
      </c>
      <c r="AX35" s="95">
        <f t="shared" si="45"/>
        <v>0</v>
      </c>
      <c r="AY35" s="95">
        <f t="shared" si="32"/>
        <v>0</v>
      </c>
      <c r="AZ35" s="95">
        <f t="shared" si="32"/>
        <v>0</v>
      </c>
      <c r="BA35" s="95"/>
      <c r="BB35" s="95">
        <f t="shared" si="36"/>
        <v>0</v>
      </c>
      <c r="BC35" s="95">
        <f t="shared" si="18"/>
        <v>0</v>
      </c>
      <c r="BD35" s="95">
        <f t="shared" si="10"/>
        <v>0</v>
      </c>
      <c r="BE35" s="95"/>
      <c r="BF35" s="94"/>
      <c r="BO35" s="97"/>
      <c r="GD35" s="90">
        <v>40</v>
      </c>
      <c r="GE35" s="90" t="s">
        <v>404</v>
      </c>
      <c r="HH35" s="98"/>
      <c r="HJ35" s="98"/>
      <c r="HL35" s="94">
        <f t="shared" si="6"/>
        <v>40</v>
      </c>
      <c r="HM35" s="94"/>
    </row>
    <row r="36" spans="1:221" s="90" customFormat="1" ht="15.75">
      <c r="A36" s="90" t="s">
        <v>182</v>
      </c>
      <c r="B36" s="91">
        <v>56</v>
      </c>
      <c r="D36" s="92">
        <v>25</v>
      </c>
      <c r="E36" s="90">
        <v>4</v>
      </c>
      <c r="F36" s="90" t="s">
        <v>182</v>
      </c>
      <c r="G36" s="72" t="s">
        <v>232</v>
      </c>
      <c r="H36" s="93">
        <v>36465</v>
      </c>
      <c r="I36" s="90" t="s">
        <v>123</v>
      </c>
      <c r="J36" s="90" t="s">
        <v>136</v>
      </c>
      <c r="K36" s="91"/>
      <c r="L36" s="90" t="s">
        <v>125</v>
      </c>
      <c r="M36" s="72"/>
      <c r="N36" s="90" t="str">
        <f>CONCATENATE(B36,J36)</f>
        <v>56W</v>
      </c>
      <c r="O36" s="90" t="str">
        <f>CONCATENATE(B36,J36,I36)</f>
        <v>56WBase</v>
      </c>
      <c r="Q36" s="94">
        <f>+BC36</f>
        <v>0</v>
      </c>
      <c r="R36" s="94">
        <f t="shared" si="41"/>
        <v>0</v>
      </c>
      <c r="S36" s="94"/>
      <c r="T36" s="95">
        <v>37147</v>
      </c>
      <c r="U36" s="95"/>
      <c r="V36" s="96">
        <v>0</v>
      </c>
      <c r="W36" s="95">
        <f t="shared" si="45"/>
        <v>0</v>
      </c>
      <c r="X36" s="95">
        <f t="shared" si="45"/>
        <v>0</v>
      </c>
      <c r="Y36" s="95">
        <f t="shared" si="45"/>
        <v>0</v>
      </c>
      <c r="Z36" s="95">
        <f t="shared" si="45"/>
        <v>0</v>
      </c>
      <c r="AA36" s="95">
        <f t="shared" si="45"/>
        <v>0</v>
      </c>
      <c r="AB36" s="95">
        <f t="shared" si="45"/>
        <v>0</v>
      </c>
      <c r="AC36" s="95">
        <f t="shared" si="45"/>
        <v>0</v>
      </c>
      <c r="AD36" s="95">
        <f t="shared" si="45"/>
        <v>0</v>
      </c>
      <c r="AE36" s="95">
        <f t="shared" si="45"/>
        <v>0</v>
      </c>
      <c r="AF36" s="95">
        <f t="shared" si="45"/>
        <v>0</v>
      </c>
      <c r="AG36" s="95">
        <f t="shared" si="45"/>
        <v>0</v>
      </c>
      <c r="AH36" s="95">
        <f t="shared" si="45"/>
        <v>0</v>
      </c>
      <c r="AI36" s="95">
        <f t="shared" si="45"/>
        <v>0</v>
      </c>
      <c r="AJ36" s="95">
        <f t="shared" si="45"/>
        <v>0</v>
      </c>
      <c r="AK36" s="95">
        <f t="shared" si="45"/>
        <v>0</v>
      </c>
      <c r="AL36" s="95">
        <f t="shared" si="45"/>
        <v>0</v>
      </c>
      <c r="AM36" s="95">
        <f t="shared" si="45"/>
        <v>0</v>
      </c>
      <c r="AN36" s="95">
        <f t="shared" si="45"/>
        <v>0</v>
      </c>
      <c r="AO36" s="95">
        <f t="shared" si="45"/>
        <v>0</v>
      </c>
      <c r="AP36" s="95">
        <f t="shared" si="45"/>
        <v>0</v>
      </c>
      <c r="AQ36" s="95">
        <f t="shared" si="45"/>
        <v>0</v>
      </c>
      <c r="AR36" s="95">
        <f t="shared" si="45"/>
        <v>0</v>
      </c>
      <c r="AS36" s="95">
        <f t="shared" si="45"/>
        <v>0</v>
      </c>
      <c r="AT36" s="95">
        <f t="shared" si="45"/>
        <v>0</v>
      </c>
      <c r="AU36" s="95">
        <f t="shared" si="45"/>
        <v>0</v>
      </c>
      <c r="AV36" s="95">
        <f t="shared" si="45"/>
        <v>0</v>
      </c>
      <c r="AW36" s="95">
        <f t="shared" si="45"/>
        <v>0</v>
      </c>
      <c r="AX36" s="95">
        <f t="shared" si="45"/>
        <v>0</v>
      </c>
      <c r="AY36" s="95">
        <f t="shared" si="32"/>
        <v>0</v>
      </c>
      <c r="AZ36" s="95">
        <f t="shared" si="32"/>
        <v>0</v>
      </c>
      <c r="BA36" s="95"/>
      <c r="BB36" s="95">
        <f t="shared" si="36"/>
        <v>0</v>
      </c>
      <c r="BC36" s="95">
        <f t="shared" si="18"/>
        <v>0</v>
      </c>
      <c r="BD36" s="95">
        <f t="shared" si="10"/>
        <v>0</v>
      </c>
      <c r="BE36" s="95"/>
      <c r="BF36" s="94"/>
      <c r="BO36" s="97"/>
      <c r="GD36" s="90">
        <v>4460</v>
      </c>
      <c r="GE36" s="90" t="s">
        <v>163</v>
      </c>
      <c r="HH36" s="98"/>
      <c r="HJ36" s="98"/>
      <c r="HL36" s="94">
        <f t="shared" si="6"/>
        <v>4460</v>
      </c>
      <c r="HM36" s="94"/>
    </row>
    <row r="37" spans="1:221" s="90" customFormat="1" ht="15.75">
      <c r="A37" s="90" t="s">
        <v>182</v>
      </c>
      <c r="B37" s="91">
        <v>56</v>
      </c>
      <c r="D37" s="92">
        <v>25</v>
      </c>
      <c r="E37" s="90">
        <v>4</v>
      </c>
      <c r="F37" s="90" t="s">
        <v>173</v>
      </c>
      <c r="G37" s="72" t="s">
        <v>174</v>
      </c>
      <c r="H37" s="93">
        <v>36495</v>
      </c>
      <c r="I37" s="90" t="s">
        <v>123</v>
      </c>
      <c r="J37" s="90" t="s">
        <v>136</v>
      </c>
      <c r="K37" s="91"/>
      <c r="L37" s="90" t="s">
        <v>125</v>
      </c>
      <c r="N37" s="90" t="str">
        <f t="shared" si="39"/>
        <v>56W</v>
      </c>
      <c r="O37" s="90" t="str">
        <f t="shared" si="40"/>
        <v>56WBase</v>
      </c>
      <c r="Q37" s="94">
        <f t="shared" si="33"/>
        <v>0</v>
      </c>
      <c r="R37" s="94">
        <f t="shared" si="41"/>
        <v>0</v>
      </c>
      <c r="S37" s="94"/>
      <c r="T37" s="95">
        <v>37147</v>
      </c>
      <c r="U37" s="95"/>
      <c r="V37" s="96">
        <v>0</v>
      </c>
      <c r="W37" s="95">
        <f t="shared" ref="W37:AX37" si="46">V37</f>
        <v>0</v>
      </c>
      <c r="X37" s="95">
        <f t="shared" si="46"/>
        <v>0</v>
      </c>
      <c r="Y37" s="95">
        <f t="shared" si="46"/>
        <v>0</v>
      </c>
      <c r="Z37" s="95">
        <f t="shared" si="46"/>
        <v>0</v>
      </c>
      <c r="AA37" s="95">
        <f t="shared" si="46"/>
        <v>0</v>
      </c>
      <c r="AB37" s="95">
        <f t="shared" si="46"/>
        <v>0</v>
      </c>
      <c r="AC37" s="95">
        <f t="shared" si="46"/>
        <v>0</v>
      </c>
      <c r="AD37" s="95">
        <f t="shared" si="46"/>
        <v>0</v>
      </c>
      <c r="AE37" s="95">
        <f t="shared" si="46"/>
        <v>0</v>
      </c>
      <c r="AF37" s="95">
        <f t="shared" si="46"/>
        <v>0</v>
      </c>
      <c r="AG37" s="95">
        <f t="shared" si="46"/>
        <v>0</v>
      </c>
      <c r="AH37" s="95">
        <f t="shared" si="46"/>
        <v>0</v>
      </c>
      <c r="AI37" s="95">
        <f t="shared" si="46"/>
        <v>0</v>
      </c>
      <c r="AJ37" s="95">
        <f t="shared" si="46"/>
        <v>0</v>
      </c>
      <c r="AK37" s="95">
        <f t="shared" si="46"/>
        <v>0</v>
      </c>
      <c r="AL37" s="95">
        <f t="shared" si="46"/>
        <v>0</v>
      </c>
      <c r="AM37" s="95">
        <f t="shared" si="46"/>
        <v>0</v>
      </c>
      <c r="AN37" s="95">
        <f t="shared" si="46"/>
        <v>0</v>
      </c>
      <c r="AO37" s="95">
        <f t="shared" si="46"/>
        <v>0</v>
      </c>
      <c r="AP37" s="95">
        <f t="shared" si="46"/>
        <v>0</v>
      </c>
      <c r="AQ37" s="95">
        <f t="shared" si="46"/>
        <v>0</v>
      </c>
      <c r="AR37" s="95">
        <f t="shared" si="46"/>
        <v>0</v>
      </c>
      <c r="AS37" s="95">
        <f t="shared" si="46"/>
        <v>0</v>
      </c>
      <c r="AT37" s="95">
        <f t="shared" si="46"/>
        <v>0</v>
      </c>
      <c r="AU37" s="95">
        <f t="shared" si="46"/>
        <v>0</v>
      </c>
      <c r="AV37" s="95">
        <f t="shared" si="46"/>
        <v>0</v>
      </c>
      <c r="AW37" s="95">
        <f t="shared" si="46"/>
        <v>0</v>
      </c>
      <c r="AX37" s="95">
        <f t="shared" si="46"/>
        <v>0</v>
      </c>
      <c r="AY37" s="95">
        <f t="shared" si="32"/>
        <v>0</v>
      </c>
      <c r="AZ37" s="95">
        <f t="shared" si="32"/>
        <v>0</v>
      </c>
      <c r="BA37" s="95"/>
      <c r="BB37" s="95">
        <f t="shared" si="36"/>
        <v>0</v>
      </c>
      <c r="BC37" s="95">
        <f t="shared" si="18"/>
        <v>0</v>
      </c>
      <c r="BD37" s="95">
        <f t="shared" si="10"/>
        <v>0</v>
      </c>
      <c r="BE37" s="95"/>
      <c r="BF37" s="94"/>
      <c r="BO37" s="97"/>
      <c r="HH37" s="98"/>
      <c r="HJ37" s="98"/>
      <c r="HL37" s="94">
        <f t="shared" si="6"/>
        <v>0</v>
      </c>
      <c r="HM37" s="94"/>
    </row>
    <row r="38" spans="1:221" s="90" customFormat="1" ht="15.75">
      <c r="A38" s="90" t="s">
        <v>186</v>
      </c>
      <c r="B38" s="91">
        <v>107</v>
      </c>
      <c r="D38" s="92"/>
      <c r="E38" s="90">
        <v>4</v>
      </c>
      <c r="F38" s="90" t="s">
        <v>186</v>
      </c>
      <c r="G38" s="72" t="s">
        <v>156</v>
      </c>
      <c r="H38" s="93">
        <v>36336</v>
      </c>
      <c r="I38" s="90" t="s">
        <v>123</v>
      </c>
      <c r="J38" s="90" t="s">
        <v>124</v>
      </c>
      <c r="K38" s="91"/>
      <c r="L38" s="90" t="s">
        <v>125</v>
      </c>
      <c r="M38" s="56"/>
      <c r="N38" s="90" t="str">
        <f t="shared" si="39"/>
        <v>107R</v>
      </c>
      <c r="O38" s="90" t="str">
        <f t="shared" si="40"/>
        <v>107RBase</v>
      </c>
      <c r="Q38" s="94">
        <f t="shared" si="33"/>
        <v>0</v>
      </c>
      <c r="R38" s="94">
        <f t="shared" si="41"/>
        <v>0</v>
      </c>
      <c r="S38" s="94"/>
      <c r="T38" s="95">
        <v>37147</v>
      </c>
      <c r="U38" s="95"/>
      <c r="V38" s="96">
        <v>0</v>
      </c>
      <c r="W38" s="95">
        <f t="shared" ref="W38:AX38" si="47">V38</f>
        <v>0</v>
      </c>
      <c r="X38" s="95">
        <f t="shared" si="47"/>
        <v>0</v>
      </c>
      <c r="Y38" s="95">
        <f t="shared" si="47"/>
        <v>0</v>
      </c>
      <c r="Z38" s="95">
        <f t="shared" si="47"/>
        <v>0</v>
      </c>
      <c r="AA38" s="95">
        <f t="shared" si="47"/>
        <v>0</v>
      </c>
      <c r="AB38" s="95">
        <f t="shared" si="47"/>
        <v>0</v>
      </c>
      <c r="AC38" s="95">
        <f t="shared" si="47"/>
        <v>0</v>
      </c>
      <c r="AD38" s="95">
        <f t="shared" si="47"/>
        <v>0</v>
      </c>
      <c r="AE38" s="95">
        <f t="shared" si="47"/>
        <v>0</v>
      </c>
      <c r="AF38" s="95">
        <f t="shared" si="47"/>
        <v>0</v>
      </c>
      <c r="AG38" s="95">
        <f t="shared" si="47"/>
        <v>0</v>
      </c>
      <c r="AH38" s="95">
        <f t="shared" si="47"/>
        <v>0</v>
      </c>
      <c r="AI38" s="95">
        <f t="shared" si="47"/>
        <v>0</v>
      </c>
      <c r="AJ38" s="95">
        <f t="shared" si="47"/>
        <v>0</v>
      </c>
      <c r="AK38" s="95">
        <f t="shared" si="47"/>
        <v>0</v>
      </c>
      <c r="AL38" s="95">
        <f t="shared" si="47"/>
        <v>0</v>
      </c>
      <c r="AM38" s="95">
        <f t="shared" si="47"/>
        <v>0</v>
      </c>
      <c r="AN38" s="95">
        <f t="shared" si="47"/>
        <v>0</v>
      </c>
      <c r="AO38" s="95">
        <f t="shared" si="47"/>
        <v>0</v>
      </c>
      <c r="AP38" s="95">
        <f t="shared" si="47"/>
        <v>0</v>
      </c>
      <c r="AQ38" s="95">
        <f t="shared" si="47"/>
        <v>0</v>
      </c>
      <c r="AR38" s="95">
        <f t="shared" si="47"/>
        <v>0</v>
      </c>
      <c r="AS38" s="95">
        <f t="shared" si="47"/>
        <v>0</v>
      </c>
      <c r="AT38" s="95">
        <f t="shared" si="47"/>
        <v>0</v>
      </c>
      <c r="AU38" s="95">
        <f t="shared" si="47"/>
        <v>0</v>
      </c>
      <c r="AV38" s="95">
        <f t="shared" si="47"/>
        <v>0</v>
      </c>
      <c r="AW38" s="95">
        <f t="shared" si="47"/>
        <v>0</v>
      </c>
      <c r="AX38" s="95">
        <f t="shared" si="47"/>
        <v>0</v>
      </c>
      <c r="AY38" s="95">
        <f t="shared" si="32"/>
        <v>0</v>
      </c>
      <c r="AZ38" s="95">
        <f t="shared" si="32"/>
        <v>0</v>
      </c>
      <c r="BA38" s="95"/>
      <c r="BB38" s="95">
        <f t="shared" si="36"/>
        <v>0</v>
      </c>
      <c r="BC38" s="95">
        <f t="shared" si="18"/>
        <v>0</v>
      </c>
      <c r="BD38" s="95">
        <f t="shared" si="10"/>
        <v>0</v>
      </c>
      <c r="BE38" s="95"/>
      <c r="BF38" s="94"/>
      <c r="BO38" s="97"/>
      <c r="HH38" s="98"/>
      <c r="HJ38" s="98">
        <v>148</v>
      </c>
      <c r="HK38" s="90" t="s">
        <v>181</v>
      </c>
      <c r="HL38" s="94">
        <f t="shared" si="6"/>
        <v>148</v>
      </c>
      <c r="HM38" s="94"/>
    </row>
    <row r="39" spans="1:221" s="92" customFormat="1" ht="15.75">
      <c r="A39" s="92" t="s">
        <v>187</v>
      </c>
      <c r="B39" s="100">
        <v>54</v>
      </c>
      <c r="D39" s="92">
        <v>21</v>
      </c>
      <c r="E39" s="92">
        <v>4</v>
      </c>
      <c r="F39" s="92" t="s">
        <v>127</v>
      </c>
      <c r="G39" s="14" t="s">
        <v>151</v>
      </c>
      <c r="H39" s="101">
        <v>36336</v>
      </c>
      <c r="I39" s="92" t="s">
        <v>123</v>
      </c>
      <c r="J39" s="92" t="s">
        <v>124</v>
      </c>
      <c r="K39" s="76"/>
      <c r="L39" s="92" t="s">
        <v>132</v>
      </c>
      <c r="M39" s="102" t="s">
        <v>347</v>
      </c>
      <c r="N39" s="92" t="str">
        <f t="shared" si="39"/>
        <v>54R</v>
      </c>
      <c r="O39" s="92" t="str">
        <f t="shared" si="40"/>
        <v>54RBase</v>
      </c>
      <c r="Q39" s="99">
        <f t="shared" si="33"/>
        <v>0</v>
      </c>
      <c r="R39" s="99">
        <f t="shared" si="41"/>
        <v>0</v>
      </c>
      <c r="S39" s="99"/>
      <c r="T39" s="103">
        <v>37147</v>
      </c>
      <c r="U39" s="103"/>
      <c r="V39" s="104">
        <v>0</v>
      </c>
      <c r="W39" s="103">
        <f>V39</f>
        <v>0</v>
      </c>
      <c r="X39" s="103">
        <f t="shared" ref="X39:AZ39" si="48">W39</f>
        <v>0</v>
      </c>
      <c r="Y39" s="103">
        <f t="shared" si="48"/>
        <v>0</v>
      </c>
      <c r="Z39" s="103">
        <f t="shared" si="48"/>
        <v>0</v>
      </c>
      <c r="AA39" s="103">
        <f t="shared" si="48"/>
        <v>0</v>
      </c>
      <c r="AB39" s="103">
        <f t="shared" si="48"/>
        <v>0</v>
      </c>
      <c r="AC39" s="103">
        <f t="shared" si="48"/>
        <v>0</v>
      </c>
      <c r="AD39" s="103">
        <f t="shared" si="48"/>
        <v>0</v>
      </c>
      <c r="AE39" s="103">
        <f t="shared" si="48"/>
        <v>0</v>
      </c>
      <c r="AF39" s="103">
        <f t="shared" si="48"/>
        <v>0</v>
      </c>
      <c r="AG39" s="103">
        <f t="shared" si="48"/>
        <v>0</v>
      </c>
      <c r="AH39" s="103">
        <f t="shared" si="48"/>
        <v>0</v>
      </c>
      <c r="AI39" s="103">
        <f t="shared" si="48"/>
        <v>0</v>
      </c>
      <c r="AJ39" s="103">
        <f t="shared" si="48"/>
        <v>0</v>
      </c>
      <c r="AK39" s="103">
        <f t="shared" si="48"/>
        <v>0</v>
      </c>
      <c r="AL39" s="103">
        <f t="shared" si="48"/>
        <v>0</v>
      </c>
      <c r="AM39" s="103">
        <f t="shared" si="48"/>
        <v>0</v>
      </c>
      <c r="AN39" s="103">
        <f t="shared" si="48"/>
        <v>0</v>
      </c>
      <c r="AO39" s="103">
        <f t="shared" si="48"/>
        <v>0</v>
      </c>
      <c r="AP39" s="103">
        <f t="shared" si="48"/>
        <v>0</v>
      </c>
      <c r="AQ39" s="103">
        <f t="shared" si="48"/>
        <v>0</v>
      </c>
      <c r="AR39" s="103">
        <f t="shared" si="48"/>
        <v>0</v>
      </c>
      <c r="AS39" s="103">
        <f t="shared" si="48"/>
        <v>0</v>
      </c>
      <c r="AT39" s="103">
        <f t="shared" si="48"/>
        <v>0</v>
      </c>
      <c r="AU39" s="103">
        <f t="shared" si="48"/>
        <v>0</v>
      </c>
      <c r="AV39" s="103">
        <f t="shared" si="48"/>
        <v>0</v>
      </c>
      <c r="AW39" s="103">
        <f t="shared" si="48"/>
        <v>0</v>
      </c>
      <c r="AX39" s="103">
        <f t="shared" si="48"/>
        <v>0</v>
      </c>
      <c r="AY39" s="103">
        <f t="shared" si="48"/>
        <v>0</v>
      </c>
      <c r="AZ39" s="103">
        <f t="shared" si="48"/>
        <v>0</v>
      </c>
      <c r="BA39" s="103"/>
      <c r="BB39" s="103">
        <f t="shared" si="36"/>
        <v>0</v>
      </c>
      <c r="BC39" s="95">
        <f t="shared" si="18"/>
        <v>0</v>
      </c>
      <c r="BD39" s="95">
        <f t="shared" si="10"/>
        <v>0</v>
      </c>
      <c r="BE39" s="103"/>
      <c r="BF39" s="99"/>
      <c r="BO39" s="105"/>
      <c r="GD39" s="92">
        <v>30</v>
      </c>
      <c r="GE39" s="92" t="s">
        <v>407</v>
      </c>
      <c r="HH39" s="106"/>
      <c r="HJ39" s="106"/>
      <c r="HL39" s="99">
        <f t="shared" si="6"/>
        <v>30</v>
      </c>
      <c r="HM39" s="99"/>
    </row>
    <row r="40" spans="1:221" s="92" customFormat="1" ht="15.75">
      <c r="A40" s="92" t="s">
        <v>187</v>
      </c>
      <c r="B40" s="100">
        <v>54</v>
      </c>
      <c r="D40" s="92">
        <v>21</v>
      </c>
      <c r="E40" s="92">
        <v>4</v>
      </c>
      <c r="F40" s="92" t="s">
        <v>127</v>
      </c>
      <c r="G40" s="14" t="s">
        <v>151</v>
      </c>
      <c r="H40" s="101">
        <v>36336</v>
      </c>
      <c r="I40" s="92" t="s">
        <v>123</v>
      </c>
      <c r="J40" s="92" t="s">
        <v>124</v>
      </c>
      <c r="K40" s="76"/>
      <c r="L40" s="92" t="s">
        <v>132</v>
      </c>
      <c r="M40" s="102" t="s">
        <v>346</v>
      </c>
      <c r="N40" s="92" t="str">
        <f>CONCATENATE(B40,J40)</f>
        <v>54R</v>
      </c>
      <c r="O40" s="92" t="str">
        <f>CONCATENATE(B40,J40,I40)</f>
        <v>54RBase</v>
      </c>
      <c r="Q40" s="99">
        <f t="shared" si="33"/>
        <v>0</v>
      </c>
      <c r="R40" s="99">
        <f t="shared" si="41"/>
        <v>0</v>
      </c>
      <c r="S40" s="99"/>
      <c r="T40" s="103">
        <v>37147</v>
      </c>
      <c r="U40" s="103"/>
      <c r="V40" s="104">
        <v>0</v>
      </c>
      <c r="W40" s="103">
        <f t="shared" ref="W40:W45" si="49">V40</f>
        <v>0</v>
      </c>
      <c r="X40" s="103">
        <f t="shared" ref="X40:AX40" si="50">W40</f>
        <v>0</v>
      </c>
      <c r="Y40" s="103">
        <f t="shared" si="50"/>
        <v>0</v>
      </c>
      <c r="Z40" s="103">
        <f t="shared" si="50"/>
        <v>0</v>
      </c>
      <c r="AA40" s="103">
        <f t="shared" si="50"/>
        <v>0</v>
      </c>
      <c r="AB40" s="103">
        <f t="shared" si="50"/>
        <v>0</v>
      </c>
      <c r="AC40" s="103">
        <f t="shared" si="50"/>
        <v>0</v>
      </c>
      <c r="AD40" s="103">
        <f t="shared" si="50"/>
        <v>0</v>
      </c>
      <c r="AE40" s="103">
        <f t="shared" si="50"/>
        <v>0</v>
      </c>
      <c r="AF40" s="103">
        <f t="shared" si="50"/>
        <v>0</v>
      </c>
      <c r="AG40" s="103">
        <f t="shared" si="50"/>
        <v>0</v>
      </c>
      <c r="AH40" s="103">
        <f t="shared" si="50"/>
        <v>0</v>
      </c>
      <c r="AI40" s="103">
        <f t="shared" si="50"/>
        <v>0</v>
      </c>
      <c r="AJ40" s="103">
        <f t="shared" si="50"/>
        <v>0</v>
      </c>
      <c r="AK40" s="103">
        <f t="shared" si="50"/>
        <v>0</v>
      </c>
      <c r="AL40" s="103">
        <f t="shared" si="50"/>
        <v>0</v>
      </c>
      <c r="AM40" s="103">
        <f t="shared" si="50"/>
        <v>0</v>
      </c>
      <c r="AN40" s="103">
        <f t="shared" si="50"/>
        <v>0</v>
      </c>
      <c r="AO40" s="103">
        <f t="shared" si="50"/>
        <v>0</v>
      </c>
      <c r="AP40" s="103">
        <f t="shared" si="50"/>
        <v>0</v>
      </c>
      <c r="AQ40" s="103">
        <f t="shared" si="50"/>
        <v>0</v>
      </c>
      <c r="AR40" s="103">
        <f t="shared" si="50"/>
        <v>0</v>
      </c>
      <c r="AS40" s="103">
        <f t="shared" si="50"/>
        <v>0</v>
      </c>
      <c r="AT40" s="103">
        <f t="shared" si="50"/>
        <v>0</v>
      </c>
      <c r="AU40" s="103">
        <f t="shared" si="50"/>
        <v>0</v>
      </c>
      <c r="AV40" s="103">
        <f t="shared" si="50"/>
        <v>0</v>
      </c>
      <c r="AW40" s="103">
        <f t="shared" si="50"/>
        <v>0</v>
      </c>
      <c r="AX40" s="103">
        <f t="shared" si="50"/>
        <v>0</v>
      </c>
      <c r="AY40" s="103">
        <f t="shared" ref="AY40:AZ59" si="51">AX40</f>
        <v>0</v>
      </c>
      <c r="AZ40" s="103">
        <f t="shared" si="51"/>
        <v>0</v>
      </c>
      <c r="BA40" s="103"/>
      <c r="BB40" s="103">
        <f t="shared" si="36"/>
        <v>0</v>
      </c>
      <c r="BC40" s="95">
        <f t="shared" si="18"/>
        <v>0</v>
      </c>
      <c r="BD40" s="95">
        <f t="shared" si="10"/>
        <v>0</v>
      </c>
      <c r="BE40" s="103"/>
      <c r="BF40" s="99"/>
      <c r="BO40" s="105"/>
      <c r="HH40" s="106">
        <v>176</v>
      </c>
      <c r="HI40" s="92" t="s">
        <v>168</v>
      </c>
      <c r="HJ40" s="106"/>
      <c r="HL40" s="99">
        <f t="shared" ref="HL40:HL71" si="52">SUM(BG40:HK40)-V40</f>
        <v>176</v>
      </c>
      <c r="HM40" s="99"/>
    </row>
    <row r="41" spans="1:221" s="90" customFormat="1" ht="15.75">
      <c r="A41" s="90" t="s">
        <v>188</v>
      </c>
      <c r="B41" s="91">
        <v>88</v>
      </c>
      <c r="D41" s="92"/>
      <c r="E41" s="90">
        <v>4</v>
      </c>
      <c r="F41" s="90" t="s">
        <v>127</v>
      </c>
      <c r="G41" s="72" t="s">
        <v>189</v>
      </c>
      <c r="H41" s="93">
        <v>36336</v>
      </c>
      <c r="I41" s="90" t="s">
        <v>123</v>
      </c>
      <c r="J41" s="90" t="s">
        <v>124</v>
      </c>
      <c r="K41" s="76"/>
      <c r="L41" s="90" t="s">
        <v>132</v>
      </c>
      <c r="M41" s="56"/>
      <c r="N41" s="90" t="str">
        <f t="shared" si="39"/>
        <v>88R</v>
      </c>
      <c r="O41" s="90" t="str">
        <f t="shared" si="40"/>
        <v>88RBase</v>
      </c>
      <c r="Q41" s="94">
        <f t="shared" si="33"/>
        <v>0</v>
      </c>
      <c r="R41" s="94">
        <f t="shared" si="41"/>
        <v>0</v>
      </c>
      <c r="S41" s="94"/>
      <c r="T41" s="95">
        <v>37147</v>
      </c>
      <c r="U41" s="95"/>
      <c r="V41" s="96">
        <v>0</v>
      </c>
      <c r="W41" s="95">
        <f t="shared" si="49"/>
        <v>0</v>
      </c>
      <c r="X41" s="95">
        <f t="shared" ref="X41:AA56" si="53">W41</f>
        <v>0</v>
      </c>
      <c r="Y41" s="95">
        <f t="shared" si="53"/>
        <v>0</v>
      </c>
      <c r="Z41" s="95">
        <f t="shared" si="53"/>
        <v>0</v>
      </c>
      <c r="AA41" s="95">
        <f t="shared" si="53"/>
        <v>0</v>
      </c>
      <c r="AB41" s="95">
        <f t="shared" ref="AB41:AD55" si="54">AA41</f>
        <v>0</v>
      </c>
      <c r="AC41" s="95">
        <f t="shared" si="54"/>
        <v>0</v>
      </c>
      <c r="AD41" s="95">
        <f t="shared" si="54"/>
        <v>0</v>
      </c>
      <c r="AE41" s="95">
        <f t="shared" ref="AE41:AH56" si="55">AD41</f>
        <v>0</v>
      </c>
      <c r="AF41" s="95">
        <f t="shared" si="55"/>
        <v>0</v>
      </c>
      <c r="AG41" s="95">
        <f t="shared" si="55"/>
        <v>0</v>
      </c>
      <c r="AH41" s="95">
        <f t="shared" si="55"/>
        <v>0</v>
      </c>
      <c r="AI41" s="95">
        <f t="shared" ref="AI41:AK55" si="56">AH41</f>
        <v>0</v>
      </c>
      <c r="AJ41" s="95">
        <f t="shared" si="56"/>
        <v>0</v>
      </c>
      <c r="AK41" s="95">
        <f t="shared" si="56"/>
        <v>0</v>
      </c>
      <c r="AL41" s="95">
        <f t="shared" ref="AL41:AO56" si="57">AK41</f>
        <v>0</v>
      </c>
      <c r="AM41" s="95">
        <f t="shared" si="57"/>
        <v>0</v>
      </c>
      <c r="AN41" s="95">
        <f t="shared" si="57"/>
        <v>0</v>
      </c>
      <c r="AO41" s="95">
        <f t="shared" si="57"/>
        <v>0</v>
      </c>
      <c r="AP41" s="95">
        <f t="shared" ref="AP41:AR55" si="58">AO41</f>
        <v>0</v>
      </c>
      <c r="AQ41" s="95">
        <f t="shared" si="58"/>
        <v>0</v>
      </c>
      <c r="AR41" s="95">
        <f t="shared" si="58"/>
        <v>0</v>
      </c>
      <c r="AS41" s="95">
        <f t="shared" ref="AS41:AV54" si="59">AR41</f>
        <v>0</v>
      </c>
      <c r="AT41" s="95">
        <f t="shared" si="59"/>
        <v>0</v>
      </c>
      <c r="AU41" s="95">
        <f t="shared" si="59"/>
        <v>0</v>
      </c>
      <c r="AV41" s="95">
        <f t="shared" si="59"/>
        <v>0</v>
      </c>
      <c r="AW41" s="95">
        <f t="shared" ref="AW41:AX54" si="60">AV41</f>
        <v>0</v>
      </c>
      <c r="AX41" s="95">
        <f t="shared" si="60"/>
        <v>0</v>
      </c>
      <c r="AY41" s="95">
        <f t="shared" si="51"/>
        <v>0</v>
      </c>
      <c r="AZ41" s="95">
        <f t="shared" si="51"/>
        <v>0</v>
      </c>
      <c r="BA41" s="95"/>
      <c r="BB41" s="95">
        <f t="shared" si="36"/>
        <v>0</v>
      </c>
      <c r="BC41" s="95">
        <f t="shared" si="18"/>
        <v>0</v>
      </c>
      <c r="BD41" s="95">
        <f t="shared" si="10"/>
        <v>0</v>
      </c>
      <c r="BE41" s="95"/>
      <c r="BF41" s="94"/>
      <c r="BO41" s="97"/>
      <c r="GI41" s="72"/>
      <c r="HH41" s="98"/>
      <c r="HJ41" s="98"/>
      <c r="HL41" s="94">
        <f t="shared" si="52"/>
        <v>0</v>
      </c>
      <c r="HM41" s="94"/>
    </row>
    <row r="42" spans="1:221" s="72" customFormat="1" ht="15.75">
      <c r="A42" s="72" t="s">
        <v>190</v>
      </c>
      <c r="B42" s="73" t="s">
        <v>191</v>
      </c>
      <c r="D42" s="14">
        <v>2</v>
      </c>
      <c r="E42" s="72">
        <v>5</v>
      </c>
      <c r="F42" s="72" t="s">
        <v>127</v>
      </c>
      <c r="G42" s="72" t="s">
        <v>143</v>
      </c>
      <c r="H42" s="75">
        <v>36459</v>
      </c>
      <c r="I42" s="72" t="s">
        <v>123</v>
      </c>
      <c r="J42" s="72" t="s">
        <v>124</v>
      </c>
      <c r="K42" s="73"/>
      <c r="L42" s="72" t="s">
        <v>125</v>
      </c>
      <c r="M42" s="56"/>
      <c r="N42" s="72" t="str">
        <f t="shared" si="39"/>
        <v>23NR</v>
      </c>
      <c r="O42" s="72" t="str">
        <f t="shared" si="40"/>
        <v>23NRBase</v>
      </c>
      <c r="Q42" s="23">
        <f t="shared" ref="Q42:Q89" si="61">+BC42</f>
        <v>0</v>
      </c>
      <c r="R42" s="23">
        <f t="shared" si="41"/>
        <v>0</v>
      </c>
      <c r="S42" s="23"/>
      <c r="T42" s="78">
        <v>37147</v>
      </c>
      <c r="U42" s="78"/>
      <c r="V42" s="79">
        <v>0</v>
      </c>
      <c r="W42" s="78">
        <f t="shared" si="49"/>
        <v>0</v>
      </c>
      <c r="X42" s="78">
        <f t="shared" si="53"/>
        <v>0</v>
      </c>
      <c r="Y42" s="78">
        <f t="shared" si="53"/>
        <v>0</v>
      </c>
      <c r="Z42" s="78">
        <f t="shared" si="53"/>
        <v>0</v>
      </c>
      <c r="AA42" s="78">
        <f t="shared" si="53"/>
        <v>0</v>
      </c>
      <c r="AB42" s="78">
        <f t="shared" si="54"/>
        <v>0</v>
      </c>
      <c r="AC42" s="78">
        <f t="shared" si="54"/>
        <v>0</v>
      </c>
      <c r="AD42" s="78">
        <f t="shared" si="54"/>
        <v>0</v>
      </c>
      <c r="AE42" s="78">
        <f t="shared" si="55"/>
        <v>0</v>
      </c>
      <c r="AF42" s="78">
        <f t="shared" si="55"/>
        <v>0</v>
      </c>
      <c r="AG42" s="78">
        <f t="shared" si="55"/>
        <v>0</v>
      </c>
      <c r="AH42" s="78">
        <f t="shared" si="55"/>
        <v>0</v>
      </c>
      <c r="AI42" s="78">
        <f t="shared" si="56"/>
        <v>0</v>
      </c>
      <c r="AJ42" s="78">
        <f t="shared" si="56"/>
        <v>0</v>
      </c>
      <c r="AK42" s="78">
        <f t="shared" si="56"/>
        <v>0</v>
      </c>
      <c r="AL42" s="78">
        <f t="shared" si="57"/>
        <v>0</v>
      </c>
      <c r="AM42" s="78">
        <f t="shared" si="57"/>
        <v>0</v>
      </c>
      <c r="AN42" s="78">
        <f t="shared" si="57"/>
        <v>0</v>
      </c>
      <c r="AO42" s="78">
        <f t="shared" si="57"/>
        <v>0</v>
      </c>
      <c r="AP42" s="78">
        <f t="shared" si="58"/>
        <v>0</v>
      </c>
      <c r="AQ42" s="78">
        <f t="shared" si="58"/>
        <v>0</v>
      </c>
      <c r="AR42" s="78">
        <f t="shared" si="58"/>
        <v>0</v>
      </c>
      <c r="AS42" s="78">
        <f t="shared" si="59"/>
        <v>0</v>
      </c>
      <c r="AT42" s="78">
        <f t="shared" si="59"/>
        <v>0</v>
      </c>
      <c r="AU42" s="78">
        <f t="shared" si="59"/>
        <v>0</v>
      </c>
      <c r="AV42" s="78">
        <f t="shared" si="59"/>
        <v>0</v>
      </c>
      <c r="AW42" s="78">
        <f t="shared" si="60"/>
        <v>0</v>
      </c>
      <c r="AX42" s="78">
        <f t="shared" si="60"/>
        <v>0</v>
      </c>
      <c r="AY42" s="78">
        <f t="shared" si="51"/>
        <v>0</v>
      </c>
      <c r="AZ42" s="78">
        <f t="shared" si="51"/>
        <v>0</v>
      </c>
      <c r="BA42" s="78"/>
      <c r="BB42" s="95">
        <f t="shared" si="36"/>
        <v>0</v>
      </c>
      <c r="BC42" s="78">
        <f t="shared" si="18"/>
        <v>0</v>
      </c>
      <c r="BD42" s="155">
        <f t="shared" si="10"/>
        <v>0</v>
      </c>
      <c r="BE42" s="78"/>
      <c r="BF42" s="23"/>
      <c r="BO42" s="80"/>
      <c r="BP42" s="72">
        <v>2127</v>
      </c>
      <c r="BQ42" s="72" t="s">
        <v>365</v>
      </c>
      <c r="HH42" s="74"/>
      <c r="HJ42" s="74"/>
      <c r="HL42" s="23">
        <f t="shared" si="52"/>
        <v>2127</v>
      </c>
      <c r="HM42" s="23"/>
    </row>
    <row r="43" spans="1:221" s="72" customFormat="1" ht="15.75">
      <c r="A43" s="72" t="s">
        <v>190</v>
      </c>
      <c r="B43" s="73" t="s">
        <v>191</v>
      </c>
      <c r="D43" s="14">
        <v>7</v>
      </c>
      <c r="E43" s="72">
        <v>5</v>
      </c>
      <c r="F43" s="72" t="s">
        <v>127</v>
      </c>
      <c r="G43" s="72" t="s">
        <v>143</v>
      </c>
      <c r="H43" s="75">
        <v>36459</v>
      </c>
      <c r="I43" s="72" t="s">
        <v>123</v>
      </c>
      <c r="J43" s="72" t="s">
        <v>124</v>
      </c>
      <c r="K43" s="73"/>
      <c r="L43" s="72" t="s">
        <v>125</v>
      </c>
      <c r="N43" s="72" t="str">
        <f t="shared" si="39"/>
        <v>23NR</v>
      </c>
      <c r="O43" s="72" t="str">
        <f t="shared" si="40"/>
        <v>23NRBase</v>
      </c>
      <c r="Q43" s="23">
        <f t="shared" si="61"/>
        <v>0</v>
      </c>
      <c r="R43" s="23">
        <f t="shared" si="41"/>
        <v>0</v>
      </c>
      <c r="S43" s="23"/>
      <c r="T43" s="78">
        <v>37147</v>
      </c>
      <c r="U43" s="78"/>
      <c r="V43" s="79">
        <v>0</v>
      </c>
      <c r="W43" s="78">
        <f t="shared" si="49"/>
        <v>0</v>
      </c>
      <c r="X43" s="78">
        <f t="shared" si="53"/>
        <v>0</v>
      </c>
      <c r="Y43" s="78">
        <f t="shared" si="53"/>
        <v>0</v>
      </c>
      <c r="Z43" s="78">
        <f t="shared" si="53"/>
        <v>0</v>
      </c>
      <c r="AA43" s="78">
        <f t="shared" si="53"/>
        <v>0</v>
      </c>
      <c r="AB43" s="78">
        <f t="shared" si="54"/>
        <v>0</v>
      </c>
      <c r="AC43" s="78">
        <f t="shared" si="54"/>
        <v>0</v>
      </c>
      <c r="AD43" s="78">
        <f t="shared" si="54"/>
        <v>0</v>
      </c>
      <c r="AE43" s="78">
        <f t="shared" si="55"/>
        <v>0</v>
      </c>
      <c r="AF43" s="78">
        <f t="shared" si="55"/>
        <v>0</v>
      </c>
      <c r="AG43" s="78">
        <f t="shared" si="55"/>
        <v>0</v>
      </c>
      <c r="AH43" s="78">
        <f t="shared" si="55"/>
        <v>0</v>
      </c>
      <c r="AI43" s="78">
        <f t="shared" si="56"/>
        <v>0</v>
      </c>
      <c r="AJ43" s="78">
        <f t="shared" si="56"/>
        <v>0</v>
      </c>
      <c r="AK43" s="78">
        <f t="shared" si="56"/>
        <v>0</v>
      </c>
      <c r="AL43" s="78">
        <f t="shared" si="57"/>
        <v>0</v>
      </c>
      <c r="AM43" s="78">
        <f t="shared" si="57"/>
        <v>0</v>
      </c>
      <c r="AN43" s="78">
        <f t="shared" si="57"/>
        <v>0</v>
      </c>
      <c r="AO43" s="78">
        <f t="shared" si="57"/>
        <v>0</v>
      </c>
      <c r="AP43" s="78">
        <f t="shared" si="58"/>
        <v>0</v>
      </c>
      <c r="AQ43" s="78">
        <f t="shared" si="58"/>
        <v>0</v>
      </c>
      <c r="AR43" s="78">
        <f t="shared" si="58"/>
        <v>0</v>
      </c>
      <c r="AS43" s="78">
        <f t="shared" si="59"/>
        <v>0</v>
      </c>
      <c r="AT43" s="78">
        <f t="shared" si="59"/>
        <v>0</v>
      </c>
      <c r="AU43" s="78">
        <f t="shared" si="59"/>
        <v>0</v>
      </c>
      <c r="AV43" s="78">
        <f t="shared" si="59"/>
        <v>0</v>
      </c>
      <c r="AW43" s="78">
        <f t="shared" si="60"/>
        <v>0</v>
      </c>
      <c r="AX43" s="78">
        <f t="shared" si="60"/>
        <v>0</v>
      </c>
      <c r="AY43" s="78">
        <f t="shared" si="51"/>
        <v>0</v>
      </c>
      <c r="AZ43" s="78">
        <f t="shared" si="51"/>
        <v>0</v>
      </c>
      <c r="BA43" s="78"/>
      <c r="BB43" s="78">
        <f>SUM(V43:AZ43)</f>
        <v>0</v>
      </c>
      <c r="BC43" s="78">
        <f t="shared" si="18"/>
        <v>0</v>
      </c>
      <c r="BD43" s="155">
        <f t="shared" si="10"/>
        <v>0</v>
      </c>
      <c r="BE43" s="78"/>
      <c r="BF43" s="23"/>
      <c r="BI43" s="72">
        <v>600</v>
      </c>
      <c r="BN43" s="72">
        <v>449</v>
      </c>
      <c r="BO43" s="80" t="s">
        <v>364</v>
      </c>
      <c r="GP43" s="72">
        <v>500</v>
      </c>
      <c r="GQ43" s="72" t="s">
        <v>204</v>
      </c>
      <c r="HH43" s="74"/>
      <c r="HJ43" s="74"/>
      <c r="HL43" s="23">
        <f t="shared" si="52"/>
        <v>1549</v>
      </c>
      <c r="HM43" s="23"/>
    </row>
    <row r="44" spans="1:221" s="72" customFormat="1" ht="15.75">
      <c r="A44" s="72" t="s">
        <v>190</v>
      </c>
      <c r="B44" s="73" t="s">
        <v>191</v>
      </c>
      <c r="D44" s="14">
        <v>2</v>
      </c>
      <c r="E44" s="72">
        <v>5</v>
      </c>
      <c r="F44" s="72" t="s">
        <v>166</v>
      </c>
      <c r="G44" s="72" t="s">
        <v>143</v>
      </c>
      <c r="H44" s="75">
        <v>36459</v>
      </c>
      <c r="I44" s="72" t="s">
        <v>123</v>
      </c>
      <c r="J44" s="72" t="s">
        <v>124</v>
      </c>
      <c r="K44" s="73"/>
      <c r="L44" s="72" t="s">
        <v>125</v>
      </c>
      <c r="M44" s="56"/>
      <c r="N44" s="72" t="str">
        <f t="shared" si="39"/>
        <v>23NR</v>
      </c>
      <c r="O44" s="72" t="str">
        <f t="shared" si="40"/>
        <v>23NRBase</v>
      </c>
      <c r="Q44" s="23">
        <f t="shared" si="61"/>
        <v>0</v>
      </c>
      <c r="R44" s="23">
        <f t="shared" si="41"/>
        <v>0</v>
      </c>
      <c r="S44" s="23"/>
      <c r="T44" s="78">
        <v>37147</v>
      </c>
      <c r="U44" s="78"/>
      <c r="V44" s="79">
        <v>0</v>
      </c>
      <c r="W44" s="78">
        <f t="shared" si="49"/>
        <v>0</v>
      </c>
      <c r="X44" s="78">
        <f t="shared" si="53"/>
        <v>0</v>
      </c>
      <c r="Y44" s="78">
        <f t="shared" si="53"/>
        <v>0</v>
      </c>
      <c r="Z44" s="78">
        <f t="shared" si="53"/>
        <v>0</v>
      </c>
      <c r="AA44" s="78">
        <f t="shared" si="53"/>
        <v>0</v>
      </c>
      <c r="AB44" s="78">
        <f t="shared" si="54"/>
        <v>0</v>
      </c>
      <c r="AC44" s="78">
        <f t="shared" si="54"/>
        <v>0</v>
      </c>
      <c r="AD44" s="78">
        <f t="shared" si="54"/>
        <v>0</v>
      </c>
      <c r="AE44" s="78">
        <f t="shared" si="55"/>
        <v>0</v>
      </c>
      <c r="AF44" s="78">
        <f t="shared" si="55"/>
        <v>0</v>
      </c>
      <c r="AG44" s="78">
        <f t="shared" si="55"/>
        <v>0</v>
      </c>
      <c r="AH44" s="78">
        <f t="shared" si="55"/>
        <v>0</v>
      </c>
      <c r="AI44" s="78">
        <f t="shared" si="56"/>
        <v>0</v>
      </c>
      <c r="AJ44" s="78">
        <f t="shared" si="56"/>
        <v>0</v>
      </c>
      <c r="AK44" s="78">
        <f t="shared" si="56"/>
        <v>0</v>
      </c>
      <c r="AL44" s="78">
        <f t="shared" si="57"/>
        <v>0</v>
      </c>
      <c r="AM44" s="78">
        <f t="shared" si="57"/>
        <v>0</v>
      </c>
      <c r="AN44" s="78">
        <f t="shared" si="57"/>
        <v>0</v>
      </c>
      <c r="AO44" s="78">
        <f t="shared" si="57"/>
        <v>0</v>
      </c>
      <c r="AP44" s="78">
        <f t="shared" si="58"/>
        <v>0</v>
      </c>
      <c r="AQ44" s="78">
        <f t="shared" si="58"/>
        <v>0</v>
      </c>
      <c r="AR44" s="78">
        <f t="shared" si="58"/>
        <v>0</v>
      </c>
      <c r="AS44" s="78">
        <f t="shared" si="59"/>
        <v>0</v>
      </c>
      <c r="AT44" s="78">
        <f t="shared" si="59"/>
        <v>0</v>
      </c>
      <c r="AU44" s="78">
        <f t="shared" si="59"/>
        <v>0</v>
      </c>
      <c r="AV44" s="78">
        <f t="shared" si="59"/>
        <v>0</v>
      </c>
      <c r="AW44" s="78">
        <f t="shared" si="60"/>
        <v>0</v>
      </c>
      <c r="AX44" s="78">
        <f t="shared" si="60"/>
        <v>0</v>
      </c>
      <c r="AY44" s="78">
        <f t="shared" si="51"/>
        <v>0</v>
      </c>
      <c r="AZ44" s="78">
        <f t="shared" si="51"/>
        <v>0</v>
      </c>
      <c r="BA44" s="78"/>
      <c r="BB44" s="78">
        <f t="shared" ref="BB44:BB107" si="62">SUM(V44:AZ44)</f>
        <v>0</v>
      </c>
      <c r="BC44" s="78">
        <f t="shared" si="18"/>
        <v>0</v>
      </c>
      <c r="BD44" s="155">
        <f t="shared" si="10"/>
        <v>0</v>
      </c>
      <c r="BE44" s="78"/>
      <c r="BF44" s="23"/>
      <c r="BO44" s="80"/>
      <c r="CV44" s="72">
        <v>12330</v>
      </c>
      <c r="CW44" s="72" t="s">
        <v>371</v>
      </c>
      <c r="HH44" s="74"/>
      <c r="HJ44" s="74"/>
      <c r="HL44" s="23">
        <f t="shared" si="52"/>
        <v>12330</v>
      </c>
      <c r="HM44" s="23"/>
    </row>
    <row r="45" spans="1:221" s="72" customFormat="1" ht="15.75">
      <c r="A45" s="72" t="s">
        <v>190</v>
      </c>
      <c r="B45" s="73" t="s">
        <v>191</v>
      </c>
      <c r="D45" s="14">
        <v>7</v>
      </c>
      <c r="E45" s="72">
        <v>5</v>
      </c>
      <c r="F45" s="72" t="s">
        <v>166</v>
      </c>
      <c r="G45" s="72" t="s">
        <v>143</v>
      </c>
      <c r="H45" s="75">
        <v>36459</v>
      </c>
      <c r="I45" s="72" t="s">
        <v>123</v>
      </c>
      <c r="J45" s="72" t="s">
        <v>124</v>
      </c>
      <c r="K45" s="73"/>
      <c r="L45" s="72" t="s">
        <v>125</v>
      </c>
      <c r="M45" s="56"/>
      <c r="N45" s="72" t="str">
        <f t="shared" si="39"/>
        <v>23NR</v>
      </c>
      <c r="O45" s="72" t="str">
        <f t="shared" si="40"/>
        <v>23NRBase</v>
      </c>
      <c r="Q45" s="23">
        <f t="shared" si="61"/>
        <v>0</v>
      </c>
      <c r="R45" s="23">
        <f t="shared" si="41"/>
        <v>0</v>
      </c>
      <c r="S45" s="23"/>
      <c r="T45" s="78">
        <v>37147</v>
      </c>
      <c r="U45" s="78"/>
      <c r="V45" s="79">
        <v>0</v>
      </c>
      <c r="W45" s="78">
        <f t="shared" si="49"/>
        <v>0</v>
      </c>
      <c r="X45" s="78">
        <f t="shared" si="53"/>
        <v>0</v>
      </c>
      <c r="Y45" s="78">
        <f t="shared" si="53"/>
        <v>0</v>
      </c>
      <c r="Z45" s="78">
        <f t="shared" si="53"/>
        <v>0</v>
      </c>
      <c r="AA45" s="78">
        <f t="shared" si="53"/>
        <v>0</v>
      </c>
      <c r="AB45" s="78">
        <f t="shared" si="54"/>
        <v>0</v>
      </c>
      <c r="AC45" s="78">
        <f t="shared" si="54"/>
        <v>0</v>
      </c>
      <c r="AD45" s="78">
        <f t="shared" si="54"/>
        <v>0</v>
      </c>
      <c r="AE45" s="78">
        <f t="shared" si="55"/>
        <v>0</v>
      </c>
      <c r="AF45" s="78">
        <f t="shared" si="55"/>
        <v>0</v>
      </c>
      <c r="AG45" s="78">
        <f t="shared" si="55"/>
        <v>0</v>
      </c>
      <c r="AH45" s="78">
        <f t="shared" si="55"/>
        <v>0</v>
      </c>
      <c r="AI45" s="78">
        <f t="shared" si="56"/>
        <v>0</v>
      </c>
      <c r="AJ45" s="78">
        <f t="shared" si="56"/>
        <v>0</v>
      </c>
      <c r="AK45" s="78">
        <f t="shared" si="56"/>
        <v>0</v>
      </c>
      <c r="AL45" s="78">
        <f t="shared" si="57"/>
        <v>0</v>
      </c>
      <c r="AM45" s="78">
        <f t="shared" si="57"/>
        <v>0</v>
      </c>
      <c r="AN45" s="78">
        <f t="shared" si="57"/>
        <v>0</v>
      </c>
      <c r="AO45" s="78">
        <f t="shared" si="57"/>
        <v>0</v>
      </c>
      <c r="AP45" s="78">
        <f t="shared" si="58"/>
        <v>0</v>
      </c>
      <c r="AQ45" s="78">
        <f t="shared" si="58"/>
        <v>0</v>
      </c>
      <c r="AR45" s="78">
        <f t="shared" si="58"/>
        <v>0</v>
      </c>
      <c r="AS45" s="78">
        <f t="shared" si="59"/>
        <v>0</v>
      </c>
      <c r="AT45" s="78">
        <f t="shared" si="59"/>
        <v>0</v>
      </c>
      <c r="AU45" s="78">
        <f t="shared" si="59"/>
        <v>0</v>
      </c>
      <c r="AV45" s="78">
        <f t="shared" si="59"/>
        <v>0</v>
      </c>
      <c r="AW45" s="78">
        <f t="shared" si="60"/>
        <v>0</v>
      </c>
      <c r="AX45" s="78">
        <f t="shared" si="60"/>
        <v>0</v>
      </c>
      <c r="AY45" s="78">
        <f t="shared" si="51"/>
        <v>0</v>
      </c>
      <c r="AZ45" s="78">
        <f t="shared" si="51"/>
        <v>0</v>
      </c>
      <c r="BA45" s="78"/>
      <c r="BB45" s="78">
        <f t="shared" si="62"/>
        <v>0</v>
      </c>
      <c r="BC45" s="78">
        <f t="shared" si="18"/>
        <v>0</v>
      </c>
      <c r="BD45" s="155">
        <f t="shared" si="10"/>
        <v>0</v>
      </c>
      <c r="BE45" s="78"/>
      <c r="BF45" s="23"/>
      <c r="BO45" s="80"/>
      <c r="CX45" s="72">
        <v>5016</v>
      </c>
      <c r="CY45" s="72" t="s">
        <v>372</v>
      </c>
      <c r="HH45" s="74"/>
      <c r="HJ45" s="74"/>
      <c r="HL45" s="23">
        <f t="shared" si="52"/>
        <v>5016</v>
      </c>
      <c r="HM45" s="23"/>
    </row>
    <row r="46" spans="1:221" s="72" customFormat="1" ht="15.75">
      <c r="A46" s="72" t="s">
        <v>190</v>
      </c>
      <c r="B46" s="73" t="s">
        <v>191</v>
      </c>
      <c r="D46" s="14"/>
      <c r="E46" s="72">
        <v>5</v>
      </c>
      <c r="F46" s="72" t="s">
        <v>195</v>
      </c>
      <c r="G46" s="72" t="s">
        <v>143</v>
      </c>
      <c r="H46" s="75">
        <v>36397</v>
      </c>
      <c r="I46" s="72" t="s">
        <v>123</v>
      </c>
      <c r="J46" s="72" t="s">
        <v>136</v>
      </c>
      <c r="K46" s="73"/>
      <c r="L46" s="72" t="s">
        <v>125</v>
      </c>
      <c r="N46" s="72" t="str">
        <f t="shared" si="39"/>
        <v>23NW</v>
      </c>
      <c r="O46" s="72" t="str">
        <f t="shared" si="40"/>
        <v>23NWBase</v>
      </c>
      <c r="Q46" s="23">
        <f t="shared" si="61"/>
        <v>0</v>
      </c>
      <c r="R46" s="23">
        <f t="shared" si="41"/>
        <v>0</v>
      </c>
      <c r="S46" s="23"/>
      <c r="T46" s="78">
        <v>37147</v>
      </c>
      <c r="U46" s="78"/>
      <c r="V46" s="79">
        <v>0</v>
      </c>
      <c r="W46" s="78">
        <v>0</v>
      </c>
      <c r="X46" s="78">
        <f t="shared" si="53"/>
        <v>0</v>
      </c>
      <c r="Y46" s="78">
        <f t="shared" si="53"/>
        <v>0</v>
      </c>
      <c r="Z46" s="78">
        <f t="shared" si="53"/>
        <v>0</v>
      </c>
      <c r="AA46" s="78">
        <f t="shared" si="53"/>
        <v>0</v>
      </c>
      <c r="AB46" s="78">
        <f t="shared" si="54"/>
        <v>0</v>
      </c>
      <c r="AC46" s="78">
        <f t="shared" si="54"/>
        <v>0</v>
      </c>
      <c r="AD46" s="78">
        <f t="shared" si="54"/>
        <v>0</v>
      </c>
      <c r="AE46" s="78">
        <f t="shared" si="55"/>
        <v>0</v>
      </c>
      <c r="AF46" s="78">
        <f t="shared" si="55"/>
        <v>0</v>
      </c>
      <c r="AG46" s="78">
        <f t="shared" si="55"/>
        <v>0</v>
      </c>
      <c r="AH46" s="78">
        <f t="shared" si="55"/>
        <v>0</v>
      </c>
      <c r="AI46" s="78">
        <f t="shared" si="56"/>
        <v>0</v>
      </c>
      <c r="AJ46" s="78">
        <f t="shared" si="56"/>
        <v>0</v>
      </c>
      <c r="AK46" s="78">
        <f t="shared" si="56"/>
        <v>0</v>
      </c>
      <c r="AL46" s="78">
        <f t="shared" si="57"/>
        <v>0</v>
      </c>
      <c r="AM46" s="78">
        <f t="shared" si="57"/>
        <v>0</v>
      </c>
      <c r="AN46" s="78">
        <f t="shared" si="57"/>
        <v>0</v>
      </c>
      <c r="AO46" s="78">
        <f t="shared" si="57"/>
        <v>0</v>
      </c>
      <c r="AP46" s="78">
        <f t="shared" si="58"/>
        <v>0</v>
      </c>
      <c r="AQ46" s="78">
        <f t="shared" si="58"/>
        <v>0</v>
      </c>
      <c r="AR46" s="78">
        <f t="shared" si="58"/>
        <v>0</v>
      </c>
      <c r="AS46" s="78">
        <f t="shared" si="59"/>
        <v>0</v>
      </c>
      <c r="AT46" s="78">
        <f t="shared" si="59"/>
        <v>0</v>
      </c>
      <c r="AU46" s="78">
        <f t="shared" si="59"/>
        <v>0</v>
      </c>
      <c r="AV46" s="78">
        <f t="shared" si="59"/>
        <v>0</v>
      </c>
      <c r="AW46" s="78">
        <f t="shared" si="60"/>
        <v>0</v>
      </c>
      <c r="AX46" s="78">
        <f t="shared" si="60"/>
        <v>0</v>
      </c>
      <c r="AY46" s="78">
        <f t="shared" si="51"/>
        <v>0</v>
      </c>
      <c r="AZ46" s="78">
        <f t="shared" si="51"/>
        <v>0</v>
      </c>
      <c r="BA46" s="78"/>
      <c r="BB46" s="78">
        <f t="shared" si="62"/>
        <v>0</v>
      </c>
      <c r="BC46" s="78">
        <f t="shared" si="18"/>
        <v>0</v>
      </c>
      <c r="BD46" s="155">
        <f t="shared" si="10"/>
        <v>0</v>
      </c>
      <c r="BE46" s="78"/>
      <c r="BF46" s="23"/>
      <c r="BO46" s="80"/>
      <c r="HH46" s="74"/>
      <c r="HJ46" s="74"/>
      <c r="HL46" s="23">
        <f t="shared" si="52"/>
        <v>0</v>
      </c>
      <c r="HM46" s="23"/>
    </row>
    <row r="47" spans="1:221" s="198" customFormat="1" ht="15.75">
      <c r="A47" s="198" t="s">
        <v>190</v>
      </c>
      <c r="B47" s="199" t="s">
        <v>191</v>
      </c>
      <c r="D47" s="200">
        <v>2</v>
      </c>
      <c r="E47" s="198">
        <v>5</v>
      </c>
      <c r="F47" s="198" t="s">
        <v>149</v>
      </c>
      <c r="G47" s="198" t="s">
        <v>332</v>
      </c>
      <c r="H47" s="201">
        <v>36459</v>
      </c>
      <c r="I47" s="198" t="s">
        <v>123</v>
      </c>
      <c r="J47" s="198" t="s">
        <v>136</v>
      </c>
      <c r="K47" s="199"/>
      <c r="L47" s="198" t="s">
        <v>125</v>
      </c>
      <c r="N47" s="198" t="str">
        <f t="shared" si="39"/>
        <v>23NW</v>
      </c>
      <c r="O47" s="198" t="str">
        <f t="shared" si="40"/>
        <v>23NWBase</v>
      </c>
      <c r="Q47" s="202">
        <f t="shared" si="61"/>
        <v>0</v>
      </c>
      <c r="R47" s="202">
        <f t="shared" si="41"/>
        <v>0</v>
      </c>
      <c r="S47" s="202"/>
      <c r="T47" s="203">
        <v>37147</v>
      </c>
      <c r="U47" s="203"/>
      <c r="V47" s="204">
        <v>0</v>
      </c>
      <c r="W47" s="203">
        <f t="shared" ref="W47:W73" si="63">V47</f>
        <v>0</v>
      </c>
      <c r="X47" s="203">
        <f t="shared" si="53"/>
        <v>0</v>
      </c>
      <c r="Y47" s="203">
        <f t="shared" si="53"/>
        <v>0</v>
      </c>
      <c r="Z47" s="203">
        <f t="shared" si="53"/>
        <v>0</v>
      </c>
      <c r="AA47" s="203">
        <f t="shared" si="53"/>
        <v>0</v>
      </c>
      <c r="AB47" s="203">
        <f t="shared" si="54"/>
        <v>0</v>
      </c>
      <c r="AC47" s="203">
        <f t="shared" si="54"/>
        <v>0</v>
      </c>
      <c r="AD47" s="203">
        <f t="shared" si="54"/>
        <v>0</v>
      </c>
      <c r="AE47" s="203">
        <f t="shared" si="55"/>
        <v>0</v>
      </c>
      <c r="AF47" s="203">
        <f t="shared" si="55"/>
        <v>0</v>
      </c>
      <c r="AG47" s="203">
        <f t="shared" si="55"/>
        <v>0</v>
      </c>
      <c r="AH47" s="203">
        <f t="shared" si="55"/>
        <v>0</v>
      </c>
      <c r="AI47" s="203">
        <f t="shared" si="56"/>
        <v>0</v>
      </c>
      <c r="AJ47" s="203">
        <f t="shared" si="56"/>
        <v>0</v>
      </c>
      <c r="AK47" s="203">
        <f t="shared" si="56"/>
        <v>0</v>
      </c>
      <c r="AL47" s="203">
        <f t="shared" si="57"/>
        <v>0</v>
      </c>
      <c r="AM47" s="203">
        <f t="shared" si="57"/>
        <v>0</v>
      </c>
      <c r="AN47" s="203">
        <f t="shared" si="57"/>
        <v>0</v>
      </c>
      <c r="AO47" s="203">
        <f t="shared" si="57"/>
        <v>0</v>
      </c>
      <c r="AP47" s="203">
        <f t="shared" si="58"/>
        <v>0</v>
      </c>
      <c r="AQ47" s="203">
        <f t="shared" si="58"/>
        <v>0</v>
      </c>
      <c r="AR47" s="203">
        <f t="shared" si="58"/>
        <v>0</v>
      </c>
      <c r="AS47" s="203">
        <f t="shared" si="59"/>
        <v>0</v>
      </c>
      <c r="AT47" s="203">
        <f t="shared" si="59"/>
        <v>0</v>
      </c>
      <c r="AU47" s="203">
        <f t="shared" si="59"/>
        <v>0</v>
      </c>
      <c r="AV47" s="203">
        <f t="shared" si="59"/>
        <v>0</v>
      </c>
      <c r="AW47" s="203">
        <f t="shared" si="60"/>
        <v>0</v>
      </c>
      <c r="AX47" s="203">
        <f t="shared" si="60"/>
        <v>0</v>
      </c>
      <c r="AY47" s="203">
        <f t="shared" si="51"/>
        <v>0</v>
      </c>
      <c r="AZ47" s="203">
        <f t="shared" si="51"/>
        <v>0</v>
      </c>
      <c r="BA47" s="203"/>
      <c r="BB47" s="78">
        <f t="shared" si="62"/>
        <v>0</v>
      </c>
      <c r="BC47" s="78">
        <f t="shared" si="18"/>
        <v>0</v>
      </c>
      <c r="BD47" s="155">
        <f t="shared" si="10"/>
        <v>0</v>
      </c>
      <c r="BE47" s="203"/>
      <c r="BF47" s="202"/>
      <c r="BO47" s="205"/>
      <c r="BP47" s="198">
        <v>5222</v>
      </c>
      <c r="HL47" s="202">
        <f t="shared" si="52"/>
        <v>5222</v>
      </c>
      <c r="HM47" s="202"/>
    </row>
    <row r="48" spans="1:221" s="198" customFormat="1" ht="15.75">
      <c r="A48" s="198" t="s">
        <v>190</v>
      </c>
      <c r="B48" s="199" t="s">
        <v>191</v>
      </c>
      <c r="D48" s="200">
        <v>7</v>
      </c>
      <c r="E48" s="198">
        <v>5</v>
      </c>
      <c r="F48" s="198" t="s">
        <v>149</v>
      </c>
      <c r="G48" s="198" t="s">
        <v>332</v>
      </c>
      <c r="H48" s="201">
        <v>36459</v>
      </c>
      <c r="I48" s="198" t="s">
        <v>123</v>
      </c>
      <c r="J48" s="198" t="s">
        <v>136</v>
      </c>
      <c r="K48" s="199"/>
      <c r="L48" s="198" t="s">
        <v>125</v>
      </c>
      <c r="N48" s="198" t="str">
        <f t="shared" si="39"/>
        <v>23NW</v>
      </c>
      <c r="O48" s="198" t="str">
        <f t="shared" si="40"/>
        <v>23NWBase</v>
      </c>
      <c r="Q48" s="202">
        <f t="shared" si="61"/>
        <v>0</v>
      </c>
      <c r="R48" s="202">
        <f t="shared" si="41"/>
        <v>0</v>
      </c>
      <c r="S48" s="202"/>
      <c r="T48" s="203">
        <v>37147</v>
      </c>
      <c r="U48" s="203"/>
      <c r="V48" s="204">
        <v>0</v>
      </c>
      <c r="W48" s="203">
        <f t="shared" si="63"/>
        <v>0</v>
      </c>
      <c r="X48" s="203">
        <f t="shared" si="53"/>
        <v>0</v>
      </c>
      <c r="Y48" s="203">
        <f t="shared" si="53"/>
        <v>0</v>
      </c>
      <c r="Z48" s="203">
        <f t="shared" si="53"/>
        <v>0</v>
      </c>
      <c r="AA48" s="203">
        <f t="shared" si="53"/>
        <v>0</v>
      </c>
      <c r="AB48" s="203">
        <f t="shared" si="54"/>
        <v>0</v>
      </c>
      <c r="AC48" s="203">
        <f t="shared" si="54"/>
        <v>0</v>
      </c>
      <c r="AD48" s="203">
        <f t="shared" si="54"/>
        <v>0</v>
      </c>
      <c r="AE48" s="203">
        <f t="shared" si="55"/>
        <v>0</v>
      </c>
      <c r="AF48" s="203">
        <f t="shared" si="55"/>
        <v>0</v>
      </c>
      <c r="AG48" s="203">
        <f t="shared" si="55"/>
        <v>0</v>
      </c>
      <c r="AH48" s="203">
        <f t="shared" si="55"/>
        <v>0</v>
      </c>
      <c r="AI48" s="203">
        <f t="shared" si="56"/>
        <v>0</v>
      </c>
      <c r="AJ48" s="203">
        <f t="shared" si="56"/>
        <v>0</v>
      </c>
      <c r="AK48" s="203">
        <f t="shared" si="56"/>
        <v>0</v>
      </c>
      <c r="AL48" s="203">
        <f t="shared" si="57"/>
        <v>0</v>
      </c>
      <c r="AM48" s="203">
        <f t="shared" si="57"/>
        <v>0</v>
      </c>
      <c r="AN48" s="203">
        <f t="shared" si="57"/>
        <v>0</v>
      </c>
      <c r="AO48" s="203">
        <f t="shared" si="57"/>
        <v>0</v>
      </c>
      <c r="AP48" s="203">
        <f t="shared" si="58"/>
        <v>0</v>
      </c>
      <c r="AQ48" s="203">
        <f t="shared" si="58"/>
        <v>0</v>
      </c>
      <c r="AR48" s="203">
        <f t="shared" si="58"/>
        <v>0</v>
      </c>
      <c r="AS48" s="203">
        <f t="shared" si="59"/>
        <v>0</v>
      </c>
      <c r="AT48" s="203">
        <f t="shared" si="59"/>
        <v>0</v>
      </c>
      <c r="AU48" s="203">
        <f t="shared" si="59"/>
        <v>0</v>
      </c>
      <c r="AV48" s="203">
        <f t="shared" si="59"/>
        <v>0</v>
      </c>
      <c r="AW48" s="203">
        <f t="shared" si="60"/>
        <v>0</v>
      </c>
      <c r="AX48" s="203">
        <f t="shared" si="60"/>
        <v>0</v>
      </c>
      <c r="AY48" s="203">
        <f t="shared" si="51"/>
        <v>0</v>
      </c>
      <c r="AZ48" s="203">
        <f t="shared" si="51"/>
        <v>0</v>
      </c>
      <c r="BA48" s="203"/>
      <c r="BB48" s="78">
        <f t="shared" si="62"/>
        <v>0</v>
      </c>
      <c r="BC48" s="78">
        <f t="shared" si="18"/>
        <v>0</v>
      </c>
      <c r="BD48" s="155">
        <f t="shared" si="10"/>
        <v>0</v>
      </c>
      <c r="BE48" s="203"/>
      <c r="BF48" s="202"/>
      <c r="BN48" s="198">
        <v>2299</v>
      </c>
      <c r="BO48" s="205"/>
      <c r="HL48" s="202">
        <f t="shared" si="52"/>
        <v>2299</v>
      </c>
      <c r="HM48" s="202"/>
    </row>
    <row r="49" spans="1:221" s="72" customFormat="1" ht="15.75">
      <c r="A49" s="72" t="s">
        <v>196</v>
      </c>
      <c r="B49" s="73">
        <v>18</v>
      </c>
      <c r="D49" s="14">
        <v>11</v>
      </c>
      <c r="E49" s="72">
        <v>6</v>
      </c>
      <c r="F49" s="72" t="s">
        <v>127</v>
      </c>
      <c r="G49" s="72" t="s">
        <v>178</v>
      </c>
      <c r="H49" s="75">
        <v>36336</v>
      </c>
      <c r="I49" s="72" t="s">
        <v>123</v>
      </c>
      <c r="J49" s="72" t="s">
        <v>124</v>
      </c>
      <c r="K49" s="73"/>
      <c r="L49" s="72" t="s">
        <v>125</v>
      </c>
      <c r="M49" s="77"/>
      <c r="N49" s="72" t="str">
        <f t="shared" si="39"/>
        <v>18R</v>
      </c>
      <c r="O49" s="72" t="str">
        <f t="shared" si="40"/>
        <v>18RBase</v>
      </c>
      <c r="Q49" s="23">
        <f t="shared" si="61"/>
        <v>0</v>
      </c>
      <c r="R49" s="23">
        <f t="shared" si="41"/>
        <v>0</v>
      </c>
      <c r="S49" s="23"/>
      <c r="T49" s="78">
        <v>37147</v>
      </c>
      <c r="U49" s="78"/>
      <c r="V49" s="79">
        <v>0</v>
      </c>
      <c r="W49" s="78">
        <f t="shared" si="63"/>
        <v>0</v>
      </c>
      <c r="X49" s="78">
        <f t="shared" si="53"/>
        <v>0</v>
      </c>
      <c r="Y49" s="78">
        <f t="shared" si="53"/>
        <v>0</v>
      </c>
      <c r="Z49" s="78">
        <f t="shared" si="53"/>
        <v>0</v>
      </c>
      <c r="AA49" s="78">
        <f t="shared" si="53"/>
        <v>0</v>
      </c>
      <c r="AB49" s="78">
        <f t="shared" si="54"/>
        <v>0</v>
      </c>
      <c r="AC49" s="78">
        <f t="shared" si="54"/>
        <v>0</v>
      </c>
      <c r="AD49" s="78">
        <f t="shared" si="54"/>
        <v>0</v>
      </c>
      <c r="AE49" s="78">
        <f t="shared" si="55"/>
        <v>0</v>
      </c>
      <c r="AF49" s="78">
        <f t="shared" si="55"/>
        <v>0</v>
      </c>
      <c r="AG49" s="78">
        <f t="shared" si="55"/>
        <v>0</v>
      </c>
      <c r="AH49" s="78">
        <f t="shared" si="55"/>
        <v>0</v>
      </c>
      <c r="AI49" s="78">
        <f t="shared" si="56"/>
        <v>0</v>
      </c>
      <c r="AJ49" s="78">
        <f t="shared" si="56"/>
        <v>0</v>
      </c>
      <c r="AK49" s="78">
        <f t="shared" si="56"/>
        <v>0</v>
      </c>
      <c r="AL49" s="78">
        <f t="shared" si="57"/>
        <v>0</v>
      </c>
      <c r="AM49" s="78">
        <f t="shared" si="57"/>
        <v>0</v>
      </c>
      <c r="AN49" s="78">
        <f t="shared" si="57"/>
        <v>0</v>
      </c>
      <c r="AO49" s="78">
        <f t="shared" si="57"/>
        <v>0</v>
      </c>
      <c r="AP49" s="78">
        <f t="shared" si="58"/>
        <v>0</v>
      </c>
      <c r="AQ49" s="78">
        <f t="shared" si="58"/>
        <v>0</v>
      </c>
      <c r="AR49" s="78">
        <f t="shared" si="58"/>
        <v>0</v>
      </c>
      <c r="AS49" s="78">
        <f t="shared" si="59"/>
        <v>0</v>
      </c>
      <c r="AT49" s="78">
        <f t="shared" si="59"/>
        <v>0</v>
      </c>
      <c r="AU49" s="78">
        <f t="shared" si="59"/>
        <v>0</v>
      </c>
      <c r="AV49" s="78">
        <f t="shared" si="59"/>
        <v>0</v>
      </c>
      <c r="AW49" s="78">
        <f t="shared" si="60"/>
        <v>0</v>
      </c>
      <c r="AX49" s="78">
        <f t="shared" si="60"/>
        <v>0</v>
      </c>
      <c r="AY49" s="78">
        <f t="shared" si="51"/>
        <v>0</v>
      </c>
      <c r="AZ49" s="78">
        <f t="shared" si="51"/>
        <v>0</v>
      </c>
      <c r="BA49" s="78"/>
      <c r="BB49" s="78">
        <f t="shared" si="62"/>
        <v>0</v>
      </c>
      <c r="BC49" s="78">
        <f t="shared" si="18"/>
        <v>0</v>
      </c>
      <c r="BD49" s="155">
        <f t="shared" si="10"/>
        <v>0</v>
      </c>
      <c r="BE49" s="78"/>
      <c r="BF49" s="23"/>
      <c r="BO49" s="80"/>
      <c r="EH49" s="72">
        <v>307</v>
      </c>
      <c r="EI49" s="72" t="s">
        <v>428</v>
      </c>
      <c r="HH49" s="74"/>
      <c r="HJ49" s="74"/>
      <c r="HL49" s="23">
        <f t="shared" si="52"/>
        <v>307</v>
      </c>
      <c r="HM49" s="23"/>
    </row>
    <row r="50" spans="1:221" s="72" customFormat="1" ht="15.75">
      <c r="A50" s="72" t="s">
        <v>196</v>
      </c>
      <c r="B50" s="73">
        <v>18</v>
      </c>
      <c r="D50" s="14">
        <v>12</v>
      </c>
      <c r="E50" s="72">
        <v>6</v>
      </c>
      <c r="F50" s="72" t="s">
        <v>127</v>
      </c>
      <c r="G50" s="72" t="s">
        <v>178</v>
      </c>
      <c r="H50" s="75">
        <v>36336</v>
      </c>
      <c r="I50" s="72" t="s">
        <v>123</v>
      </c>
      <c r="J50" s="72" t="s">
        <v>124</v>
      </c>
      <c r="K50" s="73"/>
      <c r="L50" s="72" t="s">
        <v>125</v>
      </c>
      <c r="M50" s="77"/>
      <c r="N50" s="72" t="str">
        <f t="shared" si="39"/>
        <v>18R</v>
      </c>
      <c r="O50" s="72" t="str">
        <f t="shared" si="40"/>
        <v>18RBase</v>
      </c>
      <c r="Q50" s="23">
        <f t="shared" si="61"/>
        <v>0</v>
      </c>
      <c r="R50" s="23">
        <f t="shared" si="41"/>
        <v>0</v>
      </c>
      <c r="S50" s="23"/>
      <c r="T50" s="78">
        <v>37147</v>
      </c>
      <c r="U50" s="78"/>
      <c r="V50" s="79">
        <v>0</v>
      </c>
      <c r="W50" s="78">
        <f t="shared" si="63"/>
        <v>0</v>
      </c>
      <c r="X50" s="78">
        <f t="shared" si="53"/>
        <v>0</v>
      </c>
      <c r="Y50" s="78">
        <f t="shared" si="53"/>
        <v>0</v>
      </c>
      <c r="Z50" s="78">
        <f t="shared" si="53"/>
        <v>0</v>
      </c>
      <c r="AA50" s="78">
        <f t="shared" si="53"/>
        <v>0</v>
      </c>
      <c r="AB50" s="78">
        <f t="shared" si="54"/>
        <v>0</v>
      </c>
      <c r="AC50" s="78">
        <f t="shared" si="54"/>
        <v>0</v>
      </c>
      <c r="AD50" s="78">
        <f t="shared" si="54"/>
        <v>0</v>
      </c>
      <c r="AE50" s="78">
        <f t="shared" si="55"/>
        <v>0</v>
      </c>
      <c r="AF50" s="78">
        <f t="shared" si="55"/>
        <v>0</v>
      </c>
      <c r="AG50" s="78">
        <f t="shared" si="55"/>
        <v>0</v>
      </c>
      <c r="AH50" s="78">
        <f t="shared" si="55"/>
        <v>0</v>
      </c>
      <c r="AI50" s="78">
        <f t="shared" si="56"/>
        <v>0</v>
      </c>
      <c r="AJ50" s="78">
        <f t="shared" si="56"/>
        <v>0</v>
      </c>
      <c r="AK50" s="78">
        <f t="shared" si="56"/>
        <v>0</v>
      </c>
      <c r="AL50" s="78">
        <f t="shared" si="57"/>
        <v>0</v>
      </c>
      <c r="AM50" s="78">
        <f t="shared" si="57"/>
        <v>0</v>
      </c>
      <c r="AN50" s="78">
        <f t="shared" si="57"/>
        <v>0</v>
      </c>
      <c r="AO50" s="78">
        <f t="shared" si="57"/>
        <v>0</v>
      </c>
      <c r="AP50" s="78">
        <f t="shared" si="58"/>
        <v>0</v>
      </c>
      <c r="AQ50" s="78">
        <f t="shared" si="58"/>
        <v>0</v>
      </c>
      <c r="AR50" s="78">
        <f t="shared" si="58"/>
        <v>0</v>
      </c>
      <c r="AS50" s="78">
        <f t="shared" si="59"/>
        <v>0</v>
      </c>
      <c r="AT50" s="78">
        <f t="shared" si="59"/>
        <v>0</v>
      </c>
      <c r="AU50" s="78">
        <f t="shared" si="59"/>
        <v>0</v>
      </c>
      <c r="AV50" s="78">
        <f t="shared" si="59"/>
        <v>0</v>
      </c>
      <c r="AW50" s="78">
        <f t="shared" si="60"/>
        <v>0</v>
      </c>
      <c r="AX50" s="78">
        <f t="shared" si="60"/>
        <v>0</v>
      </c>
      <c r="AY50" s="78">
        <f t="shared" si="51"/>
        <v>0</v>
      </c>
      <c r="AZ50" s="78">
        <f t="shared" si="51"/>
        <v>0</v>
      </c>
      <c r="BA50" s="78"/>
      <c r="BB50" s="78">
        <f t="shared" si="62"/>
        <v>0</v>
      </c>
      <c r="BC50" s="78">
        <f t="shared" si="18"/>
        <v>0</v>
      </c>
      <c r="BD50" s="155">
        <f t="shared" si="10"/>
        <v>0</v>
      </c>
      <c r="BE50" s="78"/>
      <c r="BF50" s="23"/>
      <c r="BO50" s="80"/>
      <c r="EH50" s="72">
        <v>1640</v>
      </c>
      <c r="EI50" s="72" t="s">
        <v>419</v>
      </c>
      <c r="HH50" s="74"/>
      <c r="HJ50" s="74"/>
      <c r="HL50" s="23">
        <f t="shared" si="52"/>
        <v>1640</v>
      </c>
      <c r="HM50" s="23"/>
    </row>
    <row r="51" spans="1:221" s="72" customFormat="1" ht="15.75">
      <c r="A51" s="72" t="s">
        <v>196</v>
      </c>
      <c r="B51" s="73">
        <v>18</v>
      </c>
      <c r="D51" s="14">
        <v>12</v>
      </c>
      <c r="E51" s="72">
        <v>6</v>
      </c>
      <c r="F51" s="72" t="s">
        <v>197</v>
      </c>
      <c r="G51" s="72" t="s">
        <v>202</v>
      </c>
      <c r="H51" s="75">
        <v>36434</v>
      </c>
      <c r="I51" s="72" t="s">
        <v>123</v>
      </c>
      <c r="J51" s="72" t="s">
        <v>136</v>
      </c>
      <c r="K51" s="73"/>
      <c r="L51" s="72" t="s">
        <v>125</v>
      </c>
      <c r="N51" s="72" t="str">
        <f t="shared" si="39"/>
        <v>18W</v>
      </c>
      <c r="O51" s="72" t="str">
        <f t="shared" si="40"/>
        <v>18WBase</v>
      </c>
      <c r="Q51" s="23">
        <f t="shared" si="61"/>
        <v>0</v>
      </c>
      <c r="R51" s="23">
        <f t="shared" si="41"/>
        <v>0</v>
      </c>
      <c r="S51" s="23"/>
      <c r="T51" s="78">
        <v>37147</v>
      </c>
      <c r="U51" s="78"/>
      <c r="V51" s="79">
        <v>0</v>
      </c>
      <c r="W51" s="78">
        <f t="shared" si="63"/>
        <v>0</v>
      </c>
      <c r="X51" s="78">
        <f t="shared" si="53"/>
        <v>0</v>
      </c>
      <c r="Y51" s="78">
        <f t="shared" si="53"/>
        <v>0</v>
      </c>
      <c r="Z51" s="78">
        <f t="shared" si="53"/>
        <v>0</v>
      </c>
      <c r="AA51" s="78">
        <f t="shared" si="53"/>
        <v>0</v>
      </c>
      <c r="AB51" s="78">
        <f t="shared" si="54"/>
        <v>0</v>
      </c>
      <c r="AC51" s="78">
        <f t="shared" si="54"/>
        <v>0</v>
      </c>
      <c r="AD51" s="78">
        <f t="shared" si="54"/>
        <v>0</v>
      </c>
      <c r="AE51" s="78">
        <f t="shared" si="55"/>
        <v>0</v>
      </c>
      <c r="AF51" s="78">
        <f t="shared" si="55"/>
        <v>0</v>
      </c>
      <c r="AG51" s="78">
        <f t="shared" si="55"/>
        <v>0</v>
      </c>
      <c r="AH51" s="78">
        <f t="shared" si="55"/>
        <v>0</v>
      </c>
      <c r="AI51" s="78">
        <f t="shared" si="56"/>
        <v>0</v>
      </c>
      <c r="AJ51" s="78">
        <f t="shared" si="56"/>
        <v>0</v>
      </c>
      <c r="AK51" s="78">
        <f t="shared" si="56"/>
        <v>0</v>
      </c>
      <c r="AL51" s="78">
        <f t="shared" si="57"/>
        <v>0</v>
      </c>
      <c r="AM51" s="78">
        <f t="shared" si="57"/>
        <v>0</v>
      </c>
      <c r="AN51" s="78">
        <f t="shared" si="57"/>
        <v>0</v>
      </c>
      <c r="AO51" s="78">
        <f t="shared" si="57"/>
        <v>0</v>
      </c>
      <c r="AP51" s="78">
        <f t="shared" si="58"/>
        <v>0</v>
      </c>
      <c r="AQ51" s="78">
        <f t="shared" si="58"/>
        <v>0</v>
      </c>
      <c r="AR51" s="78">
        <f t="shared" si="58"/>
        <v>0</v>
      </c>
      <c r="AS51" s="78">
        <f t="shared" si="59"/>
        <v>0</v>
      </c>
      <c r="AT51" s="78">
        <f t="shared" si="59"/>
        <v>0</v>
      </c>
      <c r="AU51" s="78">
        <f t="shared" si="59"/>
        <v>0</v>
      </c>
      <c r="AV51" s="78">
        <f t="shared" si="59"/>
        <v>0</v>
      </c>
      <c r="AW51" s="78">
        <f t="shared" si="60"/>
        <v>0</v>
      </c>
      <c r="AX51" s="78">
        <f t="shared" si="60"/>
        <v>0</v>
      </c>
      <c r="AY51" s="78">
        <f t="shared" si="51"/>
        <v>0</v>
      </c>
      <c r="AZ51" s="78">
        <f t="shared" si="51"/>
        <v>0</v>
      </c>
      <c r="BA51" s="78"/>
      <c r="BB51" s="78">
        <f t="shared" si="62"/>
        <v>0</v>
      </c>
      <c r="BC51" s="78">
        <f t="shared" si="18"/>
        <v>0</v>
      </c>
      <c r="BD51" s="155">
        <f t="shared" si="10"/>
        <v>0</v>
      </c>
      <c r="BE51" s="78"/>
      <c r="BF51" s="23"/>
      <c r="BO51" s="80"/>
      <c r="EH51" s="72">
        <v>220</v>
      </c>
      <c r="EI51" s="72" t="s">
        <v>420</v>
      </c>
      <c r="HH51" s="74"/>
      <c r="HJ51" s="74"/>
      <c r="HL51" s="23">
        <f t="shared" si="52"/>
        <v>220</v>
      </c>
      <c r="HM51" s="23"/>
    </row>
    <row r="52" spans="1:221" s="72" customFormat="1" ht="15.75">
      <c r="A52" s="72" t="s">
        <v>198</v>
      </c>
      <c r="B52" s="73">
        <v>73</v>
      </c>
      <c r="D52" s="14">
        <v>10</v>
      </c>
      <c r="E52" s="72">
        <v>6</v>
      </c>
      <c r="F52" s="72" t="s">
        <v>193</v>
      </c>
      <c r="G52" s="72" t="s">
        <v>156</v>
      </c>
      <c r="H52" s="75">
        <v>36336</v>
      </c>
      <c r="I52" s="72" t="s">
        <v>123</v>
      </c>
      <c r="J52" s="72" t="s">
        <v>136</v>
      </c>
      <c r="K52" s="73"/>
      <c r="L52" s="72" t="s">
        <v>125</v>
      </c>
      <c r="M52" s="56"/>
      <c r="N52" s="72" t="str">
        <f t="shared" si="39"/>
        <v>73W</v>
      </c>
      <c r="O52" s="72" t="str">
        <f t="shared" si="40"/>
        <v>73WBase</v>
      </c>
      <c r="Q52" s="23">
        <f t="shared" si="61"/>
        <v>0</v>
      </c>
      <c r="R52" s="23">
        <f t="shared" si="41"/>
        <v>0</v>
      </c>
      <c r="S52" s="23"/>
      <c r="T52" s="78">
        <v>37147</v>
      </c>
      <c r="U52" s="78"/>
      <c r="V52" s="79">
        <v>0</v>
      </c>
      <c r="W52" s="78">
        <f t="shared" si="63"/>
        <v>0</v>
      </c>
      <c r="X52" s="78">
        <f t="shared" si="53"/>
        <v>0</v>
      </c>
      <c r="Y52" s="78">
        <f t="shared" si="53"/>
        <v>0</v>
      </c>
      <c r="Z52" s="78">
        <f t="shared" si="53"/>
        <v>0</v>
      </c>
      <c r="AA52" s="78">
        <f t="shared" si="53"/>
        <v>0</v>
      </c>
      <c r="AB52" s="78">
        <f t="shared" si="54"/>
        <v>0</v>
      </c>
      <c r="AC52" s="78">
        <f t="shared" si="54"/>
        <v>0</v>
      </c>
      <c r="AD52" s="78">
        <f t="shared" si="54"/>
        <v>0</v>
      </c>
      <c r="AE52" s="78">
        <f t="shared" si="55"/>
        <v>0</v>
      </c>
      <c r="AF52" s="78">
        <f t="shared" si="55"/>
        <v>0</v>
      </c>
      <c r="AG52" s="78">
        <f t="shared" si="55"/>
        <v>0</v>
      </c>
      <c r="AH52" s="78">
        <f t="shared" si="55"/>
        <v>0</v>
      </c>
      <c r="AI52" s="78">
        <f t="shared" si="56"/>
        <v>0</v>
      </c>
      <c r="AJ52" s="78">
        <f t="shared" si="56"/>
        <v>0</v>
      </c>
      <c r="AK52" s="78">
        <f t="shared" si="56"/>
        <v>0</v>
      </c>
      <c r="AL52" s="78">
        <f t="shared" si="57"/>
        <v>0</v>
      </c>
      <c r="AM52" s="78">
        <f t="shared" si="57"/>
        <v>0</v>
      </c>
      <c r="AN52" s="78">
        <f t="shared" si="57"/>
        <v>0</v>
      </c>
      <c r="AO52" s="78">
        <f t="shared" si="57"/>
        <v>0</v>
      </c>
      <c r="AP52" s="78">
        <f t="shared" si="58"/>
        <v>0</v>
      </c>
      <c r="AQ52" s="78">
        <f t="shared" si="58"/>
        <v>0</v>
      </c>
      <c r="AR52" s="78">
        <f t="shared" si="58"/>
        <v>0</v>
      </c>
      <c r="AS52" s="78">
        <f t="shared" si="59"/>
        <v>0</v>
      </c>
      <c r="AT52" s="78">
        <f t="shared" si="59"/>
        <v>0</v>
      </c>
      <c r="AU52" s="78">
        <f t="shared" si="59"/>
        <v>0</v>
      </c>
      <c r="AV52" s="78">
        <f t="shared" si="59"/>
        <v>0</v>
      </c>
      <c r="AW52" s="78">
        <f t="shared" si="60"/>
        <v>0</v>
      </c>
      <c r="AX52" s="78">
        <f t="shared" si="60"/>
        <v>0</v>
      </c>
      <c r="AY52" s="78">
        <f t="shared" si="51"/>
        <v>0</v>
      </c>
      <c r="AZ52" s="78">
        <f t="shared" si="51"/>
        <v>0</v>
      </c>
      <c r="BA52" s="78"/>
      <c r="BB52" s="78">
        <f t="shared" si="62"/>
        <v>0</v>
      </c>
      <c r="BC52" s="78">
        <f t="shared" si="18"/>
        <v>0</v>
      </c>
      <c r="BD52" s="155">
        <f t="shared" si="10"/>
        <v>0</v>
      </c>
      <c r="BE52" s="78"/>
      <c r="BF52" s="23"/>
      <c r="BO52" s="80"/>
      <c r="HH52" s="74"/>
      <c r="HJ52" s="74"/>
      <c r="HL52" s="23">
        <f t="shared" si="52"/>
        <v>0</v>
      </c>
      <c r="HM52" s="23"/>
    </row>
    <row r="53" spans="1:221" s="72" customFormat="1" ht="15.75">
      <c r="A53" s="72" t="s">
        <v>198</v>
      </c>
      <c r="B53" s="73">
        <v>73</v>
      </c>
      <c r="D53" s="14">
        <v>10</v>
      </c>
      <c r="E53" s="72">
        <v>6</v>
      </c>
      <c r="F53" s="72" t="s">
        <v>127</v>
      </c>
      <c r="G53" s="72" t="s">
        <v>189</v>
      </c>
      <c r="H53" s="75">
        <v>36521</v>
      </c>
      <c r="I53" s="72" t="s">
        <v>123</v>
      </c>
      <c r="J53" s="72" t="s">
        <v>124</v>
      </c>
      <c r="K53" s="73"/>
      <c r="L53" s="72" t="s">
        <v>125</v>
      </c>
      <c r="M53" s="56"/>
      <c r="N53" s="72" t="str">
        <f t="shared" si="39"/>
        <v>73R</v>
      </c>
      <c r="O53" s="72" t="str">
        <f t="shared" si="40"/>
        <v>73RBase</v>
      </c>
      <c r="Q53" s="23">
        <f t="shared" si="61"/>
        <v>0</v>
      </c>
      <c r="R53" s="23">
        <f t="shared" si="41"/>
        <v>0</v>
      </c>
      <c r="S53" s="23"/>
      <c r="T53" s="78">
        <v>37147</v>
      </c>
      <c r="U53" s="78"/>
      <c r="V53" s="79">
        <v>0</v>
      </c>
      <c r="W53" s="78">
        <f t="shared" si="63"/>
        <v>0</v>
      </c>
      <c r="X53" s="78">
        <f t="shared" si="53"/>
        <v>0</v>
      </c>
      <c r="Y53" s="78">
        <f t="shared" si="53"/>
        <v>0</v>
      </c>
      <c r="Z53" s="78">
        <f t="shared" si="53"/>
        <v>0</v>
      </c>
      <c r="AA53" s="78">
        <f t="shared" si="53"/>
        <v>0</v>
      </c>
      <c r="AB53" s="78">
        <f t="shared" si="54"/>
        <v>0</v>
      </c>
      <c r="AC53" s="78">
        <f t="shared" si="54"/>
        <v>0</v>
      </c>
      <c r="AD53" s="78">
        <f t="shared" si="54"/>
        <v>0</v>
      </c>
      <c r="AE53" s="78">
        <f t="shared" si="55"/>
        <v>0</v>
      </c>
      <c r="AF53" s="78">
        <f t="shared" si="55"/>
        <v>0</v>
      </c>
      <c r="AG53" s="78">
        <f t="shared" si="55"/>
        <v>0</v>
      </c>
      <c r="AH53" s="78">
        <f t="shared" si="55"/>
        <v>0</v>
      </c>
      <c r="AI53" s="78">
        <f t="shared" si="56"/>
        <v>0</v>
      </c>
      <c r="AJ53" s="78">
        <f t="shared" si="56"/>
        <v>0</v>
      </c>
      <c r="AK53" s="78">
        <f t="shared" si="56"/>
        <v>0</v>
      </c>
      <c r="AL53" s="78">
        <f t="shared" si="57"/>
        <v>0</v>
      </c>
      <c r="AM53" s="78">
        <f t="shared" si="57"/>
        <v>0</v>
      </c>
      <c r="AN53" s="78">
        <f t="shared" si="57"/>
        <v>0</v>
      </c>
      <c r="AO53" s="78">
        <f t="shared" si="57"/>
        <v>0</v>
      </c>
      <c r="AP53" s="78">
        <f t="shared" si="58"/>
        <v>0</v>
      </c>
      <c r="AQ53" s="78">
        <f t="shared" si="58"/>
        <v>0</v>
      </c>
      <c r="AR53" s="78">
        <f t="shared" si="58"/>
        <v>0</v>
      </c>
      <c r="AS53" s="78">
        <f t="shared" si="59"/>
        <v>0</v>
      </c>
      <c r="AT53" s="78">
        <f t="shared" si="59"/>
        <v>0</v>
      </c>
      <c r="AU53" s="78">
        <f t="shared" si="59"/>
        <v>0</v>
      </c>
      <c r="AV53" s="78">
        <f t="shared" si="59"/>
        <v>0</v>
      </c>
      <c r="AW53" s="78">
        <f t="shared" si="60"/>
        <v>0</v>
      </c>
      <c r="AX53" s="78">
        <f t="shared" si="60"/>
        <v>0</v>
      </c>
      <c r="AY53" s="78">
        <f t="shared" si="51"/>
        <v>0</v>
      </c>
      <c r="AZ53" s="78">
        <f t="shared" si="51"/>
        <v>0</v>
      </c>
      <c r="BA53" s="78"/>
      <c r="BB53" s="78">
        <f t="shared" si="62"/>
        <v>0</v>
      </c>
      <c r="BC53" s="78">
        <f t="shared" si="18"/>
        <v>0</v>
      </c>
      <c r="BD53" s="155">
        <f t="shared" si="10"/>
        <v>0</v>
      </c>
      <c r="BE53" s="78"/>
      <c r="BF53" s="23"/>
      <c r="BO53" s="80"/>
      <c r="HH53" s="74"/>
      <c r="HJ53" s="74"/>
      <c r="HL53" s="23">
        <f t="shared" si="52"/>
        <v>0</v>
      </c>
      <c r="HM53" s="23"/>
    </row>
    <row r="54" spans="1:221" s="72" customFormat="1" ht="15.75">
      <c r="A54" s="72" t="s">
        <v>199</v>
      </c>
      <c r="B54" s="73">
        <v>23</v>
      </c>
      <c r="D54" s="14">
        <v>1</v>
      </c>
      <c r="E54" s="72">
        <v>7</v>
      </c>
      <c r="F54" s="72" t="s">
        <v>127</v>
      </c>
      <c r="G54" s="72" t="s">
        <v>143</v>
      </c>
      <c r="H54" s="75">
        <v>36459</v>
      </c>
      <c r="I54" s="72" t="s">
        <v>123</v>
      </c>
      <c r="J54" s="72" t="s">
        <v>124</v>
      </c>
      <c r="K54" s="73"/>
      <c r="L54" s="72" t="s">
        <v>125</v>
      </c>
      <c r="M54" s="56"/>
      <c r="N54" s="72" t="str">
        <f t="shared" si="39"/>
        <v>23R</v>
      </c>
      <c r="O54" s="72" t="str">
        <f t="shared" si="40"/>
        <v>23RBase</v>
      </c>
      <c r="Q54" s="23">
        <f t="shared" si="61"/>
        <v>0</v>
      </c>
      <c r="R54" s="23">
        <f t="shared" si="41"/>
        <v>0</v>
      </c>
      <c r="S54" s="23"/>
      <c r="T54" s="78">
        <v>37147</v>
      </c>
      <c r="U54" s="78"/>
      <c r="V54" s="79">
        <v>0</v>
      </c>
      <c r="W54" s="78">
        <f t="shared" si="63"/>
        <v>0</v>
      </c>
      <c r="X54" s="78">
        <f t="shared" si="53"/>
        <v>0</v>
      </c>
      <c r="Y54" s="78">
        <f t="shared" si="53"/>
        <v>0</v>
      </c>
      <c r="Z54" s="78">
        <f t="shared" si="53"/>
        <v>0</v>
      </c>
      <c r="AA54" s="78">
        <f t="shared" si="53"/>
        <v>0</v>
      </c>
      <c r="AB54" s="78">
        <f t="shared" si="54"/>
        <v>0</v>
      </c>
      <c r="AC54" s="78">
        <f t="shared" si="54"/>
        <v>0</v>
      </c>
      <c r="AD54" s="78">
        <f t="shared" si="54"/>
        <v>0</v>
      </c>
      <c r="AE54" s="78">
        <f t="shared" si="55"/>
        <v>0</v>
      </c>
      <c r="AF54" s="78">
        <f t="shared" si="55"/>
        <v>0</v>
      </c>
      <c r="AG54" s="78">
        <f t="shared" si="55"/>
        <v>0</v>
      </c>
      <c r="AH54" s="78">
        <f t="shared" si="55"/>
        <v>0</v>
      </c>
      <c r="AI54" s="78">
        <f t="shared" si="56"/>
        <v>0</v>
      </c>
      <c r="AJ54" s="78">
        <f t="shared" si="56"/>
        <v>0</v>
      </c>
      <c r="AK54" s="78">
        <f t="shared" si="56"/>
        <v>0</v>
      </c>
      <c r="AL54" s="78">
        <f t="shared" si="57"/>
        <v>0</v>
      </c>
      <c r="AM54" s="78">
        <f t="shared" si="57"/>
        <v>0</v>
      </c>
      <c r="AN54" s="78">
        <f t="shared" si="57"/>
        <v>0</v>
      </c>
      <c r="AO54" s="78">
        <f t="shared" si="57"/>
        <v>0</v>
      </c>
      <c r="AP54" s="78">
        <f t="shared" si="58"/>
        <v>0</v>
      </c>
      <c r="AQ54" s="78">
        <f t="shared" si="58"/>
        <v>0</v>
      </c>
      <c r="AR54" s="78">
        <f t="shared" si="58"/>
        <v>0</v>
      </c>
      <c r="AS54" s="78">
        <f t="shared" si="59"/>
        <v>0</v>
      </c>
      <c r="AT54" s="78">
        <f t="shared" si="59"/>
        <v>0</v>
      </c>
      <c r="AU54" s="78">
        <f t="shared" si="59"/>
        <v>0</v>
      </c>
      <c r="AV54" s="78">
        <f t="shared" si="59"/>
        <v>0</v>
      </c>
      <c r="AW54" s="78">
        <f t="shared" si="60"/>
        <v>0</v>
      </c>
      <c r="AX54" s="78">
        <f t="shared" si="60"/>
        <v>0</v>
      </c>
      <c r="AY54" s="78">
        <f t="shared" si="51"/>
        <v>0</v>
      </c>
      <c r="AZ54" s="78">
        <f t="shared" si="51"/>
        <v>0</v>
      </c>
      <c r="BA54" s="78"/>
      <c r="BB54" s="78">
        <f t="shared" si="62"/>
        <v>0</v>
      </c>
      <c r="BC54" s="78">
        <f t="shared" si="18"/>
        <v>0</v>
      </c>
      <c r="BD54" s="155">
        <f t="shared" si="10"/>
        <v>0</v>
      </c>
      <c r="BE54" s="78"/>
      <c r="BF54" s="23"/>
      <c r="BO54" s="80"/>
      <c r="BT54" s="72">
        <v>0</v>
      </c>
      <c r="BU54" s="72" t="s">
        <v>341</v>
      </c>
      <c r="CH54" s="72">
        <v>5945</v>
      </c>
      <c r="CI54" s="72" t="s">
        <v>372</v>
      </c>
      <c r="HH54" s="74"/>
      <c r="HJ54" s="74"/>
      <c r="HL54" s="23">
        <f t="shared" si="52"/>
        <v>5945</v>
      </c>
      <c r="HM54" s="23"/>
    </row>
    <row r="55" spans="1:221" s="72" customFormat="1" ht="15.75">
      <c r="A55" s="72" t="s">
        <v>199</v>
      </c>
      <c r="B55" s="73">
        <v>23</v>
      </c>
      <c r="D55" s="14">
        <v>3</v>
      </c>
      <c r="E55" s="72">
        <v>7</v>
      </c>
      <c r="F55" s="72" t="s">
        <v>127</v>
      </c>
      <c r="G55" s="72" t="s">
        <v>143</v>
      </c>
      <c r="H55" s="75">
        <v>36459</v>
      </c>
      <c r="I55" s="107" t="s">
        <v>200</v>
      </c>
      <c r="J55" s="72" t="s">
        <v>124</v>
      </c>
      <c r="K55" s="73"/>
      <c r="L55" s="72" t="s">
        <v>125</v>
      </c>
      <c r="N55" s="72" t="str">
        <f t="shared" si="39"/>
        <v>23R</v>
      </c>
      <c r="O55" s="72" t="str">
        <f t="shared" si="40"/>
        <v>23RSwing</v>
      </c>
      <c r="Q55" s="23">
        <f t="shared" si="61"/>
        <v>0</v>
      </c>
      <c r="R55" s="23">
        <f t="shared" si="41"/>
        <v>0</v>
      </c>
      <c r="S55" s="23"/>
      <c r="T55" s="78">
        <v>37147</v>
      </c>
      <c r="U55" s="78"/>
      <c r="V55" s="79">
        <v>0</v>
      </c>
      <c r="W55" s="78">
        <f t="shared" si="63"/>
        <v>0</v>
      </c>
      <c r="X55" s="78">
        <f t="shared" si="53"/>
        <v>0</v>
      </c>
      <c r="Y55" s="78">
        <f t="shared" si="53"/>
        <v>0</v>
      </c>
      <c r="Z55" s="78">
        <f t="shared" si="53"/>
        <v>0</v>
      </c>
      <c r="AA55" s="78">
        <f t="shared" si="53"/>
        <v>0</v>
      </c>
      <c r="AB55" s="78">
        <f t="shared" si="54"/>
        <v>0</v>
      </c>
      <c r="AC55" s="78">
        <f t="shared" si="54"/>
        <v>0</v>
      </c>
      <c r="AD55" s="78">
        <f t="shared" si="54"/>
        <v>0</v>
      </c>
      <c r="AE55" s="78">
        <f t="shared" si="55"/>
        <v>0</v>
      </c>
      <c r="AF55" s="78">
        <f t="shared" si="55"/>
        <v>0</v>
      </c>
      <c r="AG55" s="78">
        <f t="shared" si="55"/>
        <v>0</v>
      </c>
      <c r="AH55" s="78">
        <f t="shared" si="55"/>
        <v>0</v>
      </c>
      <c r="AI55" s="78">
        <f t="shared" si="56"/>
        <v>0</v>
      </c>
      <c r="AJ55" s="78">
        <f t="shared" si="56"/>
        <v>0</v>
      </c>
      <c r="AK55" s="78">
        <f t="shared" si="56"/>
        <v>0</v>
      </c>
      <c r="AL55" s="78">
        <f t="shared" si="57"/>
        <v>0</v>
      </c>
      <c r="AM55" s="78">
        <f t="shared" si="57"/>
        <v>0</v>
      </c>
      <c r="AN55" s="78">
        <f t="shared" si="57"/>
        <v>0</v>
      </c>
      <c r="AO55" s="78">
        <f t="shared" si="57"/>
        <v>0</v>
      </c>
      <c r="AP55" s="78">
        <f t="shared" si="58"/>
        <v>0</v>
      </c>
      <c r="AQ55" s="78">
        <f t="shared" si="58"/>
        <v>0</v>
      </c>
      <c r="AR55" s="78">
        <f t="shared" si="58"/>
        <v>0</v>
      </c>
      <c r="AS55" s="78">
        <f t="shared" ref="AS55:AX55" si="64">AR55</f>
        <v>0</v>
      </c>
      <c r="AT55" s="78">
        <f t="shared" si="64"/>
        <v>0</v>
      </c>
      <c r="AU55" s="78">
        <f t="shared" si="64"/>
        <v>0</v>
      </c>
      <c r="AV55" s="78">
        <f t="shared" si="64"/>
        <v>0</v>
      </c>
      <c r="AW55" s="78">
        <f t="shared" si="64"/>
        <v>0</v>
      </c>
      <c r="AX55" s="78">
        <f t="shared" si="64"/>
        <v>0</v>
      </c>
      <c r="AY55" s="78">
        <f t="shared" si="51"/>
        <v>0</v>
      </c>
      <c r="AZ55" s="78">
        <f t="shared" si="51"/>
        <v>0</v>
      </c>
      <c r="BA55" s="78"/>
      <c r="BB55" s="78">
        <f t="shared" si="62"/>
        <v>0</v>
      </c>
      <c r="BC55" s="78">
        <f t="shared" si="18"/>
        <v>0</v>
      </c>
      <c r="BD55" s="155">
        <f t="shared" si="10"/>
        <v>0</v>
      </c>
      <c r="BE55" s="78"/>
      <c r="BF55" s="23"/>
      <c r="BO55" s="80"/>
      <c r="CJ55" s="72">
        <v>2218</v>
      </c>
      <c r="CK55" s="72" t="s">
        <v>374</v>
      </c>
      <c r="HH55" s="74"/>
      <c r="HJ55" s="74"/>
      <c r="HL55" s="23">
        <f t="shared" si="52"/>
        <v>2218</v>
      </c>
      <c r="HM55" s="23"/>
    </row>
    <row r="56" spans="1:221" s="72" customFormat="1" ht="15.75">
      <c r="A56" s="72" t="s">
        <v>199</v>
      </c>
      <c r="B56" s="73">
        <v>23</v>
      </c>
      <c r="D56" s="14">
        <v>4</v>
      </c>
      <c r="E56" s="72">
        <v>7</v>
      </c>
      <c r="F56" s="72" t="s">
        <v>127</v>
      </c>
      <c r="G56" s="72" t="s">
        <v>143</v>
      </c>
      <c r="H56" s="75">
        <v>36459</v>
      </c>
      <c r="I56" s="72" t="s">
        <v>123</v>
      </c>
      <c r="J56" s="72" t="s">
        <v>124</v>
      </c>
      <c r="K56" s="73"/>
      <c r="L56" s="72" t="s">
        <v>125</v>
      </c>
      <c r="N56" s="72" t="str">
        <f t="shared" si="39"/>
        <v>23R</v>
      </c>
      <c r="O56" s="72" t="str">
        <f t="shared" si="40"/>
        <v>23RBase</v>
      </c>
      <c r="Q56" s="23">
        <f t="shared" si="61"/>
        <v>0</v>
      </c>
      <c r="R56" s="23">
        <f t="shared" si="41"/>
        <v>0</v>
      </c>
      <c r="S56" s="23"/>
      <c r="T56" s="78">
        <v>37147</v>
      </c>
      <c r="U56" s="78"/>
      <c r="V56" s="79">
        <v>0</v>
      </c>
      <c r="W56" s="78">
        <f t="shared" si="63"/>
        <v>0</v>
      </c>
      <c r="X56" s="78">
        <f t="shared" si="53"/>
        <v>0</v>
      </c>
      <c r="Y56" s="78">
        <f t="shared" si="53"/>
        <v>0</v>
      </c>
      <c r="Z56" s="78">
        <f t="shared" si="53"/>
        <v>0</v>
      </c>
      <c r="AA56" s="78">
        <f t="shared" si="53"/>
        <v>0</v>
      </c>
      <c r="AB56" s="78">
        <f t="shared" ref="AB56:AD67" si="65">AA56</f>
        <v>0</v>
      </c>
      <c r="AC56" s="78">
        <f t="shared" si="65"/>
        <v>0</v>
      </c>
      <c r="AD56" s="78">
        <f t="shared" si="65"/>
        <v>0</v>
      </c>
      <c r="AE56" s="78">
        <f t="shared" si="55"/>
        <v>0</v>
      </c>
      <c r="AF56" s="78">
        <f t="shared" si="55"/>
        <v>0</v>
      </c>
      <c r="AG56" s="78">
        <f t="shared" si="55"/>
        <v>0</v>
      </c>
      <c r="AH56" s="78">
        <f t="shared" si="55"/>
        <v>0</v>
      </c>
      <c r="AI56" s="78">
        <f t="shared" ref="AI56:AK67" si="66">AH56</f>
        <v>0</v>
      </c>
      <c r="AJ56" s="78">
        <f t="shared" si="66"/>
        <v>0</v>
      </c>
      <c r="AK56" s="78">
        <f t="shared" si="66"/>
        <v>0</v>
      </c>
      <c r="AL56" s="78">
        <f t="shared" si="57"/>
        <v>0</v>
      </c>
      <c r="AM56" s="78">
        <f t="shared" si="57"/>
        <v>0</v>
      </c>
      <c r="AN56" s="78">
        <f t="shared" si="57"/>
        <v>0</v>
      </c>
      <c r="AO56" s="78">
        <f t="shared" si="57"/>
        <v>0</v>
      </c>
      <c r="AP56" s="78">
        <f t="shared" ref="AP56:AR67" si="67">AO56</f>
        <v>0</v>
      </c>
      <c r="AQ56" s="78">
        <f t="shared" si="67"/>
        <v>0</v>
      </c>
      <c r="AR56" s="78">
        <f t="shared" si="67"/>
        <v>0</v>
      </c>
      <c r="AS56" s="78">
        <f t="shared" ref="AS56:AT67" si="68">AR56</f>
        <v>0</v>
      </c>
      <c r="AT56" s="78">
        <f t="shared" si="68"/>
        <v>0</v>
      </c>
      <c r="AU56" s="78">
        <f t="shared" ref="AU56:AU77" si="69">AT56</f>
        <v>0</v>
      </c>
      <c r="AV56" s="78">
        <f t="shared" ref="AV56:AV76" si="70">AU56</f>
        <v>0</v>
      </c>
      <c r="AW56" s="78">
        <f t="shared" ref="AW56:AX67" si="71">AV56</f>
        <v>0</v>
      </c>
      <c r="AX56" s="78">
        <f t="shared" si="71"/>
        <v>0</v>
      </c>
      <c r="AY56" s="78">
        <f t="shared" si="51"/>
        <v>0</v>
      </c>
      <c r="AZ56" s="78">
        <f t="shared" si="51"/>
        <v>0</v>
      </c>
      <c r="BA56" s="78"/>
      <c r="BB56" s="78">
        <f t="shared" si="62"/>
        <v>0</v>
      </c>
      <c r="BC56" s="78">
        <f t="shared" si="18"/>
        <v>0</v>
      </c>
      <c r="BD56" s="155">
        <f t="shared" si="10"/>
        <v>0</v>
      </c>
      <c r="BE56" s="78"/>
      <c r="BF56" s="23"/>
      <c r="BO56" s="80"/>
      <c r="BR56" s="72">
        <v>1000</v>
      </c>
      <c r="BS56" s="72" t="s">
        <v>344</v>
      </c>
      <c r="BT56" s="72">
        <v>2000</v>
      </c>
      <c r="BU56" s="72" t="s">
        <v>366</v>
      </c>
      <c r="CL56" s="72">
        <v>579</v>
      </c>
      <c r="CM56" s="72" t="s">
        <v>376</v>
      </c>
      <c r="HH56" s="74"/>
      <c r="HJ56" s="74"/>
      <c r="HL56" s="23">
        <f t="shared" si="52"/>
        <v>3579</v>
      </c>
      <c r="HM56" s="23"/>
    </row>
    <row r="57" spans="1:221" s="72" customFormat="1" ht="15.75">
      <c r="A57" s="72" t="s">
        <v>199</v>
      </c>
      <c r="B57" s="73">
        <v>23</v>
      </c>
      <c r="D57" s="14">
        <v>5</v>
      </c>
      <c r="E57" s="72">
        <v>7</v>
      </c>
      <c r="F57" s="72" t="s">
        <v>127</v>
      </c>
      <c r="G57" s="72" t="s">
        <v>143</v>
      </c>
      <c r="H57" s="75">
        <v>36459</v>
      </c>
      <c r="I57" s="72" t="s">
        <v>123</v>
      </c>
      <c r="J57" s="72" t="s">
        <v>124</v>
      </c>
      <c r="K57" s="73"/>
      <c r="L57" s="72" t="s">
        <v>125</v>
      </c>
      <c r="M57" s="56"/>
      <c r="N57" s="72" t="str">
        <f t="shared" si="39"/>
        <v>23R</v>
      </c>
      <c r="O57" s="72" t="str">
        <f t="shared" si="40"/>
        <v>23RBase</v>
      </c>
      <c r="Q57" s="23">
        <f t="shared" si="61"/>
        <v>0</v>
      </c>
      <c r="R57" s="23">
        <f t="shared" si="41"/>
        <v>0</v>
      </c>
      <c r="S57" s="23"/>
      <c r="T57" s="78">
        <v>37147</v>
      </c>
      <c r="U57" s="78"/>
      <c r="V57" s="79">
        <v>0</v>
      </c>
      <c r="W57" s="78">
        <f t="shared" si="63"/>
        <v>0</v>
      </c>
      <c r="X57" s="78">
        <f t="shared" ref="X57:AA67" si="72">W57</f>
        <v>0</v>
      </c>
      <c r="Y57" s="78">
        <f t="shared" si="72"/>
        <v>0</v>
      </c>
      <c r="Z57" s="78">
        <f t="shared" si="72"/>
        <v>0</v>
      </c>
      <c r="AA57" s="78">
        <f t="shared" si="72"/>
        <v>0</v>
      </c>
      <c r="AB57" s="78">
        <f t="shared" si="65"/>
        <v>0</v>
      </c>
      <c r="AC57" s="78">
        <f t="shared" si="65"/>
        <v>0</v>
      </c>
      <c r="AD57" s="78">
        <f t="shared" si="65"/>
        <v>0</v>
      </c>
      <c r="AE57" s="78">
        <f t="shared" ref="AE57:AH67" si="73">AD57</f>
        <v>0</v>
      </c>
      <c r="AF57" s="78">
        <f t="shared" si="73"/>
        <v>0</v>
      </c>
      <c r="AG57" s="78">
        <f t="shared" si="73"/>
        <v>0</v>
      </c>
      <c r="AH57" s="78">
        <f t="shared" si="73"/>
        <v>0</v>
      </c>
      <c r="AI57" s="78">
        <f t="shared" si="66"/>
        <v>0</v>
      </c>
      <c r="AJ57" s="78">
        <f t="shared" si="66"/>
        <v>0</v>
      </c>
      <c r="AK57" s="78">
        <f t="shared" si="66"/>
        <v>0</v>
      </c>
      <c r="AL57" s="78">
        <f t="shared" ref="AL57:AO67" si="74">AK57</f>
        <v>0</v>
      </c>
      <c r="AM57" s="78">
        <f t="shared" si="74"/>
        <v>0</v>
      </c>
      <c r="AN57" s="78">
        <f t="shared" si="74"/>
        <v>0</v>
      </c>
      <c r="AO57" s="78">
        <f t="shared" si="74"/>
        <v>0</v>
      </c>
      <c r="AP57" s="78">
        <f t="shared" si="67"/>
        <v>0</v>
      </c>
      <c r="AQ57" s="78">
        <f t="shared" si="67"/>
        <v>0</v>
      </c>
      <c r="AR57" s="78">
        <f t="shared" si="67"/>
        <v>0</v>
      </c>
      <c r="AS57" s="78">
        <f t="shared" si="68"/>
        <v>0</v>
      </c>
      <c r="AT57" s="78">
        <f t="shared" si="68"/>
        <v>0</v>
      </c>
      <c r="AU57" s="78">
        <f t="shared" si="69"/>
        <v>0</v>
      </c>
      <c r="AV57" s="78">
        <f t="shared" si="70"/>
        <v>0</v>
      </c>
      <c r="AW57" s="78">
        <f t="shared" si="71"/>
        <v>0</v>
      </c>
      <c r="AX57" s="78">
        <f t="shared" si="71"/>
        <v>0</v>
      </c>
      <c r="AY57" s="78">
        <f t="shared" si="51"/>
        <v>0</v>
      </c>
      <c r="AZ57" s="78">
        <f t="shared" si="51"/>
        <v>0</v>
      </c>
      <c r="BA57" s="78"/>
      <c r="BB57" s="78">
        <f t="shared" si="62"/>
        <v>0</v>
      </c>
      <c r="BC57" s="78">
        <f t="shared" si="18"/>
        <v>0</v>
      </c>
      <c r="BD57" s="155">
        <f t="shared" si="10"/>
        <v>0</v>
      </c>
      <c r="BE57" s="78"/>
      <c r="BF57" s="23"/>
      <c r="BO57" s="80"/>
      <c r="CN57" s="72">
        <v>6809</v>
      </c>
      <c r="CO57" s="72" t="s">
        <v>378</v>
      </c>
      <c r="GQ57" s="72" t="s">
        <v>181</v>
      </c>
      <c r="HH57" s="74"/>
      <c r="HJ57" s="74"/>
      <c r="HL57" s="23">
        <f t="shared" si="52"/>
        <v>6809</v>
      </c>
      <c r="HM57" s="23"/>
    </row>
    <row r="58" spans="1:221" s="72" customFormat="1" ht="15.75">
      <c r="A58" s="72" t="s">
        <v>199</v>
      </c>
      <c r="B58" s="73">
        <v>23</v>
      </c>
      <c r="D58" s="14">
        <v>6</v>
      </c>
      <c r="E58" s="72">
        <v>7</v>
      </c>
      <c r="F58" s="72" t="s">
        <v>127</v>
      </c>
      <c r="G58" s="72" t="s">
        <v>143</v>
      </c>
      <c r="H58" s="75">
        <v>36459</v>
      </c>
      <c r="I58" s="72" t="s">
        <v>123</v>
      </c>
      <c r="J58" s="72" t="s">
        <v>124</v>
      </c>
      <c r="K58" s="73"/>
      <c r="L58" s="72" t="s">
        <v>125</v>
      </c>
      <c r="M58" s="56"/>
      <c r="N58" s="72" t="str">
        <f t="shared" si="39"/>
        <v>23R</v>
      </c>
      <c r="O58" s="72" t="str">
        <f t="shared" si="40"/>
        <v>23RBase</v>
      </c>
      <c r="Q58" s="23">
        <f t="shared" si="61"/>
        <v>0</v>
      </c>
      <c r="R58" s="23">
        <f t="shared" si="41"/>
        <v>0</v>
      </c>
      <c r="S58" s="23"/>
      <c r="T58" s="78">
        <v>37147</v>
      </c>
      <c r="U58" s="78"/>
      <c r="V58" s="79">
        <v>0</v>
      </c>
      <c r="W58" s="78">
        <f t="shared" si="63"/>
        <v>0</v>
      </c>
      <c r="X58" s="78">
        <f t="shared" si="72"/>
        <v>0</v>
      </c>
      <c r="Y58" s="78">
        <f t="shared" si="72"/>
        <v>0</v>
      </c>
      <c r="Z58" s="78">
        <f t="shared" si="72"/>
        <v>0</v>
      </c>
      <c r="AA58" s="78">
        <f t="shared" si="72"/>
        <v>0</v>
      </c>
      <c r="AB58" s="78">
        <f t="shared" si="65"/>
        <v>0</v>
      </c>
      <c r="AC58" s="78">
        <f t="shared" si="65"/>
        <v>0</v>
      </c>
      <c r="AD58" s="78">
        <f t="shared" si="65"/>
        <v>0</v>
      </c>
      <c r="AE58" s="78">
        <f t="shared" si="73"/>
        <v>0</v>
      </c>
      <c r="AF58" s="78">
        <f t="shared" si="73"/>
        <v>0</v>
      </c>
      <c r="AG58" s="78">
        <f t="shared" si="73"/>
        <v>0</v>
      </c>
      <c r="AH58" s="78">
        <f t="shared" si="73"/>
        <v>0</v>
      </c>
      <c r="AI58" s="78">
        <f t="shared" si="66"/>
        <v>0</v>
      </c>
      <c r="AJ58" s="78">
        <f t="shared" si="66"/>
        <v>0</v>
      </c>
      <c r="AK58" s="78">
        <f t="shared" si="66"/>
        <v>0</v>
      </c>
      <c r="AL58" s="78">
        <f t="shared" si="74"/>
        <v>0</v>
      </c>
      <c r="AM58" s="78">
        <f t="shared" si="74"/>
        <v>0</v>
      </c>
      <c r="AN58" s="78">
        <f t="shared" si="74"/>
        <v>0</v>
      </c>
      <c r="AO58" s="78">
        <f t="shared" si="74"/>
        <v>0</v>
      </c>
      <c r="AP58" s="78">
        <f t="shared" si="67"/>
        <v>0</v>
      </c>
      <c r="AQ58" s="78">
        <f t="shared" si="67"/>
        <v>0</v>
      </c>
      <c r="AR58" s="78">
        <f t="shared" si="67"/>
        <v>0</v>
      </c>
      <c r="AS58" s="78">
        <f t="shared" si="68"/>
        <v>0</v>
      </c>
      <c r="AT58" s="78">
        <f t="shared" si="68"/>
        <v>0</v>
      </c>
      <c r="AU58" s="78">
        <f t="shared" si="69"/>
        <v>0</v>
      </c>
      <c r="AV58" s="78">
        <f t="shared" si="70"/>
        <v>0</v>
      </c>
      <c r="AW58" s="78">
        <f t="shared" si="71"/>
        <v>0</v>
      </c>
      <c r="AX58" s="78">
        <f t="shared" si="71"/>
        <v>0</v>
      </c>
      <c r="AY58" s="78">
        <f t="shared" si="51"/>
        <v>0</v>
      </c>
      <c r="AZ58" s="78">
        <f t="shared" si="51"/>
        <v>0</v>
      </c>
      <c r="BA58" s="78"/>
      <c r="BB58" s="78">
        <f t="shared" si="62"/>
        <v>0</v>
      </c>
      <c r="BC58" s="78">
        <f t="shared" si="18"/>
        <v>0</v>
      </c>
      <c r="BD58" s="155">
        <f t="shared" si="10"/>
        <v>0</v>
      </c>
      <c r="BE58" s="78"/>
      <c r="BF58" s="23"/>
      <c r="BK58" s="72">
        <v>569</v>
      </c>
      <c r="BN58" s="72">
        <v>0</v>
      </c>
      <c r="BO58" s="80" t="s">
        <v>337</v>
      </c>
      <c r="HH58" s="74"/>
      <c r="HJ58" s="74"/>
      <c r="HL58" s="23">
        <f t="shared" si="52"/>
        <v>569</v>
      </c>
      <c r="HM58" s="23"/>
    </row>
    <row r="59" spans="1:221" s="72" customFormat="1" ht="15.75">
      <c r="A59" s="72" t="s">
        <v>199</v>
      </c>
      <c r="B59" s="73">
        <v>23</v>
      </c>
      <c r="D59" s="14">
        <v>8</v>
      </c>
      <c r="E59" s="72">
        <v>7</v>
      </c>
      <c r="F59" s="72" t="s">
        <v>127</v>
      </c>
      <c r="G59" s="72" t="s">
        <v>143</v>
      </c>
      <c r="H59" s="75">
        <v>36459</v>
      </c>
      <c r="I59" s="72" t="s">
        <v>123</v>
      </c>
      <c r="J59" s="72" t="s">
        <v>124</v>
      </c>
      <c r="K59" s="73"/>
      <c r="L59" s="72" t="s">
        <v>125</v>
      </c>
      <c r="M59" s="56"/>
      <c r="N59" s="72" t="str">
        <f t="shared" si="39"/>
        <v>23R</v>
      </c>
      <c r="O59" s="72" t="str">
        <f t="shared" si="40"/>
        <v>23RBase</v>
      </c>
      <c r="Q59" s="23">
        <f t="shared" si="61"/>
        <v>0</v>
      </c>
      <c r="R59" s="23">
        <f t="shared" si="41"/>
        <v>0</v>
      </c>
      <c r="S59" s="23"/>
      <c r="T59" s="78">
        <v>37147</v>
      </c>
      <c r="U59" s="78"/>
      <c r="V59" s="79">
        <v>0</v>
      </c>
      <c r="W59" s="78">
        <f t="shared" si="63"/>
        <v>0</v>
      </c>
      <c r="X59" s="78">
        <f t="shared" si="72"/>
        <v>0</v>
      </c>
      <c r="Y59" s="78">
        <f t="shared" si="72"/>
        <v>0</v>
      </c>
      <c r="Z59" s="78">
        <f t="shared" si="72"/>
        <v>0</v>
      </c>
      <c r="AA59" s="78">
        <f t="shared" si="72"/>
        <v>0</v>
      </c>
      <c r="AB59" s="78">
        <f t="shared" si="65"/>
        <v>0</v>
      </c>
      <c r="AC59" s="78">
        <f t="shared" si="65"/>
        <v>0</v>
      </c>
      <c r="AD59" s="78">
        <f t="shared" si="65"/>
        <v>0</v>
      </c>
      <c r="AE59" s="78">
        <f t="shared" si="73"/>
        <v>0</v>
      </c>
      <c r="AF59" s="78">
        <f t="shared" si="73"/>
        <v>0</v>
      </c>
      <c r="AG59" s="78">
        <f t="shared" si="73"/>
        <v>0</v>
      </c>
      <c r="AH59" s="78">
        <f t="shared" si="73"/>
        <v>0</v>
      </c>
      <c r="AI59" s="78">
        <f t="shared" si="66"/>
        <v>0</v>
      </c>
      <c r="AJ59" s="78">
        <f t="shared" si="66"/>
        <v>0</v>
      </c>
      <c r="AK59" s="78">
        <f t="shared" si="66"/>
        <v>0</v>
      </c>
      <c r="AL59" s="78">
        <f t="shared" si="74"/>
        <v>0</v>
      </c>
      <c r="AM59" s="78">
        <f t="shared" si="74"/>
        <v>0</v>
      </c>
      <c r="AN59" s="78">
        <f t="shared" si="74"/>
        <v>0</v>
      </c>
      <c r="AO59" s="78">
        <f t="shared" si="74"/>
        <v>0</v>
      </c>
      <c r="AP59" s="78">
        <f t="shared" si="67"/>
        <v>0</v>
      </c>
      <c r="AQ59" s="78">
        <f t="shared" si="67"/>
        <v>0</v>
      </c>
      <c r="AR59" s="78">
        <f t="shared" si="67"/>
        <v>0</v>
      </c>
      <c r="AS59" s="78">
        <f t="shared" si="68"/>
        <v>0</v>
      </c>
      <c r="AT59" s="78">
        <f t="shared" si="68"/>
        <v>0</v>
      </c>
      <c r="AU59" s="78">
        <f t="shared" si="69"/>
        <v>0</v>
      </c>
      <c r="AV59" s="78">
        <f t="shared" si="70"/>
        <v>0</v>
      </c>
      <c r="AW59" s="78">
        <f t="shared" si="71"/>
        <v>0</v>
      </c>
      <c r="AX59" s="78">
        <f t="shared" si="71"/>
        <v>0</v>
      </c>
      <c r="AY59" s="78">
        <f t="shared" si="51"/>
        <v>0</v>
      </c>
      <c r="AZ59" s="78">
        <f t="shared" si="51"/>
        <v>0</v>
      </c>
      <c r="BA59" s="78"/>
      <c r="BB59" s="78">
        <f t="shared" si="62"/>
        <v>0</v>
      </c>
      <c r="BC59" s="78">
        <f t="shared" si="18"/>
        <v>0</v>
      </c>
      <c r="BD59" s="155">
        <f t="shared" si="10"/>
        <v>0</v>
      </c>
      <c r="BE59" s="78"/>
      <c r="BF59" s="23"/>
      <c r="BN59" s="72">
        <v>0</v>
      </c>
      <c r="BO59" s="80" t="s">
        <v>338</v>
      </c>
      <c r="CS59" s="72" t="s">
        <v>201</v>
      </c>
      <c r="GJ59" s="72">
        <v>2384</v>
      </c>
      <c r="GK59" s="72" t="s">
        <v>342</v>
      </c>
      <c r="HH59" s="74"/>
      <c r="HJ59" s="74"/>
      <c r="HL59" s="23">
        <f t="shared" si="52"/>
        <v>2384</v>
      </c>
      <c r="HM59" s="23"/>
    </row>
    <row r="60" spans="1:221" s="72" customFormat="1" ht="15.75">
      <c r="A60" s="72" t="s">
        <v>199</v>
      </c>
      <c r="B60" s="73">
        <v>23</v>
      </c>
      <c r="D60" s="14">
        <v>9</v>
      </c>
      <c r="E60" s="72">
        <v>7</v>
      </c>
      <c r="F60" s="72" t="s">
        <v>127</v>
      </c>
      <c r="G60" s="72" t="s">
        <v>143</v>
      </c>
      <c r="H60" s="75">
        <v>36459</v>
      </c>
      <c r="I60" s="72" t="s">
        <v>123</v>
      </c>
      <c r="J60" s="72" t="s">
        <v>124</v>
      </c>
      <c r="K60" s="73"/>
      <c r="L60" s="72" t="s">
        <v>125</v>
      </c>
      <c r="N60" s="72" t="str">
        <f t="shared" si="39"/>
        <v>23R</v>
      </c>
      <c r="O60" s="72" t="str">
        <f t="shared" si="40"/>
        <v>23RBase</v>
      </c>
      <c r="Q60" s="23">
        <f t="shared" si="61"/>
        <v>0</v>
      </c>
      <c r="R60" s="23">
        <f t="shared" si="41"/>
        <v>0</v>
      </c>
      <c r="S60" s="23"/>
      <c r="T60" s="78">
        <v>37147</v>
      </c>
      <c r="U60" s="78"/>
      <c r="V60" s="79">
        <v>0</v>
      </c>
      <c r="W60" s="78">
        <f t="shared" si="63"/>
        <v>0</v>
      </c>
      <c r="X60" s="78">
        <f t="shared" si="72"/>
        <v>0</v>
      </c>
      <c r="Y60" s="78">
        <f t="shared" si="72"/>
        <v>0</v>
      </c>
      <c r="Z60" s="78">
        <f t="shared" si="72"/>
        <v>0</v>
      </c>
      <c r="AA60" s="78">
        <f t="shared" si="72"/>
        <v>0</v>
      </c>
      <c r="AB60" s="78">
        <f t="shared" si="65"/>
        <v>0</v>
      </c>
      <c r="AC60" s="78">
        <f t="shared" si="65"/>
        <v>0</v>
      </c>
      <c r="AD60" s="78">
        <f t="shared" si="65"/>
        <v>0</v>
      </c>
      <c r="AE60" s="78">
        <f t="shared" si="73"/>
        <v>0</v>
      </c>
      <c r="AF60" s="78">
        <f t="shared" si="73"/>
        <v>0</v>
      </c>
      <c r="AG60" s="78">
        <f t="shared" si="73"/>
        <v>0</v>
      </c>
      <c r="AH60" s="78">
        <f t="shared" si="73"/>
        <v>0</v>
      </c>
      <c r="AI60" s="78">
        <f t="shared" si="66"/>
        <v>0</v>
      </c>
      <c r="AJ60" s="78">
        <f t="shared" si="66"/>
        <v>0</v>
      </c>
      <c r="AK60" s="78">
        <f t="shared" si="66"/>
        <v>0</v>
      </c>
      <c r="AL60" s="78">
        <f t="shared" si="74"/>
        <v>0</v>
      </c>
      <c r="AM60" s="78">
        <f t="shared" si="74"/>
        <v>0</v>
      </c>
      <c r="AN60" s="78">
        <f t="shared" si="74"/>
        <v>0</v>
      </c>
      <c r="AO60" s="78">
        <f t="shared" si="74"/>
        <v>0</v>
      </c>
      <c r="AP60" s="78">
        <f t="shared" si="67"/>
        <v>0</v>
      </c>
      <c r="AQ60" s="78">
        <f t="shared" si="67"/>
        <v>0</v>
      </c>
      <c r="AR60" s="78">
        <f t="shared" si="67"/>
        <v>0</v>
      </c>
      <c r="AS60" s="78">
        <f t="shared" si="68"/>
        <v>0</v>
      </c>
      <c r="AT60" s="78">
        <f t="shared" si="68"/>
        <v>0</v>
      </c>
      <c r="AU60" s="78">
        <f t="shared" si="69"/>
        <v>0</v>
      </c>
      <c r="AV60" s="78">
        <f t="shared" si="70"/>
        <v>0</v>
      </c>
      <c r="AW60" s="78">
        <f t="shared" si="71"/>
        <v>0</v>
      </c>
      <c r="AX60" s="78">
        <f t="shared" si="71"/>
        <v>0</v>
      </c>
      <c r="AY60" s="78">
        <f t="shared" ref="AY60:AZ79" si="75">AX60</f>
        <v>0</v>
      </c>
      <c r="AZ60" s="78">
        <f t="shared" si="75"/>
        <v>0</v>
      </c>
      <c r="BA60" s="78"/>
      <c r="BB60" s="78">
        <f t="shared" si="62"/>
        <v>0</v>
      </c>
      <c r="BC60" s="78">
        <f t="shared" si="18"/>
        <v>0</v>
      </c>
      <c r="BD60" s="155">
        <f t="shared" si="10"/>
        <v>0</v>
      </c>
      <c r="BE60" s="78"/>
      <c r="BF60" s="23"/>
      <c r="BN60" s="72">
        <v>0</v>
      </c>
      <c r="BO60" s="108" t="s">
        <v>339</v>
      </c>
      <c r="BQ60" s="72" t="s">
        <v>340</v>
      </c>
      <c r="BV60" s="72">
        <v>2000</v>
      </c>
      <c r="BW60" s="72" t="s">
        <v>367</v>
      </c>
      <c r="CS60" s="72" t="s">
        <v>128</v>
      </c>
      <c r="GJ60" s="72">
        <v>3612</v>
      </c>
      <c r="GK60" s="72" t="s">
        <v>343</v>
      </c>
      <c r="HH60" s="74"/>
      <c r="HJ60" s="74"/>
      <c r="HL60" s="23">
        <f t="shared" si="52"/>
        <v>5612</v>
      </c>
      <c r="HM60" s="23"/>
    </row>
    <row r="61" spans="1:221" s="72" customFormat="1" ht="15.75">
      <c r="A61" s="72" t="s">
        <v>199</v>
      </c>
      <c r="B61" s="73">
        <v>23</v>
      </c>
      <c r="D61" s="14">
        <v>1</v>
      </c>
      <c r="E61" s="72">
        <v>7</v>
      </c>
      <c r="F61" s="72" t="s">
        <v>166</v>
      </c>
      <c r="G61" s="72" t="s">
        <v>143</v>
      </c>
      <c r="H61" s="75">
        <v>36459</v>
      </c>
      <c r="I61" s="72" t="s">
        <v>123</v>
      </c>
      <c r="J61" s="72" t="s">
        <v>124</v>
      </c>
      <c r="K61" s="73"/>
      <c r="L61" s="72" t="s">
        <v>125</v>
      </c>
      <c r="N61" s="72" t="str">
        <f t="shared" si="39"/>
        <v>23R</v>
      </c>
      <c r="O61" s="72" t="str">
        <f t="shared" si="40"/>
        <v>23RBase</v>
      </c>
      <c r="Q61" s="23">
        <f t="shared" si="61"/>
        <v>0</v>
      </c>
      <c r="R61" s="23">
        <f t="shared" si="41"/>
        <v>0</v>
      </c>
      <c r="S61" s="23"/>
      <c r="T61" s="78">
        <v>37147</v>
      </c>
      <c r="U61" s="78"/>
      <c r="V61" s="79">
        <v>0</v>
      </c>
      <c r="W61" s="78">
        <f t="shared" si="63"/>
        <v>0</v>
      </c>
      <c r="X61" s="78">
        <f t="shared" si="72"/>
        <v>0</v>
      </c>
      <c r="Y61" s="78">
        <f t="shared" si="72"/>
        <v>0</v>
      </c>
      <c r="Z61" s="78">
        <f t="shared" si="72"/>
        <v>0</v>
      </c>
      <c r="AA61" s="78">
        <f t="shared" si="72"/>
        <v>0</v>
      </c>
      <c r="AB61" s="78">
        <f t="shared" si="65"/>
        <v>0</v>
      </c>
      <c r="AC61" s="78">
        <f t="shared" si="65"/>
        <v>0</v>
      </c>
      <c r="AD61" s="78">
        <f t="shared" si="65"/>
        <v>0</v>
      </c>
      <c r="AE61" s="78">
        <f t="shared" si="73"/>
        <v>0</v>
      </c>
      <c r="AF61" s="78">
        <f t="shared" si="73"/>
        <v>0</v>
      </c>
      <c r="AG61" s="78">
        <f t="shared" si="73"/>
        <v>0</v>
      </c>
      <c r="AH61" s="78">
        <f t="shared" si="73"/>
        <v>0</v>
      </c>
      <c r="AI61" s="78">
        <f t="shared" si="66"/>
        <v>0</v>
      </c>
      <c r="AJ61" s="78">
        <f t="shared" si="66"/>
        <v>0</v>
      </c>
      <c r="AK61" s="78">
        <f t="shared" si="66"/>
        <v>0</v>
      </c>
      <c r="AL61" s="78">
        <f t="shared" si="74"/>
        <v>0</v>
      </c>
      <c r="AM61" s="78">
        <f t="shared" si="74"/>
        <v>0</v>
      </c>
      <c r="AN61" s="78">
        <f t="shared" si="74"/>
        <v>0</v>
      </c>
      <c r="AO61" s="78">
        <f t="shared" si="74"/>
        <v>0</v>
      </c>
      <c r="AP61" s="78">
        <f t="shared" si="67"/>
        <v>0</v>
      </c>
      <c r="AQ61" s="78">
        <f t="shared" si="67"/>
        <v>0</v>
      </c>
      <c r="AR61" s="78">
        <f t="shared" si="67"/>
        <v>0</v>
      </c>
      <c r="AS61" s="78">
        <f t="shared" si="68"/>
        <v>0</v>
      </c>
      <c r="AT61" s="78">
        <f t="shared" si="68"/>
        <v>0</v>
      </c>
      <c r="AU61" s="78">
        <f t="shared" si="69"/>
        <v>0</v>
      </c>
      <c r="AV61" s="78">
        <f t="shared" si="70"/>
        <v>0</v>
      </c>
      <c r="AW61" s="78">
        <f t="shared" si="71"/>
        <v>0</v>
      </c>
      <c r="AX61" s="78">
        <f t="shared" si="71"/>
        <v>0</v>
      </c>
      <c r="AY61" s="78">
        <f t="shared" si="75"/>
        <v>0</v>
      </c>
      <c r="AZ61" s="78">
        <f t="shared" si="75"/>
        <v>0</v>
      </c>
      <c r="BA61" s="78"/>
      <c r="BB61" s="78">
        <f t="shared" si="62"/>
        <v>0</v>
      </c>
      <c r="BC61" s="78">
        <f t="shared" si="18"/>
        <v>0</v>
      </c>
      <c r="BD61" s="155">
        <f t="shared" si="10"/>
        <v>0</v>
      </c>
      <c r="BE61" s="78"/>
      <c r="BF61" s="23"/>
      <c r="BO61" s="80"/>
      <c r="CH61" s="72">
        <v>25307</v>
      </c>
      <c r="CI61" s="72" t="s">
        <v>373</v>
      </c>
      <c r="HH61" s="74"/>
      <c r="HJ61" s="74"/>
      <c r="HL61" s="23">
        <f t="shared" si="52"/>
        <v>25307</v>
      </c>
      <c r="HM61" s="23"/>
    </row>
    <row r="62" spans="1:221" s="72" customFormat="1" ht="15.75">
      <c r="A62" s="72" t="s">
        <v>199</v>
      </c>
      <c r="B62" s="73">
        <v>23</v>
      </c>
      <c r="D62" s="14">
        <v>3</v>
      </c>
      <c r="E62" s="72">
        <v>7</v>
      </c>
      <c r="F62" s="72" t="s">
        <v>166</v>
      </c>
      <c r="G62" s="72" t="s">
        <v>143</v>
      </c>
      <c r="H62" s="75">
        <v>36459</v>
      </c>
      <c r="I62" s="72" t="s">
        <v>123</v>
      </c>
      <c r="J62" s="72" t="s">
        <v>124</v>
      </c>
      <c r="K62" s="73"/>
      <c r="L62" s="72" t="s">
        <v>125</v>
      </c>
      <c r="M62" s="56"/>
      <c r="N62" s="72" t="str">
        <f t="shared" ref="N62:N81" si="76">CONCATENATE(B62,J62)</f>
        <v>23R</v>
      </c>
      <c r="O62" s="72" t="str">
        <f t="shared" ref="O62:O82" si="77">CONCATENATE(B62,J62,I62)</f>
        <v>23RBase</v>
      </c>
      <c r="Q62" s="23">
        <f t="shared" si="61"/>
        <v>0</v>
      </c>
      <c r="R62" s="23">
        <f t="shared" ref="R62:R82" si="78">+Q62</f>
        <v>0</v>
      </c>
      <c r="S62" s="23"/>
      <c r="T62" s="78">
        <v>37147</v>
      </c>
      <c r="U62" s="78"/>
      <c r="V62" s="79">
        <v>0</v>
      </c>
      <c r="W62" s="78">
        <f t="shared" si="63"/>
        <v>0</v>
      </c>
      <c r="X62" s="78">
        <f t="shared" si="72"/>
        <v>0</v>
      </c>
      <c r="Y62" s="78">
        <f t="shared" si="72"/>
        <v>0</v>
      </c>
      <c r="Z62" s="78">
        <f t="shared" si="72"/>
        <v>0</v>
      </c>
      <c r="AA62" s="78">
        <f t="shared" si="72"/>
        <v>0</v>
      </c>
      <c r="AB62" s="78">
        <f t="shared" si="65"/>
        <v>0</v>
      </c>
      <c r="AC62" s="78">
        <f t="shared" si="65"/>
        <v>0</v>
      </c>
      <c r="AD62" s="78">
        <f t="shared" si="65"/>
        <v>0</v>
      </c>
      <c r="AE62" s="78">
        <f t="shared" si="73"/>
        <v>0</v>
      </c>
      <c r="AF62" s="78">
        <f t="shared" si="73"/>
        <v>0</v>
      </c>
      <c r="AG62" s="78">
        <f t="shared" si="73"/>
        <v>0</v>
      </c>
      <c r="AH62" s="78">
        <f t="shared" si="73"/>
        <v>0</v>
      </c>
      <c r="AI62" s="78">
        <f t="shared" si="66"/>
        <v>0</v>
      </c>
      <c r="AJ62" s="78">
        <f t="shared" si="66"/>
        <v>0</v>
      </c>
      <c r="AK62" s="78">
        <f t="shared" si="66"/>
        <v>0</v>
      </c>
      <c r="AL62" s="78">
        <f t="shared" si="74"/>
        <v>0</v>
      </c>
      <c r="AM62" s="78">
        <f t="shared" si="74"/>
        <v>0</v>
      </c>
      <c r="AN62" s="78">
        <f t="shared" si="74"/>
        <v>0</v>
      </c>
      <c r="AO62" s="78">
        <f t="shared" si="74"/>
        <v>0</v>
      </c>
      <c r="AP62" s="78">
        <f t="shared" si="67"/>
        <v>0</v>
      </c>
      <c r="AQ62" s="78">
        <f t="shared" si="67"/>
        <v>0</v>
      </c>
      <c r="AR62" s="78">
        <f t="shared" si="67"/>
        <v>0</v>
      </c>
      <c r="AS62" s="78">
        <f t="shared" si="68"/>
        <v>0</v>
      </c>
      <c r="AT62" s="78">
        <f t="shared" si="68"/>
        <v>0</v>
      </c>
      <c r="AU62" s="78">
        <f t="shared" si="69"/>
        <v>0</v>
      </c>
      <c r="AV62" s="78">
        <f t="shared" si="70"/>
        <v>0</v>
      </c>
      <c r="AW62" s="78">
        <f t="shared" si="71"/>
        <v>0</v>
      </c>
      <c r="AX62" s="78">
        <f t="shared" si="71"/>
        <v>0</v>
      </c>
      <c r="AY62" s="78">
        <f t="shared" si="75"/>
        <v>0</v>
      </c>
      <c r="AZ62" s="78">
        <f t="shared" si="75"/>
        <v>0</v>
      </c>
      <c r="BA62" s="78"/>
      <c r="BB62" s="78">
        <f t="shared" si="62"/>
        <v>0</v>
      </c>
      <c r="BC62" s="78">
        <f t="shared" si="18"/>
        <v>0</v>
      </c>
      <c r="BD62" s="155">
        <f t="shared" si="10"/>
        <v>0</v>
      </c>
      <c r="BE62" s="78"/>
      <c r="BF62" s="23"/>
      <c r="BO62" s="80"/>
      <c r="CJ62" s="72">
        <v>3778</v>
      </c>
      <c r="CK62" s="72" t="s">
        <v>375</v>
      </c>
      <c r="HH62" s="74"/>
      <c r="HJ62" s="74"/>
      <c r="HL62" s="23">
        <f t="shared" si="52"/>
        <v>3778</v>
      </c>
      <c r="HM62" s="23"/>
    </row>
    <row r="63" spans="1:221" s="72" customFormat="1" ht="15.75">
      <c r="A63" s="72" t="s">
        <v>199</v>
      </c>
      <c r="B63" s="73">
        <v>23</v>
      </c>
      <c r="D63" s="14">
        <v>4</v>
      </c>
      <c r="E63" s="72">
        <v>7</v>
      </c>
      <c r="F63" s="72" t="s">
        <v>166</v>
      </c>
      <c r="G63" s="72" t="s">
        <v>143</v>
      </c>
      <c r="H63" s="75">
        <v>36459</v>
      </c>
      <c r="I63" s="72" t="s">
        <v>123</v>
      </c>
      <c r="J63" s="72" t="s">
        <v>124</v>
      </c>
      <c r="K63" s="73"/>
      <c r="L63" s="72" t="s">
        <v>125</v>
      </c>
      <c r="M63" s="56"/>
      <c r="N63" s="72" t="str">
        <f t="shared" si="76"/>
        <v>23R</v>
      </c>
      <c r="O63" s="72" t="str">
        <f t="shared" si="77"/>
        <v>23RBase</v>
      </c>
      <c r="Q63" s="23">
        <f t="shared" si="61"/>
        <v>0</v>
      </c>
      <c r="R63" s="23">
        <f t="shared" si="78"/>
        <v>0</v>
      </c>
      <c r="S63" s="23"/>
      <c r="T63" s="78">
        <v>37147</v>
      </c>
      <c r="U63" s="78"/>
      <c r="V63" s="79">
        <v>0</v>
      </c>
      <c r="W63" s="78">
        <f t="shared" si="63"/>
        <v>0</v>
      </c>
      <c r="X63" s="78">
        <f t="shared" si="72"/>
        <v>0</v>
      </c>
      <c r="Y63" s="78">
        <f t="shared" si="72"/>
        <v>0</v>
      </c>
      <c r="Z63" s="78">
        <f t="shared" si="72"/>
        <v>0</v>
      </c>
      <c r="AA63" s="78">
        <f t="shared" si="72"/>
        <v>0</v>
      </c>
      <c r="AB63" s="78">
        <f t="shared" si="65"/>
        <v>0</v>
      </c>
      <c r="AC63" s="78">
        <f t="shared" si="65"/>
        <v>0</v>
      </c>
      <c r="AD63" s="78">
        <f t="shared" si="65"/>
        <v>0</v>
      </c>
      <c r="AE63" s="78">
        <f t="shared" si="73"/>
        <v>0</v>
      </c>
      <c r="AF63" s="78">
        <f t="shared" si="73"/>
        <v>0</v>
      </c>
      <c r="AG63" s="78">
        <f t="shared" si="73"/>
        <v>0</v>
      </c>
      <c r="AH63" s="78">
        <f t="shared" si="73"/>
        <v>0</v>
      </c>
      <c r="AI63" s="78">
        <f t="shared" si="66"/>
        <v>0</v>
      </c>
      <c r="AJ63" s="78">
        <f t="shared" si="66"/>
        <v>0</v>
      </c>
      <c r="AK63" s="78">
        <f t="shared" si="66"/>
        <v>0</v>
      </c>
      <c r="AL63" s="78">
        <f t="shared" si="74"/>
        <v>0</v>
      </c>
      <c r="AM63" s="78">
        <f t="shared" si="74"/>
        <v>0</v>
      </c>
      <c r="AN63" s="78">
        <f t="shared" si="74"/>
        <v>0</v>
      </c>
      <c r="AO63" s="78">
        <f t="shared" si="74"/>
        <v>0</v>
      </c>
      <c r="AP63" s="78">
        <f t="shared" si="67"/>
        <v>0</v>
      </c>
      <c r="AQ63" s="78">
        <f t="shared" si="67"/>
        <v>0</v>
      </c>
      <c r="AR63" s="78">
        <f t="shared" si="67"/>
        <v>0</v>
      </c>
      <c r="AS63" s="78">
        <f t="shared" si="68"/>
        <v>0</v>
      </c>
      <c r="AT63" s="78">
        <f t="shared" si="68"/>
        <v>0</v>
      </c>
      <c r="AU63" s="78">
        <f t="shared" si="69"/>
        <v>0</v>
      </c>
      <c r="AV63" s="78">
        <f t="shared" si="70"/>
        <v>0</v>
      </c>
      <c r="AW63" s="78">
        <f t="shared" si="71"/>
        <v>0</v>
      </c>
      <c r="AX63" s="78">
        <f t="shared" si="71"/>
        <v>0</v>
      </c>
      <c r="AY63" s="78">
        <f t="shared" si="75"/>
        <v>0</v>
      </c>
      <c r="AZ63" s="78">
        <f t="shared" si="75"/>
        <v>0</v>
      </c>
      <c r="BA63" s="78"/>
      <c r="BB63" s="78">
        <f t="shared" si="62"/>
        <v>0</v>
      </c>
      <c r="BC63" s="78">
        <f t="shared" si="18"/>
        <v>0</v>
      </c>
      <c r="BD63" s="155">
        <f t="shared" si="10"/>
        <v>0</v>
      </c>
      <c r="BE63" s="78"/>
      <c r="BF63" s="23"/>
      <c r="BO63" s="80"/>
      <c r="CL63" s="72">
        <v>2992</v>
      </c>
      <c r="CM63" s="72" t="s">
        <v>377</v>
      </c>
      <c r="HH63" s="74"/>
      <c r="HJ63" s="74"/>
      <c r="HL63" s="23">
        <f t="shared" si="52"/>
        <v>2992</v>
      </c>
      <c r="HM63" s="23"/>
    </row>
    <row r="64" spans="1:221" s="72" customFormat="1" ht="15.75">
      <c r="A64" s="72" t="s">
        <v>199</v>
      </c>
      <c r="B64" s="73">
        <v>23</v>
      </c>
      <c r="D64" s="14">
        <v>5</v>
      </c>
      <c r="E64" s="72">
        <v>7</v>
      </c>
      <c r="F64" s="72" t="s">
        <v>166</v>
      </c>
      <c r="G64" s="72" t="s">
        <v>143</v>
      </c>
      <c r="H64" s="75">
        <v>36459</v>
      </c>
      <c r="I64" s="72" t="s">
        <v>123</v>
      </c>
      <c r="J64" s="72" t="s">
        <v>124</v>
      </c>
      <c r="K64" s="73"/>
      <c r="L64" s="72" t="s">
        <v>125</v>
      </c>
      <c r="M64" s="56"/>
      <c r="N64" s="72" t="str">
        <f t="shared" si="76"/>
        <v>23R</v>
      </c>
      <c r="O64" s="72" t="str">
        <f t="shared" si="77"/>
        <v>23RBase</v>
      </c>
      <c r="Q64" s="23">
        <f t="shared" si="61"/>
        <v>0</v>
      </c>
      <c r="R64" s="23">
        <f t="shared" si="78"/>
        <v>0</v>
      </c>
      <c r="S64" s="23"/>
      <c r="T64" s="78">
        <v>37147</v>
      </c>
      <c r="U64" s="78"/>
      <c r="V64" s="79">
        <v>0</v>
      </c>
      <c r="W64" s="78">
        <f t="shared" si="63"/>
        <v>0</v>
      </c>
      <c r="X64" s="78">
        <f t="shared" si="72"/>
        <v>0</v>
      </c>
      <c r="Y64" s="78">
        <f t="shared" si="72"/>
        <v>0</v>
      </c>
      <c r="Z64" s="78">
        <f t="shared" si="72"/>
        <v>0</v>
      </c>
      <c r="AA64" s="78">
        <f t="shared" si="72"/>
        <v>0</v>
      </c>
      <c r="AB64" s="78">
        <f t="shared" si="65"/>
        <v>0</v>
      </c>
      <c r="AC64" s="78">
        <f t="shared" si="65"/>
        <v>0</v>
      </c>
      <c r="AD64" s="78">
        <f t="shared" si="65"/>
        <v>0</v>
      </c>
      <c r="AE64" s="78">
        <f t="shared" si="73"/>
        <v>0</v>
      </c>
      <c r="AF64" s="78">
        <f t="shared" si="73"/>
        <v>0</v>
      </c>
      <c r="AG64" s="78">
        <f t="shared" si="73"/>
        <v>0</v>
      </c>
      <c r="AH64" s="78">
        <f t="shared" si="73"/>
        <v>0</v>
      </c>
      <c r="AI64" s="78">
        <f t="shared" si="66"/>
        <v>0</v>
      </c>
      <c r="AJ64" s="78">
        <f t="shared" si="66"/>
        <v>0</v>
      </c>
      <c r="AK64" s="78">
        <f t="shared" si="66"/>
        <v>0</v>
      </c>
      <c r="AL64" s="78">
        <f t="shared" si="74"/>
        <v>0</v>
      </c>
      <c r="AM64" s="78">
        <f t="shared" si="74"/>
        <v>0</v>
      </c>
      <c r="AN64" s="78">
        <f t="shared" si="74"/>
        <v>0</v>
      </c>
      <c r="AO64" s="78">
        <f t="shared" si="74"/>
        <v>0</v>
      </c>
      <c r="AP64" s="78">
        <f t="shared" si="67"/>
        <v>0</v>
      </c>
      <c r="AQ64" s="78">
        <f t="shared" si="67"/>
        <v>0</v>
      </c>
      <c r="AR64" s="78">
        <f t="shared" si="67"/>
        <v>0</v>
      </c>
      <c r="AS64" s="78">
        <f t="shared" si="68"/>
        <v>0</v>
      </c>
      <c r="AT64" s="78">
        <f t="shared" si="68"/>
        <v>0</v>
      </c>
      <c r="AU64" s="78">
        <f t="shared" si="69"/>
        <v>0</v>
      </c>
      <c r="AV64" s="78">
        <f t="shared" si="70"/>
        <v>0</v>
      </c>
      <c r="AW64" s="78">
        <f t="shared" si="71"/>
        <v>0</v>
      </c>
      <c r="AX64" s="78">
        <f t="shared" si="71"/>
        <v>0</v>
      </c>
      <c r="AY64" s="78">
        <f t="shared" si="75"/>
        <v>0</v>
      </c>
      <c r="AZ64" s="78">
        <f t="shared" si="75"/>
        <v>0</v>
      </c>
      <c r="BA64" s="78"/>
      <c r="BB64" s="78">
        <f t="shared" si="62"/>
        <v>0</v>
      </c>
      <c r="BC64" s="78">
        <f t="shared" si="18"/>
        <v>0</v>
      </c>
      <c r="BD64" s="155">
        <f t="shared" si="10"/>
        <v>0</v>
      </c>
      <c r="BE64" s="78"/>
      <c r="BF64" s="23"/>
      <c r="BO64" s="80"/>
      <c r="CN64" s="72">
        <v>23437</v>
      </c>
      <c r="CO64" s="72" t="s">
        <v>379</v>
      </c>
      <c r="HH64" s="74"/>
      <c r="HJ64" s="74"/>
      <c r="HL64" s="23">
        <f t="shared" si="52"/>
        <v>23437</v>
      </c>
      <c r="HM64" s="23"/>
    </row>
    <row r="65" spans="1:221" s="72" customFormat="1" ht="15.75">
      <c r="A65" s="72" t="s">
        <v>199</v>
      </c>
      <c r="B65" s="73">
        <v>23</v>
      </c>
      <c r="D65" s="14">
        <v>6</v>
      </c>
      <c r="E65" s="72">
        <v>7</v>
      </c>
      <c r="F65" s="72" t="s">
        <v>166</v>
      </c>
      <c r="G65" s="72" t="s">
        <v>143</v>
      </c>
      <c r="H65" s="75">
        <v>36459</v>
      </c>
      <c r="I65" s="72" t="s">
        <v>123</v>
      </c>
      <c r="J65" s="72" t="s">
        <v>124</v>
      </c>
      <c r="K65" s="73"/>
      <c r="L65" s="72" t="s">
        <v>125</v>
      </c>
      <c r="N65" s="72" t="str">
        <f t="shared" si="76"/>
        <v>23R</v>
      </c>
      <c r="O65" s="72" t="str">
        <f t="shared" si="77"/>
        <v>23RBase</v>
      </c>
      <c r="Q65" s="23">
        <f t="shared" si="61"/>
        <v>0</v>
      </c>
      <c r="R65" s="23">
        <f t="shared" si="78"/>
        <v>0</v>
      </c>
      <c r="S65" s="23"/>
      <c r="T65" s="78">
        <v>37147</v>
      </c>
      <c r="U65" s="78"/>
      <c r="V65" s="79">
        <v>0</v>
      </c>
      <c r="W65" s="78">
        <f t="shared" si="63"/>
        <v>0</v>
      </c>
      <c r="X65" s="78">
        <f t="shared" si="72"/>
        <v>0</v>
      </c>
      <c r="Y65" s="78">
        <f t="shared" si="72"/>
        <v>0</v>
      </c>
      <c r="Z65" s="78">
        <f t="shared" si="72"/>
        <v>0</v>
      </c>
      <c r="AA65" s="78">
        <f t="shared" si="72"/>
        <v>0</v>
      </c>
      <c r="AB65" s="78">
        <f t="shared" si="65"/>
        <v>0</v>
      </c>
      <c r="AC65" s="78">
        <f t="shared" si="65"/>
        <v>0</v>
      </c>
      <c r="AD65" s="78">
        <f t="shared" si="65"/>
        <v>0</v>
      </c>
      <c r="AE65" s="78">
        <f t="shared" si="73"/>
        <v>0</v>
      </c>
      <c r="AF65" s="78">
        <f t="shared" si="73"/>
        <v>0</v>
      </c>
      <c r="AG65" s="78">
        <f t="shared" si="73"/>
        <v>0</v>
      </c>
      <c r="AH65" s="78">
        <f t="shared" si="73"/>
        <v>0</v>
      </c>
      <c r="AI65" s="78">
        <f t="shared" si="66"/>
        <v>0</v>
      </c>
      <c r="AJ65" s="78">
        <f t="shared" si="66"/>
        <v>0</v>
      </c>
      <c r="AK65" s="78">
        <f t="shared" si="66"/>
        <v>0</v>
      </c>
      <c r="AL65" s="78">
        <f t="shared" si="74"/>
        <v>0</v>
      </c>
      <c r="AM65" s="78">
        <f t="shared" si="74"/>
        <v>0</v>
      </c>
      <c r="AN65" s="78">
        <f t="shared" si="74"/>
        <v>0</v>
      </c>
      <c r="AO65" s="78">
        <f t="shared" si="74"/>
        <v>0</v>
      </c>
      <c r="AP65" s="78">
        <f t="shared" si="67"/>
        <v>0</v>
      </c>
      <c r="AQ65" s="78">
        <f t="shared" si="67"/>
        <v>0</v>
      </c>
      <c r="AR65" s="78">
        <f t="shared" si="67"/>
        <v>0</v>
      </c>
      <c r="AS65" s="78">
        <f t="shared" si="68"/>
        <v>0</v>
      </c>
      <c r="AT65" s="78">
        <f t="shared" si="68"/>
        <v>0</v>
      </c>
      <c r="AU65" s="78">
        <f t="shared" si="69"/>
        <v>0</v>
      </c>
      <c r="AV65" s="78">
        <f t="shared" si="70"/>
        <v>0</v>
      </c>
      <c r="AW65" s="78">
        <f t="shared" si="71"/>
        <v>0</v>
      </c>
      <c r="AX65" s="78">
        <f t="shared" si="71"/>
        <v>0</v>
      </c>
      <c r="AY65" s="78">
        <f t="shared" si="75"/>
        <v>0</v>
      </c>
      <c r="AZ65" s="78">
        <f t="shared" si="75"/>
        <v>0</v>
      </c>
      <c r="BA65" s="78"/>
      <c r="BB65" s="78">
        <f t="shared" si="62"/>
        <v>0</v>
      </c>
      <c r="BC65" s="78">
        <f t="shared" si="18"/>
        <v>0</v>
      </c>
      <c r="BD65" s="155">
        <f t="shared" si="10"/>
        <v>0</v>
      </c>
      <c r="BE65" s="78"/>
      <c r="BF65" s="23"/>
      <c r="BO65" s="80"/>
      <c r="CP65" s="72">
        <v>3952</v>
      </c>
      <c r="CQ65" s="72" t="s">
        <v>380</v>
      </c>
      <c r="HH65" s="74"/>
      <c r="HJ65" s="74"/>
      <c r="HL65" s="23">
        <f t="shared" si="52"/>
        <v>3952</v>
      </c>
      <c r="HM65" s="23"/>
    </row>
    <row r="66" spans="1:221" s="72" customFormat="1" ht="15.75">
      <c r="A66" s="72" t="s">
        <v>199</v>
      </c>
      <c r="B66" s="73">
        <v>23</v>
      </c>
      <c r="D66" s="14">
        <v>8</v>
      </c>
      <c r="E66" s="72">
        <v>7</v>
      </c>
      <c r="F66" s="72" t="s">
        <v>166</v>
      </c>
      <c r="G66" s="72" t="s">
        <v>143</v>
      </c>
      <c r="H66" s="75">
        <v>36459</v>
      </c>
      <c r="I66" s="72" t="s">
        <v>123</v>
      </c>
      <c r="J66" s="72" t="s">
        <v>124</v>
      </c>
      <c r="K66" s="73"/>
      <c r="L66" s="72" t="s">
        <v>125</v>
      </c>
      <c r="N66" s="72" t="str">
        <f t="shared" si="76"/>
        <v>23R</v>
      </c>
      <c r="O66" s="72" t="str">
        <f t="shared" si="77"/>
        <v>23RBase</v>
      </c>
      <c r="Q66" s="23">
        <f t="shared" si="61"/>
        <v>0</v>
      </c>
      <c r="R66" s="23">
        <f t="shared" si="78"/>
        <v>0</v>
      </c>
      <c r="S66" s="23"/>
      <c r="T66" s="78">
        <v>37147</v>
      </c>
      <c r="U66" s="78"/>
      <c r="V66" s="79">
        <v>0</v>
      </c>
      <c r="W66" s="78">
        <f t="shared" si="63"/>
        <v>0</v>
      </c>
      <c r="X66" s="78">
        <f t="shared" si="72"/>
        <v>0</v>
      </c>
      <c r="Y66" s="78">
        <f t="shared" si="72"/>
        <v>0</v>
      </c>
      <c r="Z66" s="78">
        <f t="shared" si="72"/>
        <v>0</v>
      </c>
      <c r="AA66" s="78">
        <f t="shared" si="72"/>
        <v>0</v>
      </c>
      <c r="AB66" s="78">
        <f t="shared" si="65"/>
        <v>0</v>
      </c>
      <c r="AC66" s="78">
        <f t="shared" si="65"/>
        <v>0</v>
      </c>
      <c r="AD66" s="78">
        <f t="shared" si="65"/>
        <v>0</v>
      </c>
      <c r="AE66" s="78">
        <f t="shared" si="73"/>
        <v>0</v>
      </c>
      <c r="AF66" s="78">
        <f t="shared" si="73"/>
        <v>0</v>
      </c>
      <c r="AG66" s="78">
        <f t="shared" si="73"/>
        <v>0</v>
      </c>
      <c r="AH66" s="78">
        <f t="shared" si="73"/>
        <v>0</v>
      </c>
      <c r="AI66" s="78">
        <f t="shared" si="66"/>
        <v>0</v>
      </c>
      <c r="AJ66" s="78">
        <f t="shared" si="66"/>
        <v>0</v>
      </c>
      <c r="AK66" s="78">
        <f t="shared" si="66"/>
        <v>0</v>
      </c>
      <c r="AL66" s="78">
        <f t="shared" si="74"/>
        <v>0</v>
      </c>
      <c r="AM66" s="78">
        <f t="shared" si="74"/>
        <v>0</v>
      </c>
      <c r="AN66" s="78">
        <f t="shared" si="74"/>
        <v>0</v>
      </c>
      <c r="AO66" s="78">
        <f t="shared" si="74"/>
        <v>0</v>
      </c>
      <c r="AP66" s="78">
        <f t="shared" si="67"/>
        <v>0</v>
      </c>
      <c r="AQ66" s="78">
        <f t="shared" si="67"/>
        <v>0</v>
      </c>
      <c r="AR66" s="78">
        <f t="shared" si="67"/>
        <v>0</v>
      </c>
      <c r="AS66" s="78">
        <f t="shared" si="68"/>
        <v>0</v>
      </c>
      <c r="AT66" s="78">
        <f t="shared" si="68"/>
        <v>0</v>
      </c>
      <c r="AU66" s="78">
        <f t="shared" si="69"/>
        <v>0</v>
      </c>
      <c r="AV66" s="78">
        <f t="shared" si="70"/>
        <v>0</v>
      </c>
      <c r="AW66" s="78">
        <f t="shared" si="71"/>
        <v>0</v>
      </c>
      <c r="AX66" s="78">
        <f t="shared" si="71"/>
        <v>0</v>
      </c>
      <c r="AY66" s="78">
        <f t="shared" si="75"/>
        <v>0</v>
      </c>
      <c r="AZ66" s="78">
        <f t="shared" si="75"/>
        <v>0</v>
      </c>
      <c r="BA66" s="78"/>
      <c r="BB66" s="78">
        <f t="shared" si="62"/>
        <v>0</v>
      </c>
      <c r="BC66" s="78">
        <f t="shared" si="18"/>
        <v>0</v>
      </c>
      <c r="BD66" s="155">
        <f t="shared" si="10"/>
        <v>0</v>
      </c>
      <c r="BE66" s="78"/>
      <c r="BF66" s="23"/>
      <c r="BO66" s="80"/>
      <c r="CR66" s="72">
        <v>4368</v>
      </c>
      <c r="CS66" s="72" t="s">
        <v>381</v>
      </c>
      <c r="HH66" s="74"/>
      <c r="HJ66" s="74"/>
      <c r="HL66" s="23">
        <f t="shared" si="52"/>
        <v>4368</v>
      </c>
      <c r="HM66" s="23"/>
    </row>
    <row r="67" spans="1:221" s="72" customFormat="1" ht="15.75">
      <c r="A67" s="72" t="s">
        <v>199</v>
      </c>
      <c r="B67" s="73">
        <v>23</v>
      </c>
      <c r="D67" s="14">
        <v>9</v>
      </c>
      <c r="E67" s="72">
        <v>7</v>
      </c>
      <c r="F67" s="72" t="s">
        <v>166</v>
      </c>
      <c r="G67" s="72" t="s">
        <v>143</v>
      </c>
      <c r="H67" s="75">
        <v>36459</v>
      </c>
      <c r="I67" s="72" t="s">
        <v>123</v>
      </c>
      <c r="J67" s="72" t="s">
        <v>124</v>
      </c>
      <c r="K67" s="73"/>
      <c r="L67" s="72" t="s">
        <v>125</v>
      </c>
      <c r="M67" s="56"/>
      <c r="N67" s="72" t="str">
        <f t="shared" si="76"/>
        <v>23R</v>
      </c>
      <c r="O67" s="72" t="str">
        <f t="shared" si="77"/>
        <v>23RBase</v>
      </c>
      <c r="Q67" s="23">
        <f t="shared" si="61"/>
        <v>0</v>
      </c>
      <c r="R67" s="23">
        <f t="shared" si="78"/>
        <v>0</v>
      </c>
      <c r="S67" s="23"/>
      <c r="T67" s="78">
        <v>37147</v>
      </c>
      <c r="U67" s="78"/>
      <c r="V67" s="79">
        <v>0</v>
      </c>
      <c r="W67" s="78">
        <f t="shared" si="63"/>
        <v>0</v>
      </c>
      <c r="X67" s="78">
        <f t="shared" si="72"/>
        <v>0</v>
      </c>
      <c r="Y67" s="78">
        <f t="shared" si="72"/>
        <v>0</v>
      </c>
      <c r="Z67" s="78">
        <f t="shared" si="72"/>
        <v>0</v>
      </c>
      <c r="AA67" s="78">
        <f t="shared" si="72"/>
        <v>0</v>
      </c>
      <c r="AB67" s="78">
        <f t="shared" si="65"/>
        <v>0</v>
      </c>
      <c r="AC67" s="78">
        <f t="shared" si="65"/>
        <v>0</v>
      </c>
      <c r="AD67" s="78">
        <f t="shared" si="65"/>
        <v>0</v>
      </c>
      <c r="AE67" s="78">
        <f t="shared" si="73"/>
        <v>0</v>
      </c>
      <c r="AF67" s="78">
        <f t="shared" si="73"/>
        <v>0</v>
      </c>
      <c r="AG67" s="78">
        <f t="shared" si="73"/>
        <v>0</v>
      </c>
      <c r="AH67" s="78">
        <f t="shared" si="73"/>
        <v>0</v>
      </c>
      <c r="AI67" s="78">
        <f t="shared" si="66"/>
        <v>0</v>
      </c>
      <c r="AJ67" s="78">
        <f t="shared" si="66"/>
        <v>0</v>
      </c>
      <c r="AK67" s="78">
        <f t="shared" si="66"/>
        <v>0</v>
      </c>
      <c r="AL67" s="78">
        <f t="shared" si="74"/>
        <v>0</v>
      </c>
      <c r="AM67" s="78">
        <f t="shared" si="74"/>
        <v>0</v>
      </c>
      <c r="AN67" s="78">
        <f t="shared" si="74"/>
        <v>0</v>
      </c>
      <c r="AO67" s="78">
        <f t="shared" si="74"/>
        <v>0</v>
      </c>
      <c r="AP67" s="78">
        <f t="shared" si="67"/>
        <v>0</v>
      </c>
      <c r="AQ67" s="78">
        <f t="shared" si="67"/>
        <v>0</v>
      </c>
      <c r="AR67" s="78">
        <f t="shared" si="67"/>
        <v>0</v>
      </c>
      <c r="AS67" s="78">
        <f t="shared" si="68"/>
        <v>0</v>
      </c>
      <c r="AT67" s="78">
        <f t="shared" si="68"/>
        <v>0</v>
      </c>
      <c r="AU67" s="78">
        <f t="shared" si="69"/>
        <v>0</v>
      </c>
      <c r="AV67" s="78">
        <f t="shared" si="70"/>
        <v>0</v>
      </c>
      <c r="AW67" s="78">
        <f t="shared" si="71"/>
        <v>0</v>
      </c>
      <c r="AX67" s="78">
        <f t="shared" si="71"/>
        <v>0</v>
      </c>
      <c r="AY67" s="78">
        <f t="shared" si="75"/>
        <v>0</v>
      </c>
      <c r="AZ67" s="78">
        <f t="shared" si="75"/>
        <v>0</v>
      </c>
      <c r="BA67" s="78"/>
      <c r="BB67" s="78">
        <f t="shared" si="62"/>
        <v>0</v>
      </c>
      <c r="BC67" s="78">
        <f t="shared" si="18"/>
        <v>0</v>
      </c>
      <c r="BD67" s="155">
        <f t="shared" si="10"/>
        <v>0</v>
      </c>
      <c r="BE67" s="78"/>
      <c r="BF67" s="23"/>
      <c r="BO67" s="80"/>
      <c r="CT67" s="72">
        <v>5299</v>
      </c>
      <c r="CU67" s="72" t="s">
        <v>382</v>
      </c>
      <c r="HH67" s="74"/>
      <c r="HJ67" s="74"/>
      <c r="HL67" s="23">
        <f t="shared" si="52"/>
        <v>5299</v>
      </c>
      <c r="HM67" s="23"/>
    </row>
    <row r="68" spans="1:221" s="72" customFormat="1" ht="15.75" hidden="1" outlineLevel="1">
      <c r="A68" s="72" t="s">
        <v>199</v>
      </c>
      <c r="B68" s="73">
        <v>23</v>
      </c>
      <c r="D68" s="14">
        <v>1</v>
      </c>
      <c r="E68" s="72">
        <v>7</v>
      </c>
      <c r="F68" s="72" t="s">
        <v>193</v>
      </c>
      <c r="G68" s="72" t="s">
        <v>174</v>
      </c>
      <c r="H68" s="75">
        <v>36459</v>
      </c>
      <c r="I68" s="72" t="s">
        <v>123</v>
      </c>
      <c r="J68" s="72" t="s">
        <v>136</v>
      </c>
      <c r="K68" s="73"/>
      <c r="L68" s="72" t="s">
        <v>125</v>
      </c>
      <c r="N68" s="72" t="str">
        <f t="shared" si="76"/>
        <v>23W</v>
      </c>
      <c r="O68" s="72" t="str">
        <f t="shared" si="77"/>
        <v>23WBase</v>
      </c>
      <c r="Q68" s="23">
        <f t="shared" si="61"/>
        <v>0</v>
      </c>
      <c r="R68" s="23">
        <f t="shared" si="78"/>
        <v>0</v>
      </c>
      <c r="S68" s="23"/>
      <c r="T68" s="78">
        <v>37147</v>
      </c>
      <c r="U68" s="78"/>
      <c r="V68" s="79">
        <v>0</v>
      </c>
      <c r="W68" s="78">
        <f t="shared" si="63"/>
        <v>0</v>
      </c>
      <c r="X68" s="78">
        <f t="shared" ref="X68:AA85" si="79">W68</f>
        <v>0</v>
      </c>
      <c r="Y68" s="78">
        <f t="shared" si="79"/>
        <v>0</v>
      </c>
      <c r="Z68" s="78">
        <f t="shared" si="79"/>
        <v>0</v>
      </c>
      <c r="AA68" s="78">
        <f t="shared" si="79"/>
        <v>0</v>
      </c>
      <c r="AB68" s="78">
        <f t="shared" ref="AB68:AD84" si="80">AA68</f>
        <v>0</v>
      </c>
      <c r="AC68" s="78">
        <f t="shared" si="80"/>
        <v>0</v>
      </c>
      <c r="AD68" s="78">
        <f t="shared" si="80"/>
        <v>0</v>
      </c>
      <c r="AE68" s="78">
        <f t="shared" ref="AE68:AH85" si="81">AD68</f>
        <v>0</v>
      </c>
      <c r="AF68" s="78">
        <f t="shared" si="81"/>
        <v>0</v>
      </c>
      <c r="AG68" s="78">
        <f t="shared" si="81"/>
        <v>0</v>
      </c>
      <c r="AH68" s="78">
        <f t="shared" si="81"/>
        <v>0</v>
      </c>
      <c r="AI68" s="78">
        <f t="shared" ref="AI68:AK84" si="82">AH68</f>
        <v>0</v>
      </c>
      <c r="AJ68" s="78">
        <f t="shared" si="82"/>
        <v>0</v>
      </c>
      <c r="AK68" s="78">
        <f t="shared" si="82"/>
        <v>0</v>
      </c>
      <c r="AL68" s="78">
        <f t="shared" ref="AL68:AO85" si="83">AK68</f>
        <v>0</v>
      </c>
      <c r="AM68" s="78">
        <f t="shared" si="83"/>
        <v>0</v>
      </c>
      <c r="AN68" s="78">
        <f t="shared" si="83"/>
        <v>0</v>
      </c>
      <c r="AO68" s="78">
        <f t="shared" si="83"/>
        <v>0</v>
      </c>
      <c r="AP68" s="78">
        <f t="shared" ref="AP68:AR84" si="84">AO68</f>
        <v>0</v>
      </c>
      <c r="AQ68" s="78">
        <f t="shared" si="84"/>
        <v>0</v>
      </c>
      <c r="AR68" s="78">
        <f t="shared" si="84"/>
        <v>0</v>
      </c>
      <c r="AS68" s="78">
        <f t="shared" ref="AS68:AT83" si="85">AR68</f>
        <v>0</v>
      </c>
      <c r="AT68" s="78">
        <f t="shared" si="85"/>
        <v>0</v>
      </c>
      <c r="AU68" s="78">
        <f t="shared" si="69"/>
        <v>0</v>
      </c>
      <c r="AV68" s="78">
        <f t="shared" si="70"/>
        <v>0</v>
      </c>
      <c r="AW68" s="78">
        <f t="shared" ref="AW68:AX84" si="86">AV68</f>
        <v>0</v>
      </c>
      <c r="AX68" s="78">
        <f t="shared" si="86"/>
        <v>0</v>
      </c>
      <c r="AY68" s="78">
        <f t="shared" si="75"/>
        <v>0</v>
      </c>
      <c r="AZ68" s="78">
        <f t="shared" si="75"/>
        <v>0</v>
      </c>
      <c r="BA68" s="78"/>
      <c r="BB68" s="78">
        <f t="shared" si="62"/>
        <v>0</v>
      </c>
      <c r="BC68" s="78">
        <f t="shared" si="18"/>
        <v>0</v>
      </c>
      <c r="BD68" s="155">
        <f t="shared" si="10"/>
        <v>0</v>
      </c>
      <c r="BE68" s="78"/>
      <c r="BF68" s="23"/>
      <c r="BO68" s="80"/>
      <c r="CI68" s="72" t="s">
        <v>205</v>
      </c>
      <c r="HH68" s="74"/>
      <c r="HJ68" s="74"/>
      <c r="HL68" s="23">
        <f t="shared" si="52"/>
        <v>0</v>
      </c>
      <c r="HM68" s="23"/>
    </row>
    <row r="69" spans="1:221" s="72" customFormat="1" ht="15.75" hidden="1" outlineLevel="1">
      <c r="A69" s="72" t="s">
        <v>199</v>
      </c>
      <c r="B69" s="73">
        <v>23</v>
      </c>
      <c r="D69" s="14">
        <v>4</v>
      </c>
      <c r="E69" s="72">
        <v>7</v>
      </c>
      <c r="F69" s="72" t="s">
        <v>193</v>
      </c>
      <c r="G69" s="72" t="s">
        <v>174</v>
      </c>
      <c r="H69" s="75">
        <v>36459</v>
      </c>
      <c r="I69" s="72" t="s">
        <v>123</v>
      </c>
      <c r="J69" s="72" t="s">
        <v>136</v>
      </c>
      <c r="K69" s="73"/>
      <c r="L69" s="72" t="s">
        <v>125</v>
      </c>
      <c r="N69" s="72" t="str">
        <f t="shared" si="76"/>
        <v>23W</v>
      </c>
      <c r="O69" s="72" t="str">
        <f t="shared" si="77"/>
        <v>23WBase</v>
      </c>
      <c r="Q69" s="23">
        <f t="shared" si="61"/>
        <v>0</v>
      </c>
      <c r="R69" s="23">
        <f t="shared" si="78"/>
        <v>0</v>
      </c>
      <c r="S69" s="23"/>
      <c r="T69" s="78">
        <v>37147</v>
      </c>
      <c r="U69" s="78"/>
      <c r="V69" s="79">
        <v>0</v>
      </c>
      <c r="W69" s="78">
        <f t="shared" si="63"/>
        <v>0</v>
      </c>
      <c r="X69" s="78">
        <f t="shared" si="79"/>
        <v>0</v>
      </c>
      <c r="Y69" s="78">
        <f t="shared" si="79"/>
        <v>0</v>
      </c>
      <c r="Z69" s="78">
        <f t="shared" si="79"/>
        <v>0</v>
      </c>
      <c r="AA69" s="78">
        <f t="shared" si="79"/>
        <v>0</v>
      </c>
      <c r="AB69" s="78">
        <f t="shared" si="80"/>
        <v>0</v>
      </c>
      <c r="AC69" s="78">
        <f t="shared" si="80"/>
        <v>0</v>
      </c>
      <c r="AD69" s="78">
        <f t="shared" si="80"/>
        <v>0</v>
      </c>
      <c r="AE69" s="78">
        <f t="shared" si="81"/>
        <v>0</v>
      </c>
      <c r="AF69" s="78">
        <f t="shared" si="81"/>
        <v>0</v>
      </c>
      <c r="AG69" s="78">
        <f t="shared" si="81"/>
        <v>0</v>
      </c>
      <c r="AH69" s="78">
        <f t="shared" si="81"/>
        <v>0</v>
      </c>
      <c r="AI69" s="78">
        <f t="shared" si="82"/>
        <v>0</v>
      </c>
      <c r="AJ69" s="78">
        <f t="shared" si="82"/>
        <v>0</v>
      </c>
      <c r="AK69" s="78">
        <f t="shared" si="82"/>
        <v>0</v>
      </c>
      <c r="AL69" s="78">
        <f t="shared" si="83"/>
        <v>0</v>
      </c>
      <c r="AM69" s="78">
        <f t="shared" si="83"/>
        <v>0</v>
      </c>
      <c r="AN69" s="78">
        <f t="shared" si="83"/>
        <v>0</v>
      </c>
      <c r="AO69" s="78">
        <f t="shared" si="83"/>
        <v>0</v>
      </c>
      <c r="AP69" s="78">
        <f t="shared" si="84"/>
        <v>0</v>
      </c>
      <c r="AQ69" s="78">
        <f t="shared" si="84"/>
        <v>0</v>
      </c>
      <c r="AR69" s="78">
        <f t="shared" si="84"/>
        <v>0</v>
      </c>
      <c r="AS69" s="78">
        <f t="shared" si="85"/>
        <v>0</v>
      </c>
      <c r="AT69" s="78">
        <f t="shared" si="85"/>
        <v>0</v>
      </c>
      <c r="AU69" s="78">
        <f t="shared" si="69"/>
        <v>0</v>
      </c>
      <c r="AV69" s="78">
        <f t="shared" si="70"/>
        <v>0</v>
      </c>
      <c r="AW69" s="78">
        <f t="shared" si="86"/>
        <v>0</v>
      </c>
      <c r="AX69" s="78">
        <f t="shared" si="86"/>
        <v>0</v>
      </c>
      <c r="AY69" s="78">
        <f t="shared" si="75"/>
        <v>0</v>
      </c>
      <c r="AZ69" s="78">
        <f t="shared" si="75"/>
        <v>0</v>
      </c>
      <c r="BA69" s="78"/>
      <c r="BB69" s="78">
        <f t="shared" si="62"/>
        <v>0</v>
      </c>
      <c r="BC69" s="78">
        <f t="shared" si="18"/>
        <v>0</v>
      </c>
      <c r="BD69" s="155">
        <f t="shared" si="10"/>
        <v>0</v>
      </c>
      <c r="BE69" s="78"/>
      <c r="BF69" s="23"/>
      <c r="BO69" s="80"/>
      <c r="CM69" s="72" t="s">
        <v>206</v>
      </c>
      <c r="HH69" s="74"/>
      <c r="HJ69" s="74"/>
      <c r="HL69" s="23">
        <f t="shared" si="52"/>
        <v>0</v>
      </c>
      <c r="HM69" s="23"/>
    </row>
    <row r="70" spans="1:221" s="72" customFormat="1" ht="15.75" hidden="1" outlineLevel="1">
      <c r="A70" s="72" t="s">
        <v>199</v>
      </c>
      <c r="B70" s="73">
        <v>23</v>
      </c>
      <c r="D70" s="14">
        <v>5</v>
      </c>
      <c r="E70" s="72">
        <v>7</v>
      </c>
      <c r="F70" s="72" t="s">
        <v>193</v>
      </c>
      <c r="G70" s="72" t="s">
        <v>174</v>
      </c>
      <c r="H70" s="75">
        <v>36459</v>
      </c>
      <c r="I70" s="72" t="s">
        <v>123</v>
      </c>
      <c r="J70" s="72" t="s">
        <v>136</v>
      </c>
      <c r="K70" s="73"/>
      <c r="L70" s="72" t="s">
        <v>125</v>
      </c>
      <c r="M70" s="56"/>
      <c r="N70" s="72" t="str">
        <f t="shared" si="76"/>
        <v>23W</v>
      </c>
      <c r="O70" s="72" t="str">
        <f t="shared" si="77"/>
        <v>23WBase</v>
      </c>
      <c r="Q70" s="23">
        <f t="shared" si="61"/>
        <v>0</v>
      </c>
      <c r="R70" s="23">
        <f t="shared" si="78"/>
        <v>0</v>
      </c>
      <c r="S70" s="23"/>
      <c r="T70" s="78">
        <v>37147</v>
      </c>
      <c r="U70" s="78"/>
      <c r="V70" s="79">
        <v>0</v>
      </c>
      <c r="W70" s="78">
        <f t="shared" si="63"/>
        <v>0</v>
      </c>
      <c r="X70" s="78">
        <f t="shared" si="79"/>
        <v>0</v>
      </c>
      <c r="Y70" s="78">
        <f t="shared" si="79"/>
        <v>0</v>
      </c>
      <c r="Z70" s="78">
        <f t="shared" si="79"/>
        <v>0</v>
      </c>
      <c r="AA70" s="78">
        <f t="shared" si="79"/>
        <v>0</v>
      </c>
      <c r="AB70" s="78">
        <f t="shared" si="80"/>
        <v>0</v>
      </c>
      <c r="AC70" s="78">
        <f t="shared" si="80"/>
        <v>0</v>
      </c>
      <c r="AD70" s="78">
        <f t="shared" si="80"/>
        <v>0</v>
      </c>
      <c r="AE70" s="78">
        <f t="shared" si="81"/>
        <v>0</v>
      </c>
      <c r="AF70" s="78">
        <f t="shared" si="81"/>
        <v>0</v>
      </c>
      <c r="AG70" s="78">
        <f t="shared" si="81"/>
        <v>0</v>
      </c>
      <c r="AH70" s="78">
        <f t="shared" si="81"/>
        <v>0</v>
      </c>
      <c r="AI70" s="78">
        <f t="shared" si="82"/>
        <v>0</v>
      </c>
      <c r="AJ70" s="78">
        <f t="shared" si="82"/>
        <v>0</v>
      </c>
      <c r="AK70" s="78">
        <f t="shared" si="82"/>
        <v>0</v>
      </c>
      <c r="AL70" s="78">
        <f t="shared" si="83"/>
        <v>0</v>
      </c>
      <c r="AM70" s="78">
        <f t="shared" si="83"/>
        <v>0</v>
      </c>
      <c r="AN70" s="78">
        <f t="shared" si="83"/>
        <v>0</v>
      </c>
      <c r="AO70" s="78">
        <f t="shared" si="83"/>
        <v>0</v>
      </c>
      <c r="AP70" s="78">
        <f t="shared" si="84"/>
        <v>0</v>
      </c>
      <c r="AQ70" s="78">
        <f t="shared" si="84"/>
        <v>0</v>
      </c>
      <c r="AR70" s="78">
        <f t="shared" si="84"/>
        <v>0</v>
      </c>
      <c r="AS70" s="78">
        <f t="shared" si="85"/>
        <v>0</v>
      </c>
      <c r="AT70" s="78">
        <f t="shared" si="85"/>
        <v>0</v>
      </c>
      <c r="AU70" s="78">
        <f t="shared" si="69"/>
        <v>0</v>
      </c>
      <c r="AV70" s="78">
        <f t="shared" si="70"/>
        <v>0</v>
      </c>
      <c r="AW70" s="78">
        <f t="shared" si="86"/>
        <v>0</v>
      </c>
      <c r="AX70" s="78">
        <f t="shared" si="86"/>
        <v>0</v>
      </c>
      <c r="AY70" s="78">
        <f t="shared" si="75"/>
        <v>0</v>
      </c>
      <c r="AZ70" s="78">
        <f t="shared" si="75"/>
        <v>0</v>
      </c>
      <c r="BA70" s="78"/>
      <c r="BB70" s="78">
        <f t="shared" si="62"/>
        <v>0</v>
      </c>
      <c r="BC70" s="78">
        <f t="shared" si="18"/>
        <v>0</v>
      </c>
      <c r="BD70" s="155">
        <f t="shared" si="10"/>
        <v>0</v>
      </c>
      <c r="BE70" s="78"/>
      <c r="BF70" s="23"/>
      <c r="BO70" s="80"/>
      <c r="CO70" s="72" t="s">
        <v>207</v>
      </c>
      <c r="HH70" s="74"/>
      <c r="HJ70" s="74"/>
      <c r="HL70" s="23">
        <f t="shared" si="52"/>
        <v>0</v>
      </c>
      <c r="HM70" s="23"/>
    </row>
    <row r="71" spans="1:221" s="72" customFormat="1" ht="15.75" hidden="1" outlineLevel="1">
      <c r="A71" s="72" t="s">
        <v>199</v>
      </c>
      <c r="B71" s="73">
        <v>23</v>
      </c>
      <c r="D71" s="14">
        <v>6</v>
      </c>
      <c r="E71" s="72">
        <v>7</v>
      </c>
      <c r="F71" s="72" t="s">
        <v>193</v>
      </c>
      <c r="G71" s="72" t="s">
        <v>174</v>
      </c>
      <c r="H71" s="75">
        <v>36459</v>
      </c>
      <c r="I71" s="72" t="s">
        <v>123</v>
      </c>
      <c r="J71" s="72" t="s">
        <v>136</v>
      </c>
      <c r="K71" s="73"/>
      <c r="L71" s="72" t="s">
        <v>125</v>
      </c>
      <c r="M71" s="56"/>
      <c r="N71" s="72" t="str">
        <f t="shared" si="76"/>
        <v>23W</v>
      </c>
      <c r="O71" s="72" t="str">
        <f t="shared" si="77"/>
        <v>23WBase</v>
      </c>
      <c r="Q71" s="23">
        <f t="shared" si="61"/>
        <v>0</v>
      </c>
      <c r="R71" s="23">
        <f t="shared" si="78"/>
        <v>0</v>
      </c>
      <c r="S71" s="23"/>
      <c r="T71" s="78">
        <v>37147</v>
      </c>
      <c r="U71" s="78"/>
      <c r="V71" s="79">
        <v>0</v>
      </c>
      <c r="W71" s="78">
        <f t="shared" si="63"/>
        <v>0</v>
      </c>
      <c r="X71" s="78">
        <f t="shared" si="79"/>
        <v>0</v>
      </c>
      <c r="Y71" s="78">
        <f t="shared" si="79"/>
        <v>0</v>
      </c>
      <c r="Z71" s="78">
        <f t="shared" si="79"/>
        <v>0</v>
      </c>
      <c r="AA71" s="78">
        <f t="shared" si="79"/>
        <v>0</v>
      </c>
      <c r="AB71" s="78">
        <f t="shared" si="80"/>
        <v>0</v>
      </c>
      <c r="AC71" s="78">
        <f t="shared" si="80"/>
        <v>0</v>
      </c>
      <c r="AD71" s="78">
        <f t="shared" si="80"/>
        <v>0</v>
      </c>
      <c r="AE71" s="78">
        <f t="shared" si="81"/>
        <v>0</v>
      </c>
      <c r="AF71" s="78">
        <f t="shared" si="81"/>
        <v>0</v>
      </c>
      <c r="AG71" s="78">
        <f t="shared" si="81"/>
        <v>0</v>
      </c>
      <c r="AH71" s="78">
        <f t="shared" si="81"/>
        <v>0</v>
      </c>
      <c r="AI71" s="78">
        <f t="shared" si="82"/>
        <v>0</v>
      </c>
      <c r="AJ71" s="78">
        <f t="shared" si="82"/>
        <v>0</v>
      </c>
      <c r="AK71" s="78">
        <f t="shared" si="82"/>
        <v>0</v>
      </c>
      <c r="AL71" s="78">
        <f t="shared" si="83"/>
        <v>0</v>
      </c>
      <c r="AM71" s="78">
        <f t="shared" si="83"/>
        <v>0</v>
      </c>
      <c r="AN71" s="78">
        <f t="shared" si="83"/>
        <v>0</v>
      </c>
      <c r="AO71" s="78">
        <f t="shared" si="83"/>
        <v>0</v>
      </c>
      <c r="AP71" s="78">
        <f t="shared" si="84"/>
        <v>0</v>
      </c>
      <c r="AQ71" s="78">
        <f t="shared" si="84"/>
        <v>0</v>
      </c>
      <c r="AR71" s="78">
        <f t="shared" si="84"/>
        <v>0</v>
      </c>
      <c r="AS71" s="78">
        <f t="shared" si="85"/>
        <v>0</v>
      </c>
      <c r="AT71" s="78">
        <f t="shared" si="85"/>
        <v>0</v>
      </c>
      <c r="AU71" s="78">
        <f t="shared" si="69"/>
        <v>0</v>
      </c>
      <c r="AV71" s="78">
        <f t="shared" si="70"/>
        <v>0</v>
      </c>
      <c r="AW71" s="78">
        <f t="shared" si="86"/>
        <v>0</v>
      </c>
      <c r="AX71" s="78">
        <f t="shared" si="86"/>
        <v>0</v>
      </c>
      <c r="AY71" s="78">
        <f t="shared" si="75"/>
        <v>0</v>
      </c>
      <c r="AZ71" s="78">
        <f t="shared" si="75"/>
        <v>0</v>
      </c>
      <c r="BA71" s="78"/>
      <c r="BB71" s="78">
        <f t="shared" si="62"/>
        <v>0</v>
      </c>
      <c r="BC71" s="78">
        <f t="shared" si="18"/>
        <v>0</v>
      </c>
      <c r="BD71" s="155">
        <f t="shared" si="10"/>
        <v>0</v>
      </c>
      <c r="BE71" s="78"/>
      <c r="BF71" s="23"/>
      <c r="BO71" s="80"/>
      <c r="CQ71" s="72" t="s">
        <v>208</v>
      </c>
      <c r="HH71" s="74"/>
      <c r="HJ71" s="74"/>
      <c r="HL71" s="23">
        <f t="shared" si="52"/>
        <v>0</v>
      </c>
      <c r="HM71" s="23"/>
    </row>
    <row r="72" spans="1:221" s="72" customFormat="1" ht="15.75" hidden="1" outlineLevel="1">
      <c r="A72" s="72" t="s">
        <v>199</v>
      </c>
      <c r="B72" s="73">
        <v>23</v>
      </c>
      <c r="D72" s="14">
        <v>8</v>
      </c>
      <c r="E72" s="72">
        <v>7</v>
      </c>
      <c r="F72" s="72" t="s">
        <v>193</v>
      </c>
      <c r="G72" s="72" t="s">
        <v>174</v>
      </c>
      <c r="H72" s="75">
        <v>36459</v>
      </c>
      <c r="I72" s="72" t="s">
        <v>123</v>
      </c>
      <c r="J72" s="72" t="s">
        <v>136</v>
      </c>
      <c r="K72" s="73"/>
      <c r="L72" s="72" t="s">
        <v>125</v>
      </c>
      <c r="M72" s="56"/>
      <c r="N72" s="72" t="str">
        <f t="shared" si="76"/>
        <v>23W</v>
      </c>
      <c r="O72" s="72" t="str">
        <f t="shared" si="77"/>
        <v>23WBase</v>
      </c>
      <c r="Q72" s="23">
        <f t="shared" si="61"/>
        <v>0</v>
      </c>
      <c r="R72" s="23">
        <f t="shared" si="78"/>
        <v>0</v>
      </c>
      <c r="S72" s="23"/>
      <c r="T72" s="78">
        <v>37147</v>
      </c>
      <c r="U72" s="78"/>
      <c r="V72" s="79">
        <v>0</v>
      </c>
      <c r="W72" s="78">
        <f t="shared" si="63"/>
        <v>0</v>
      </c>
      <c r="X72" s="78">
        <f t="shared" si="79"/>
        <v>0</v>
      </c>
      <c r="Y72" s="78">
        <f t="shared" si="79"/>
        <v>0</v>
      </c>
      <c r="Z72" s="78">
        <f t="shared" si="79"/>
        <v>0</v>
      </c>
      <c r="AA72" s="78">
        <f t="shared" si="79"/>
        <v>0</v>
      </c>
      <c r="AB72" s="78">
        <f t="shared" si="80"/>
        <v>0</v>
      </c>
      <c r="AC72" s="78">
        <f t="shared" si="80"/>
        <v>0</v>
      </c>
      <c r="AD72" s="78">
        <f t="shared" si="80"/>
        <v>0</v>
      </c>
      <c r="AE72" s="78">
        <f t="shared" si="81"/>
        <v>0</v>
      </c>
      <c r="AF72" s="78">
        <f t="shared" si="81"/>
        <v>0</v>
      </c>
      <c r="AG72" s="78">
        <f t="shared" si="81"/>
        <v>0</v>
      </c>
      <c r="AH72" s="78">
        <f t="shared" si="81"/>
        <v>0</v>
      </c>
      <c r="AI72" s="78">
        <f t="shared" si="82"/>
        <v>0</v>
      </c>
      <c r="AJ72" s="78">
        <f t="shared" si="82"/>
        <v>0</v>
      </c>
      <c r="AK72" s="78">
        <f t="shared" si="82"/>
        <v>0</v>
      </c>
      <c r="AL72" s="78">
        <f t="shared" si="83"/>
        <v>0</v>
      </c>
      <c r="AM72" s="78">
        <f t="shared" si="83"/>
        <v>0</v>
      </c>
      <c r="AN72" s="78">
        <f t="shared" si="83"/>
        <v>0</v>
      </c>
      <c r="AO72" s="78">
        <f t="shared" si="83"/>
        <v>0</v>
      </c>
      <c r="AP72" s="78">
        <f t="shared" si="84"/>
        <v>0</v>
      </c>
      <c r="AQ72" s="78">
        <f t="shared" si="84"/>
        <v>0</v>
      </c>
      <c r="AR72" s="78">
        <f t="shared" si="84"/>
        <v>0</v>
      </c>
      <c r="AS72" s="78">
        <f t="shared" si="85"/>
        <v>0</v>
      </c>
      <c r="AT72" s="78">
        <f t="shared" si="85"/>
        <v>0</v>
      </c>
      <c r="AU72" s="78">
        <f t="shared" si="69"/>
        <v>0</v>
      </c>
      <c r="AV72" s="78">
        <f t="shared" si="70"/>
        <v>0</v>
      </c>
      <c r="AW72" s="78">
        <f t="shared" si="86"/>
        <v>0</v>
      </c>
      <c r="AX72" s="78">
        <f t="shared" si="86"/>
        <v>0</v>
      </c>
      <c r="AY72" s="78">
        <f t="shared" si="75"/>
        <v>0</v>
      </c>
      <c r="AZ72" s="78">
        <f t="shared" si="75"/>
        <v>0</v>
      </c>
      <c r="BA72" s="78"/>
      <c r="BB72" s="78">
        <f t="shared" si="62"/>
        <v>0</v>
      </c>
      <c r="BC72" s="78">
        <f t="shared" si="18"/>
        <v>0</v>
      </c>
      <c r="BD72" s="155">
        <f t="shared" si="10"/>
        <v>0</v>
      </c>
      <c r="BE72" s="78"/>
      <c r="BF72" s="23"/>
      <c r="BO72" s="80"/>
      <c r="CS72" s="72" t="s">
        <v>209</v>
      </c>
      <c r="HH72" s="74"/>
      <c r="HJ72" s="74"/>
      <c r="HL72" s="23">
        <f t="shared" ref="HL72:HL103" si="87">SUM(BG72:HK72)-V72</f>
        <v>0</v>
      </c>
      <c r="HM72" s="23"/>
    </row>
    <row r="73" spans="1:221" s="72" customFormat="1" ht="15.75" hidden="1" outlineLevel="1">
      <c r="A73" s="72" t="s">
        <v>199</v>
      </c>
      <c r="B73" s="73">
        <v>23</v>
      </c>
      <c r="D73" s="14">
        <v>9</v>
      </c>
      <c r="E73" s="72">
        <v>7</v>
      </c>
      <c r="F73" s="72" t="s">
        <v>193</v>
      </c>
      <c r="G73" s="72" t="s">
        <v>174</v>
      </c>
      <c r="H73" s="75">
        <v>36459</v>
      </c>
      <c r="I73" s="72" t="s">
        <v>123</v>
      </c>
      <c r="J73" s="72" t="s">
        <v>136</v>
      </c>
      <c r="K73" s="73"/>
      <c r="L73" s="72" t="s">
        <v>125</v>
      </c>
      <c r="N73" s="72" t="str">
        <f t="shared" si="76"/>
        <v>23W</v>
      </c>
      <c r="O73" s="72" t="str">
        <f t="shared" si="77"/>
        <v>23WBase</v>
      </c>
      <c r="Q73" s="23">
        <f t="shared" si="61"/>
        <v>0</v>
      </c>
      <c r="R73" s="23">
        <f t="shared" si="78"/>
        <v>0</v>
      </c>
      <c r="S73" s="23"/>
      <c r="T73" s="78">
        <v>37147</v>
      </c>
      <c r="U73" s="78"/>
      <c r="V73" s="79">
        <v>0</v>
      </c>
      <c r="W73" s="78">
        <f t="shared" si="63"/>
        <v>0</v>
      </c>
      <c r="X73" s="78">
        <f t="shared" si="79"/>
        <v>0</v>
      </c>
      <c r="Y73" s="78">
        <f t="shared" si="79"/>
        <v>0</v>
      </c>
      <c r="Z73" s="78">
        <f t="shared" si="79"/>
        <v>0</v>
      </c>
      <c r="AA73" s="78">
        <f t="shared" si="79"/>
        <v>0</v>
      </c>
      <c r="AB73" s="78">
        <f t="shared" si="80"/>
        <v>0</v>
      </c>
      <c r="AC73" s="78">
        <f t="shared" si="80"/>
        <v>0</v>
      </c>
      <c r="AD73" s="78">
        <f t="shared" si="80"/>
        <v>0</v>
      </c>
      <c r="AE73" s="78">
        <f t="shared" si="81"/>
        <v>0</v>
      </c>
      <c r="AF73" s="78">
        <f t="shared" si="81"/>
        <v>0</v>
      </c>
      <c r="AG73" s="78">
        <f t="shared" si="81"/>
        <v>0</v>
      </c>
      <c r="AH73" s="78">
        <f t="shared" si="81"/>
        <v>0</v>
      </c>
      <c r="AI73" s="78">
        <f t="shared" si="82"/>
        <v>0</v>
      </c>
      <c r="AJ73" s="78">
        <f t="shared" si="82"/>
        <v>0</v>
      </c>
      <c r="AK73" s="78">
        <f t="shared" si="82"/>
        <v>0</v>
      </c>
      <c r="AL73" s="78">
        <f t="shared" si="83"/>
        <v>0</v>
      </c>
      <c r="AM73" s="78">
        <f t="shared" si="83"/>
        <v>0</v>
      </c>
      <c r="AN73" s="78">
        <f t="shared" si="83"/>
        <v>0</v>
      </c>
      <c r="AO73" s="78">
        <f t="shared" si="83"/>
        <v>0</v>
      </c>
      <c r="AP73" s="78">
        <f t="shared" si="84"/>
        <v>0</v>
      </c>
      <c r="AQ73" s="78">
        <f t="shared" si="84"/>
        <v>0</v>
      </c>
      <c r="AR73" s="78">
        <f t="shared" si="84"/>
        <v>0</v>
      </c>
      <c r="AS73" s="78">
        <f t="shared" si="85"/>
        <v>0</v>
      </c>
      <c r="AT73" s="78">
        <f t="shared" si="85"/>
        <v>0</v>
      </c>
      <c r="AU73" s="78">
        <f t="shared" si="69"/>
        <v>0</v>
      </c>
      <c r="AV73" s="78">
        <f t="shared" si="70"/>
        <v>0</v>
      </c>
      <c r="AW73" s="78">
        <f t="shared" si="86"/>
        <v>0</v>
      </c>
      <c r="AX73" s="78">
        <f t="shared" si="86"/>
        <v>0</v>
      </c>
      <c r="AY73" s="78">
        <f t="shared" si="75"/>
        <v>0</v>
      </c>
      <c r="AZ73" s="78">
        <f t="shared" si="75"/>
        <v>0</v>
      </c>
      <c r="BA73" s="78"/>
      <c r="BB73" s="78">
        <f t="shared" si="62"/>
        <v>0</v>
      </c>
      <c r="BC73" s="78">
        <f t="shared" si="18"/>
        <v>0</v>
      </c>
      <c r="BD73" s="155">
        <f t="shared" ref="BD73:BD136" si="88">MAX(V73:AZ73)</f>
        <v>0</v>
      </c>
      <c r="BE73" s="78"/>
      <c r="BF73" s="23"/>
      <c r="BO73" s="80"/>
      <c r="CU73" s="72" t="s">
        <v>210</v>
      </c>
      <c r="HH73" s="74"/>
      <c r="HJ73" s="74"/>
      <c r="HL73" s="23">
        <f t="shared" si="87"/>
        <v>0</v>
      </c>
      <c r="HM73" s="23"/>
    </row>
    <row r="74" spans="1:221" s="72" customFormat="1" ht="15.75" hidden="1" outlineLevel="1">
      <c r="A74" s="72" t="s">
        <v>199</v>
      </c>
      <c r="B74" s="73">
        <v>23</v>
      </c>
      <c r="D74" s="14">
        <v>1</v>
      </c>
      <c r="E74" s="72">
        <v>7</v>
      </c>
      <c r="F74" s="72" t="s">
        <v>211</v>
      </c>
      <c r="G74" s="74" t="s">
        <v>202</v>
      </c>
      <c r="H74" s="111">
        <v>36495</v>
      </c>
      <c r="I74" s="72" t="s">
        <v>123</v>
      </c>
      <c r="J74" s="72" t="s">
        <v>136</v>
      </c>
      <c r="K74" s="73"/>
      <c r="L74" s="72" t="s">
        <v>125</v>
      </c>
      <c r="N74" s="72" t="str">
        <f t="shared" si="76"/>
        <v>23W</v>
      </c>
      <c r="O74" s="72" t="str">
        <f t="shared" si="77"/>
        <v>23WBase</v>
      </c>
      <c r="Q74" s="23">
        <f t="shared" si="61"/>
        <v>0</v>
      </c>
      <c r="R74" s="23">
        <f t="shared" si="78"/>
        <v>0</v>
      </c>
      <c r="S74" s="23"/>
      <c r="T74" s="78">
        <v>37147</v>
      </c>
      <c r="U74" s="78"/>
      <c r="V74" s="79">
        <v>0</v>
      </c>
      <c r="W74" s="78">
        <f t="shared" ref="W74:W88" si="89">V74</f>
        <v>0</v>
      </c>
      <c r="X74" s="78">
        <f t="shared" si="79"/>
        <v>0</v>
      </c>
      <c r="Y74" s="78">
        <f t="shared" si="79"/>
        <v>0</v>
      </c>
      <c r="Z74" s="78">
        <f t="shared" si="79"/>
        <v>0</v>
      </c>
      <c r="AA74" s="78">
        <f t="shared" si="79"/>
        <v>0</v>
      </c>
      <c r="AB74" s="78">
        <f t="shared" si="80"/>
        <v>0</v>
      </c>
      <c r="AC74" s="78">
        <f t="shared" si="80"/>
        <v>0</v>
      </c>
      <c r="AD74" s="78">
        <f t="shared" si="80"/>
        <v>0</v>
      </c>
      <c r="AE74" s="78">
        <f t="shared" si="81"/>
        <v>0</v>
      </c>
      <c r="AF74" s="78">
        <f t="shared" si="81"/>
        <v>0</v>
      </c>
      <c r="AG74" s="78">
        <f t="shared" si="81"/>
        <v>0</v>
      </c>
      <c r="AH74" s="78">
        <f t="shared" si="81"/>
        <v>0</v>
      </c>
      <c r="AI74" s="78">
        <f t="shared" si="82"/>
        <v>0</v>
      </c>
      <c r="AJ74" s="78">
        <f t="shared" si="82"/>
        <v>0</v>
      </c>
      <c r="AK74" s="78">
        <f t="shared" si="82"/>
        <v>0</v>
      </c>
      <c r="AL74" s="78">
        <f t="shared" si="83"/>
        <v>0</v>
      </c>
      <c r="AM74" s="78">
        <f t="shared" si="83"/>
        <v>0</v>
      </c>
      <c r="AN74" s="78">
        <f t="shared" si="83"/>
        <v>0</v>
      </c>
      <c r="AO74" s="78">
        <f t="shared" si="83"/>
        <v>0</v>
      </c>
      <c r="AP74" s="78">
        <f t="shared" si="84"/>
        <v>0</v>
      </c>
      <c r="AQ74" s="78">
        <f t="shared" si="84"/>
        <v>0</v>
      </c>
      <c r="AR74" s="78">
        <f t="shared" si="84"/>
        <v>0</v>
      </c>
      <c r="AS74" s="78">
        <f t="shared" si="85"/>
        <v>0</v>
      </c>
      <c r="AT74" s="78">
        <f t="shared" si="85"/>
        <v>0</v>
      </c>
      <c r="AU74" s="78">
        <f t="shared" si="69"/>
        <v>0</v>
      </c>
      <c r="AV74" s="78">
        <f t="shared" si="70"/>
        <v>0</v>
      </c>
      <c r="AW74" s="78">
        <f t="shared" si="86"/>
        <v>0</v>
      </c>
      <c r="AX74" s="78">
        <f t="shared" si="86"/>
        <v>0</v>
      </c>
      <c r="AY74" s="78">
        <f t="shared" si="75"/>
        <v>0</v>
      </c>
      <c r="AZ74" s="78">
        <f t="shared" si="75"/>
        <v>0</v>
      </c>
      <c r="BA74" s="78"/>
      <c r="BB74" s="78">
        <f t="shared" si="62"/>
        <v>0</v>
      </c>
      <c r="BC74" s="78">
        <f t="shared" si="18"/>
        <v>0</v>
      </c>
      <c r="BD74" s="155">
        <f t="shared" si="88"/>
        <v>0</v>
      </c>
      <c r="BE74" s="78"/>
      <c r="BF74" s="23"/>
      <c r="BO74" s="80"/>
      <c r="HH74" s="74"/>
      <c r="HJ74" s="74"/>
      <c r="HL74" s="23">
        <f t="shared" si="87"/>
        <v>0</v>
      </c>
      <c r="HM74" s="23"/>
    </row>
    <row r="75" spans="1:221" s="72" customFormat="1" ht="15.75" hidden="1" outlineLevel="1">
      <c r="A75" s="72" t="s">
        <v>199</v>
      </c>
      <c r="B75" s="73">
        <v>23</v>
      </c>
      <c r="D75" s="14">
        <v>3</v>
      </c>
      <c r="E75" s="72">
        <v>7</v>
      </c>
      <c r="F75" s="72" t="s">
        <v>211</v>
      </c>
      <c r="G75" s="74" t="s">
        <v>202</v>
      </c>
      <c r="H75" s="111">
        <v>36495</v>
      </c>
      <c r="I75" s="72" t="s">
        <v>123</v>
      </c>
      <c r="J75" s="72" t="s">
        <v>136</v>
      </c>
      <c r="K75" s="73"/>
      <c r="L75" s="72" t="s">
        <v>125</v>
      </c>
      <c r="N75" s="72" t="str">
        <f t="shared" si="76"/>
        <v>23W</v>
      </c>
      <c r="O75" s="72" t="str">
        <f t="shared" si="77"/>
        <v>23WBase</v>
      </c>
      <c r="Q75" s="23">
        <f t="shared" si="61"/>
        <v>0</v>
      </c>
      <c r="R75" s="23">
        <f t="shared" si="78"/>
        <v>0</v>
      </c>
      <c r="S75" s="23"/>
      <c r="T75" s="78">
        <v>37147</v>
      </c>
      <c r="U75" s="78"/>
      <c r="V75" s="79">
        <v>0</v>
      </c>
      <c r="W75" s="78">
        <f t="shared" si="89"/>
        <v>0</v>
      </c>
      <c r="X75" s="78">
        <f t="shared" si="79"/>
        <v>0</v>
      </c>
      <c r="Y75" s="78">
        <f t="shared" si="79"/>
        <v>0</v>
      </c>
      <c r="Z75" s="78">
        <f t="shared" si="79"/>
        <v>0</v>
      </c>
      <c r="AA75" s="78">
        <f t="shared" si="79"/>
        <v>0</v>
      </c>
      <c r="AB75" s="78">
        <f t="shared" si="80"/>
        <v>0</v>
      </c>
      <c r="AC75" s="78">
        <f t="shared" si="80"/>
        <v>0</v>
      </c>
      <c r="AD75" s="78">
        <f t="shared" si="80"/>
        <v>0</v>
      </c>
      <c r="AE75" s="78">
        <f t="shared" si="81"/>
        <v>0</v>
      </c>
      <c r="AF75" s="78">
        <f t="shared" si="81"/>
        <v>0</v>
      </c>
      <c r="AG75" s="78">
        <f t="shared" si="81"/>
        <v>0</v>
      </c>
      <c r="AH75" s="78">
        <f t="shared" si="81"/>
        <v>0</v>
      </c>
      <c r="AI75" s="78">
        <f t="shared" si="82"/>
        <v>0</v>
      </c>
      <c r="AJ75" s="78">
        <f t="shared" si="82"/>
        <v>0</v>
      </c>
      <c r="AK75" s="78">
        <f t="shared" si="82"/>
        <v>0</v>
      </c>
      <c r="AL75" s="78">
        <f t="shared" si="83"/>
        <v>0</v>
      </c>
      <c r="AM75" s="78">
        <f t="shared" si="83"/>
        <v>0</v>
      </c>
      <c r="AN75" s="78">
        <f t="shared" si="83"/>
        <v>0</v>
      </c>
      <c r="AO75" s="78">
        <f t="shared" si="83"/>
        <v>0</v>
      </c>
      <c r="AP75" s="78">
        <f t="shared" si="84"/>
        <v>0</v>
      </c>
      <c r="AQ75" s="78">
        <f t="shared" si="84"/>
        <v>0</v>
      </c>
      <c r="AR75" s="78">
        <f t="shared" si="84"/>
        <v>0</v>
      </c>
      <c r="AS75" s="78">
        <f t="shared" si="85"/>
        <v>0</v>
      </c>
      <c r="AT75" s="78">
        <f t="shared" si="85"/>
        <v>0</v>
      </c>
      <c r="AU75" s="78">
        <f t="shared" si="69"/>
        <v>0</v>
      </c>
      <c r="AV75" s="78">
        <f t="shared" si="70"/>
        <v>0</v>
      </c>
      <c r="AW75" s="78">
        <f t="shared" si="86"/>
        <v>0</v>
      </c>
      <c r="AX75" s="78">
        <f t="shared" si="86"/>
        <v>0</v>
      </c>
      <c r="AY75" s="78">
        <f t="shared" si="75"/>
        <v>0</v>
      </c>
      <c r="AZ75" s="78">
        <f t="shared" si="75"/>
        <v>0</v>
      </c>
      <c r="BA75" s="78"/>
      <c r="BB75" s="78">
        <f t="shared" si="62"/>
        <v>0</v>
      </c>
      <c r="BC75" s="78">
        <f t="shared" si="18"/>
        <v>0</v>
      </c>
      <c r="BD75" s="155">
        <f t="shared" si="88"/>
        <v>0</v>
      </c>
      <c r="BE75" s="78"/>
      <c r="BF75" s="23"/>
      <c r="BO75" s="80"/>
      <c r="HH75" s="74"/>
      <c r="HJ75" s="74"/>
      <c r="HL75" s="23">
        <f t="shared" si="87"/>
        <v>0</v>
      </c>
      <c r="HM75" s="23"/>
    </row>
    <row r="76" spans="1:221" s="72" customFormat="1" ht="15.75" hidden="1" outlineLevel="1">
      <c r="A76" s="72" t="s">
        <v>199</v>
      </c>
      <c r="B76" s="73">
        <v>23</v>
      </c>
      <c r="D76" s="14">
        <v>4</v>
      </c>
      <c r="E76" s="72">
        <v>7</v>
      </c>
      <c r="F76" s="72" t="s">
        <v>211</v>
      </c>
      <c r="G76" s="74" t="s">
        <v>202</v>
      </c>
      <c r="H76" s="111">
        <v>36495</v>
      </c>
      <c r="I76" s="72" t="s">
        <v>123</v>
      </c>
      <c r="J76" s="72" t="s">
        <v>136</v>
      </c>
      <c r="K76" s="73"/>
      <c r="L76" s="72" t="s">
        <v>125</v>
      </c>
      <c r="N76" s="72" t="str">
        <f t="shared" si="76"/>
        <v>23W</v>
      </c>
      <c r="O76" s="72" t="str">
        <f t="shared" si="77"/>
        <v>23WBase</v>
      </c>
      <c r="Q76" s="23">
        <f t="shared" si="61"/>
        <v>0</v>
      </c>
      <c r="R76" s="23">
        <f t="shared" si="78"/>
        <v>0</v>
      </c>
      <c r="S76" s="23"/>
      <c r="T76" s="78">
        <v>37147</v>
      </c>
      <c r="U76" s="78"/>
      <c r="V76" s="79">
        <v>0</v>
      </c>
      <c r="W76" s="78">
        <f t="shared" si="89"/>
        <v>0</v>
      </c>
      <c r="X76" s="78">
        <f t="shared" si="79"/>
        <v>0</v>
      </c>
      <c r="Y76" s="78">
        <f t="shared" si="79"/>
        <v>0</v>
      </c>
      <c r="Z76" s="78">
        <f t="shared" si="79"/>
        <v>0</v>
      </c>
      <c r="AA76" s="78">
        <f t="shared" si="79"/>
        <v>0</v>
      </c>
      <c r="AB76" s="78">
        <f t="shared" si="80"/>
        <v>0</v>
      </c>
      <c r="AC76" s="78">
        <f t="shared" si="80"/>
        <v>0</v>
      </c>
      <c r="AD76" s="78">
        <f t="shared" si="80"/>
        <v>0</v>
      </c>
      <c r="AE76" s="78">
        <f t="shared" si="81"/>
        <v>0</v>
      </c>
      <c r="AF76" s="78">
        <f t="shared" si="81"/>
        <v>0</v>
      </c>
      <c r="AG76" s="78">
        <f t="shared" si="81"/>
        <v>0</v>
      </c>
      <c r="AH76" s="78">
        <f t="shared" si="81"/>
        <v>0</v>
      </c>
      <c r="AI76" s="78">
        <f t="shared" si="82"/>
        <v>0</v>
      </c>
      <c r="AJ76" s="78">
        <f t="shared" si="82"/>
        <v>0</v>
      </c>
      <c r="AK76" s="78">
        <f t="shared" si="82"/>
        <v>0</v>
      </c>
      <c r="AL76" s="78">
        <f t="shared" si="83"/>
        <v>0</v>
      </c>
      <c r="AM76" s="78">
        <f t="shared" si="83"/>
        <v>0</v>
      </c>
      <c r="AN76" s="78">
        <f t="shared" si="83"/>
        <v>0</v>
      </c>
      <c r="AO76" s="78">
        <f t="shared" si="83"/>
        <v>0</v>
      </c>
      <c r="AP76" s="78">
        <f t="shared" si="84"/>
        <v>0</v>
      </c>
      <c r="AQ76" s="78">
        <f t="shared" si="84"/>
        <v>0</v>
      </c>
      <c r="AR76" s="78">
        <f t="shared" si="84"/>
        <v>0</v>
      </c>
      <c r="AS76" s="78">
        <f t="shared" si="85"/>
        <v>0</v>
      </c>
      <c r="AT76" s="78">
        <f t="shared" si="85"/>
        <v>0</v>
      </c>
      <c r="AU76" s="78">
        <f t="shared" si="69"/>
        <v>0</v>
      </c>
      <c r="AV76" s="78">
        <f t="shared" si="70"/>
        <v>0</v>
      </c>
      <c r="AW76" s="78">
        <f t="shared" si="86"/>
        <v>0</v>
      </c>
      <c r="AX76" s="78">
        <f t="shared" si="86"/>
        <v>0</v>
      </c>
      <c r="AY76" s="78">
        <f t="shared" si="75"/>
        <v>0</v>
      </c>
      <c r="AZ76" s="78">
        <f t="shared" si="75"/>
        <v>0</v>
      </c>
      <c r="BA76" s="78"/>
      <c r="BB76" s="78">
        <f t="shared" si="62"/>
        <v>0</v>
      </c>
      <c r="BC76" s="78">
        <f t="shared" si="18"/>
        <v>0</v>
      </c>
      <c r="BD76" s="155">
        <f t="shared" si="88"/>
        <v>0</v>
      </c>
      <c r="BE76" s="78"/>
      <c r="BF76" s="23"/>
      <c r="BO76" s="80"/>
      <c r="HH76" s="74"/>
      <c r="HJ76" s="74"/>
      <c r="HL76" s="23">
        <f t="shared" si="87"/>
        <v>0</v>
      </c>
      <c r="HM76" s="23"/>
    </row>
    <row r="77" spans="1:221" s="72" customFormat="1" ht="15.75" hidden="1" outlineLevel="1">
      <c r="A77" s="72" t="s">
        <v>199</v>
      </c>
      <c r="B77" s="73">
        <v>23</v>
      </c>
      <c r="D77" s="14">
        <v>5</v>
      </c>
      <c r="E77" s="72">
        <v>7</v>
      </c>
      <c r="F77" s="72" t="s">
        <v>211</v>
      </c>
      <c r="G77" s="74" t="s">
        <v>202</v>
      </c>
      <c r="H77" s="111">
        <v>36495</v>
      </c>
      <c r="I77" s="72" t="s">
        <v>123</v>
      </c>
      <c r="J77" s="72" t="s">
        <v>136</v>
      </c>
      <c r="K77" s="73"/>
      <c r="L77" s="72" t="s">
        <v>125</v>
      </c>
      <c r="N77" s="72" t="str">
        <f t="shared" si="76"/>
        <v>23W</v>
      </c>
      <c r="O77" s="72" t="str">
        <f t="shared" si="77"/>
        <v>23WBase</v>
      </c>
      <c r="Q77" s="23">
        <f t="shared" si="61"/>
        <v>0</v>
      </c>
      <c r="R77" s="23">
        <f t="shared" si="78"/>
        <v>0</v>
      </c>
      <c r="S77" s="23"/>
      <c r="T77" s="78">
        <v>37147</v>
      </c>
      <c r="U77" s="78"/>
      <c r="V77" s="79">
        <v>0</v>
      </c>
      <c r="W77" s="78">
        <f t="shared" si="89"/>
        <v>0</v>
      </c>
      <c r="X77" s="78">
        <f t="shared" si="79"/>
        <v>0</v>
      </c>
      <c r="Y77" s="78">
        <f t="shared" si="79"/>
        <v>0</v>
      </c>
      <c r="Z77" s="78">
        <f t="shared" si="79"/>
        <v>0</v>
      </c>
      <c r="AA77" s="78">
        <f t="shared" si="79"/>
        <v>0</v>
      </c>
      <c r="AB77" s="78">
        <f t="shared" si="80"/>
        <v>0</v>
      </c>
      <c r="AC77" s="78">
        <f t="shared" si="80"/>
        <v>0</v>
      </c>
      <c r="AD77" s="78">
        <f t="shared" si="80"/>
        <v>0</v>
      </c>
      <c r="AE77" s="78">
        <f t="shared" si="81"/>
        <v>0</v>
      </c>
      <c r="AF77" s="78">
        <f t="shared" si="81"/>
        <v>0</v>
      </c>
      <c r="AG77" s="78">
        <f t="shared" si="81"/>
        <v>0</v>
      </c>
      <c r="AH77" s="78">
        <f t="shared" si="81"/>
        <v>0</v>
      </c>
      <c r="AI77" s="78">
        <f t="shared" si="82"/>
        <v>0</v>
      </c>
      <c r="AJ77" s="78">
        <f t="shared" si="82"/>
        <v>0</v>
      </c>
      <c r="AK77" s="78">
        <f t="shared" si="82"/>
        <v>0</v>
      </c>
      <c r="AL77" s="78">
        <f t="shared" si="83"/>
        <v>0</v>
      </c>
      <c r="AM77" s="78">
        <f t="shared" si="83"/>
        <v>0</v>
      </c>
      <c r="AN77" s="78">
        <f t="shared" si="83"/>
        <v>0</v>
      </c>
      <c r="AO77" s="78">
        <f t="shared" si="83"/>
        <v>0</v>
      </c>
      <c r="AP77" s="78">
        <f t="shared" si="84"/>
        <v>0</v>
      </c>
      <c r="AQ77" s="78">
        <f t="shared" si="84"/>
        <v>0</v>
      </c>
      <c r="AR77" s="78">
        <f t="shared" si="84"/>
        <v>0</v>
      </c>
      <c r="AS77" s="78">
        <f t="shared" si="85"/>
        <v>0</v>
      </c>
      <c r="AT77" s="78">
        <f t="shared" si="85"/>
        <v>0</v>
      </c>
      <c r="AU77" s="78">
        <f t="shared" si="69"/>
        <v>0</v>
      </c>
      <c r="AV77" s="78">
        <f t="shared" ref="AV77:AV106" si="90">AU77</f>
        <v>0</v>
      </c>
      <c r="AW77" s="78">
        <f t="shared" si="86"/>
        <v>0</v>
      </c>
      <c r="AX77" s="78">
        <f t="shared" si="86"/>
        <v>0</v>
      </c>
      <c r="AY77" s="78">
        <f t="shared" si="75"/>
        <v>0</v>
      </c>
      <c r="AZ77" s="78">
        <f t="shared" si="75"/>
        <v>0</v>
      </c>
      <c r="BA77" s="78"/>
      <c r="BB77" s="78">
        <f t="shared" si="62"/>
        <v>0</v>
      </c>
      <c r="BC77" s="78">
        <f t="shared" si="18"/>
        <v>0</v>
      </c>
      <c r="BD77" s="155">
        <f t="shared" si="88"/>
        <v>0</v>
      </c>
      <c r="BE77" s="78"/>
      <c r="BF77" s="23"/>
      <c r="BO77" s="80"/>
      <c r="HH77" s="74"/>
      <c r="HJ77" s="74"/>
      <c r="HL77" s="23">
        <f t="shared" si="87"/>
        <v>0</v>
      </c>
      <c r="HM77" s="23"/>
    </row>
    <row r="78" spans="1:221" s="72" customFormat="1" ht="15.75" hidden="1" outlineLevel="1">
      <c r="A78" s="72" t="s">
        <v>199</v>
      </c>
      <c r="B78" s="73">
        <v>23</v>
      </c>
      <c r="D78" s="14">
        <v>6</v>
      </c>
      <c r="E78" s="72">
        <v>7</v>
      </c>
      <c r="F78" s="72" t="s">
        <v>211</v>
      </c>
      <c r="G78" s="74" t="s">
        <v>202</v>
      </c>
      <c r="H78" s="111">
        <v>36495</v>
      </c>
      <c r="I78" s="72" t="s">
        <v>123</v>
      </c>
      <c r="J78" s="72" t="s">
        <v>136</v>
      </c>
      <c r="K78" s="73"/>
      <c r="L78" s="72" t="s">
        <v>125</v>
      </c>
      <c r="N78" s="72" t="str">
        <f t="shared" si="76"/>
        <v>23W</v>
      </c>
      <c r="O78" s="72" t="str">
        <f t="shared" si="77"/>
        <v>23WBase</v>
      </c>
      <c r="Q78" s="23">
        <f t="shared" si="61"/>
        <v>0</v>
      </c>
      <c r="R78" s="23">
        <f t="shared" si="78"/>
        <v>0</v>
      </c>
      <c r="S78" s="23"/>
      <c r="T78" s="78">
        <v>37147</v>
      </c>
      <c r="U78" s="78"/>
      <c r="V78" s="79">
        <v>0</v>
      </c>
      <c r="W78" s="78">
        <f t="shared" si="89"/>
        <v>0</v>
      </c>
      <c r="X78" s="78">
        <f t="shared" si="79"/>
        <v>0</v>
      </c>
      <c r="Y78" s="78">
        <f t="shared" si="79"/>
        <v>0</v>
      </c>
      <c r="Z78" s="78">
        <f t="shared" si="79"/>
        <v>0</v>
      </c>
      <c r="AA78" s="78">
        <f t="shared" si="79"/>
        <v>0</v>
      </c>
      <c r="AB78" s="78">
        <f t="shared" si="80"/>
        <v>0</v>
      </c>
      <c r="AC78" s="78">
        <f t="shared" si="80"/>
        <v>0</v>
      </c>
      <c r="AD78" s="78">
        <f t="shared" si="80"/>
        <v>0</v>
      </c>
      <c r="AE78" s="78">
        <f t="shared" si="81"/>
        <v>0</v>
      </c>
      <c r="AF78" s="78">
        <f t="shared" si="81"/>
        <v>0</v>
      </c>
      <c r="AG78" s="78">
        <f t="shared" si="81"/>
        <v>0</v>
      </c>
      <c r="AH78" s="78">
        <f t="shared" si="81"/>
        <v>0</v>
      </c>
      <c r="AI78" s="78">
        <f t="shared" si="82"/>
        <v>0</v>
      </c>
      <c r="AJ78" s="78">
        <f t="shared" si="82"/>
        <v>0</v>
      </c>
      <c r="AK78" s="78">
        <f t="shared" si="82"/>
        <v>0</v>
      </c>
      <c r="AL78" s="78">
        <f t="shared" si="83"/>
        <v>0</v>
      </c>
      <c r="AM78" s="78">
        <f t="shared" si="83"/>
        <v>0</v>
      </c>
      <c r="AN78" s="78">
        <f t="shared" si="83"/>
        <v>0</v>
      </c>
      <c r="AO78" s="78">
        <f t="shared" si="83"/>
        <v>0</v>
      </c>
      <c r="AP78" s="78">
        <f t="shared" si="84"/>
        <v>0</v>
      </c>
      <c r="AQ78" s="78">
        <f t="shared" si="84"/>
        <v>0</v>
      </c>
      <c r="AR78" s="78">
        <f t="shared" si="84"/>
        <v>0</v>
      </c>
      <c r="AS78" s="78">
        <f t="shared" si="85"/>
        <v>0</v>
      </c>
      <c r="AT78" s="78">
        <f t="shared" si="85"/>
        <v>0</v>
      </c>
      <c r="AU78" s="78">
        <f t="shared" ref="AU78:AU107" si="91">AT78</f>
        <v>0</v>
      </c>
      <c r="AV78" s="78">
        <f t="shared" si="90"/>
        <v>0</v>
      </c>
      <c r="AW78" s="78">
        <f t="shared" si="86"/>
        <v>0</v>
      </c>
      <c r="AX78" s="78">
        <f t="shared" si="86"/>
        <v>0</v>
      </c>
      <c r="AY78" s="78">
        <f t="shared" si="75"/>
        <v>0</v>
      </c>
      <c r="AZ78" s="78">
        <f t="shared" si="75"/>
        <v>0</v>
      </c>
      <c r="BA78" s="78"/>
      <c r="BB78" s="78">
        <f t="shared" si="62"/>
        <v>0</v>
      </c>
      <c r="BC78" s="78">
        <f t="shared" si="18"/>
        <v>0</v>
      </c>
      <c r="BD78" s="155">
        <f t="shared" si="88"/>
        <v>0</v>
      </c>
      <c r="BE78" s="78"/>
      <c r="BF78" s="23"/>
      <c r="BO78" s="80"/>
      <c r="HH78" s="74"/>
      <c r="HJ78" s="74"/>
      <c r="HL78" s="23">
        <f t="shared" si="87"/>
        <v>0</v>
      </c>
      <c r="HM78" s="23"/>
    </row>
    <row r="79" spans="1:221" s="72" customFormat="1" ht="15.75" hidden="1" outlineLevel="1">
      <c r="A79" s="72" t="s">
        <v>199</v>
      </c>
      <c r="B79" s="73">
        <v>23</v>
      </c>
      <c r="D79" s="14">
        <v>8</v>
      </c>
      <c r="E79" s="72">
        <v>7</v>
      </c>
      <c r="F79" s="72" t="s">
        <v>211</v>
      </c>
      <c r="G79" s="74" t="s">
        <v>202</v>
      </c>
      <c r="H79" s="111">
        <v>36495</v>
      </c>
      <c r="I79" s="72" t="s">
        <v>123</v>
      </c>
      <c r="J79" s="72" t="s">
        <v>136</v>
      </c>
      <c r="K79" s="73"/>
      <c r="L79" s="72" t="s">
        <v>125</v>
      </c>
      <c r="N79" s="72" t="str">
        <f t="shared" si="76"/>
        <v>23W</v>
      </c>
      <c r="O79" s="72" t="str">
        <f t="shared" si="77"/>
        <v>23WBase</v>
      </c>
      <c r="Q79" s="23">
        <f t="shared" si="61"/>
        <v>0</v>
      </c>
      <c r="R79" s="23">
        <f t="shared" si="78"/>
        <v>0</v>
      </c>
      <c r="S79" s="23"/>
      <c r="T79" s="78">
        <v>37147</v>
      </c>
      <c r="U79" s="78"/>
      <c r="V79" s="79">
        <v>0</v>
      </c>
      <c r="W79" s="78">
        <f t="shared" si="89"/>
        <v>0</v>
      </c>
      <c r="X79" s="78">
        <f t="shared" si="79"/>
        <v>0</v>
      </c>
      <c r="Y79" s="78">
        <f t="shared" si="79"/>
        <v>0</v>
      </c>
      <c r="Z79" s="78">
        <f t="shared" si="79"/>
        <v>0</v>
      </c>
      <c r="AA79" s="78">
        <f t="shared" si="79"/>
        <v>0</v>
      </c>
      <c r="AB79" s="78">
        <f t="shared" si="80"/>
        <v>0</v>
      </c>
      <c r="AC79" s="78">
        <f t="shared" si="80"/>
        <v>0</v>
      </c>
      <c r="AD79" s="78">
        <f t="shared" si="80"/>
        <v>0</v>
      </c>
      <c r="AE79" s="78">
        <f t="shared" si="81"/>
        <v>0</v>
      </c>
      <c r="AF79" s="78">
        <f t="shared" si="81"/>
        <v>0</v>
      </c>
      <c r="AG79" s="78">
        <f t="shared" si="81"/>
        <v>0</v>
      </c>
      <c r="AH79" s="78">
        <f t="shared" si="81"/>
        <v>0</v>
      </c>
      <c r="AI79" s="78">
        <f t="shared" si="82"/>
        <v>0</v>
      </c>
      <c r="AJ79" s="78">
        <f t="shared" si="82"/>
        <v>0</v>
      </c>
      <c r="AK79" s="78">
        <f t="shared" si="82"/>
        <v>0</v>
      </c>
      <c r="AL79" s="78">
        <f t="shared" si="83"/>
        <v>0</v>
      </c>
      <c r="AM79" s="78">
        <f t="shared" si="83"/>
        <v>0</v>
      </c>
      <c r="AN79" s="78">
        <f t="shared" si="83"/>
        <v>0</v>
      </c>
      <c r="AO79" s="78">
        <f t="shared" si="83"/>
        <v>0</v>
      </c>
      <c r="AP79" s="78">
        <f t="shared" si="84"/>
        <v>0</v>
      </c>
      <c r="AQ79" s="78">
        <f t="shared" si="84"/>
        <v>0</v>
      </c>
      <c r="AR79" s="78">
        <f t="shared" si="84"/>
        <v>0</v>
      </c>
      <c r="AS79" s="78">
        <f t="shared" si="85"/>
        <v>0</v>
      </c>
      <c r="AT79" s="78">
        <f t="shared" si="85"/>
        <v>0</v>
      </c>
      <c r="AU79" s="78">
        <f t="shared" si="91"/>
        <v>0</v>
      </c>
      <c r="AV79" s="78">
        <f t="shared" si="90"/>
        <v>0</v>
      </c>
      <c r="AW79" s="78">
        <f t="shared" si="86"/>
        <v>0</v>
      </c>
      <c r="AX79" s="78">
        <f t="shared" si="86"/>
        <v>0</v>
      </c>
      <c r="AY79" s="78">
        <f t="shared" si="75"/>
        <v>0</v>
      </c>
      <c r="AZ79" s="78">
        <f t="shared" si="75"/>
        <v>0</v>
      </c>
      <c r="BA79" s="78"/>
      <c r="BB79" s="78">
        <f t="shared" si="62"/>
        <v>0</v>
      </c>
      <c r="BC79" s="78">
        <f t="shared" si="18"/>
        <v>0</v>
      </c>
      <c r="BD79" s="155">
        <f t="shared" si="88"/>
        <v>0</v>
      </c>
      <c r="BE79" s="78"/>
      <c r="BF79" s="23"/>
      <c r="BO79" s="80"/>
      <c r="HH79" s="74"/>
      <c r="HJ79" s="74"/>
      <c r="HL79" s="23">
        <f t="shared" si="87"/>
        <v>0</v>
      </c>
      <c r="HM79" s="23"/>
    </row>
    <row r="80" spans="1:221" s="72" customFormat="1" ht="15.75" hidden="1" outlineLevel="1">
      <c r="A80" s="72" t="s">
        <v>199</v>
      </c>
      <c r="B80" s="73">
        <v>23</v>
      </c>
      <c r="D80" s="14">
        <v>9</v>
      </c>
      <c r="E80" s="72">
        <v>7</v>
      </c>
      <c r="F80" s="72" t="s">
        <v>211</v>
      </c>
      <c r="G80" s="74" t="s">
        <v>202</v>
      </c>
      <c r="H80" s="111">
        <v>36495</v>
      </c>
      <c r="I80" s="72" t="s">
        <v>123</v>
      </c>
      <c r="J80" s="72" t="s">
        <v>136</v>
      </c>
      <c r="K80" s="73"/>
      <c r="L80" s="72" t="s">
        <v>125</v>
      </c>
      <c r="N80" s="72" t="str">
        <f t="shared" si="76"/>
        <v>23W</v>
      </c>
      <c r="O80" s="72" t="str">
        <f t="shared" si="77"/>
        <v>23WBase</v>
      </c>
      <c r="Q80" s="23">
        <f t="shared" si="61"/>
        <v>0</v>
      </c>
      <c r="R80" s="23">
        <f t="shared" si="78"/>
        <v>0</v>
      </c>
      <c r="S80" s="23"/>
      <c r="T80" s="78">
        <v>37147</v>
      </c>
      <c r="U80" s="78"/>
      <c r="V80" s="79">
        <v>0</v>
      </c>
      <c r="W80" s="78">
        <f t="shared" si="89"/>
        <v>0</v>
      </c>
      <c r="X80" s="78">
        <f t="shared" si="79"/>
        <v>0</v>
      </c>
      <c r="Y80" s="78">
        <f t="shared" si="79"/>
        <v>0</v>
      </c>
      <c r="Z80" s="78">
        <f t="shared" si="79"/>
        <v>0</v>
      </c>
      <c r="AA80" s="78">
        <f t="shared" si="79"/>
        <v>0</v>
      </c>
      <c r="AB80" s="78">
        <f t="shared" si="80"/>
        <v>0</v>
      </c>
      <c r="AC80" s="78">
        <f t="shared" si="80"/>
        <v>0</v>
      </c>
      <c r="AD80" s="78">
        <f t="shared" si="80"/>
        <v>0</v>
      </c>
      <c r="AE80" s="78">
        <f t="shared" si="81"/>
        <v>0</v>
      </c>
      <c r="AF80" s="78">
        <f t="shared" si="81"/>
        <v>0</v>
      </c>
      <c r="AG80" s="78">
        <f t="shared" si="81"/>
        <v>0</v>
      </c>
      <c r="AH80" s="78">
        <f t="shared" si="81"/>
        <v>0</v>
      </c>
      <c r="AI80" s="78">
        <f t="shared" si="82"/>
        <v>0</v>
      </c>
      <c r="AJ80" s="78">
        <f t="shared" si="82"/>
        <v>0</v>
      </c>
      <c r="AK80" s="78">
        <f t="shared" si="82"/>
        <v>0</v>
      </c>
      <c r="AL80" s="78">
        <f t="shared" si="83"/>
        <v>0</v>
      </c>
      <c r="AM80" s="78">
        <f t="shared" si="83"/>
        <v>0</v>
      </c>
      <c r="AN80" s="78">
        <f t="shared" si="83"/>
        <v>0</v>
      </c>
      <c r="AO80" s="78">
        <f t="shared" si="83"/>
        <v>0</v>
      </c>
      <c r="AP80" s="78">
        <f t="shared" si="84"/>
        <v>0</v>
      </c>
      <c r="AQ80" s="78">
        <f t="shared" si="84"/>
        <v>0</v>
      </c>
      <c r="AR80" s="78">
        <f t="shared" si="84"/>
        <v>0</v>
      </c>
      <c r="AS80" s="78">
        <f t="shared" si="85"/>
        <v>0</v>
      </c>
      <c r="AT80" s="78">
        <f t="shared" si="85"/>
        <v>0</v>
      </c>
      <c r="AU80" s="78">
        <f t="shared" si="91"/>
        <v>0</v>
      </c>
      <c r="AV80" s="78">
        <f t="shared" si="90"/>
        <v>0</v>
      </c>
      <c r="AW80" s="78">
        <f t="shared" si="86"/>
        <v>0</v>
      </c>
      <c r="AX80" s="78">
        <f t="shared" si="86"/>
        <v>0</v>
      </c>
      <c r="AY80" s="78">
        <f t="shared" ref="AY80:AZ99" si="92">AX80</f>
        <v>0</v>
      </c>
      <c r="AZ80" s="78">
        <f t="shared" si="92"/>
        <v>0</v>
      </c>
      <c r="BA80" s="78"/>
      <c r="BB80" s="78">
        <f t="shared" si="62"/>
        <v>0</v>
      </c>
      <c r="BC80" s="78">
        <f t="shared" ref="BC80:BC140" si="93">+BB80/31</f>
        <v>0</v>
      </c>
      <c r="BD80" s="155">
        <f t="shared" si="88"/>
        <v>0</v>
      </c>
      <c r="BE80" s="78"/>
      <c r="BF80" s="23"/>
      <c r="BO80" s="80"/>
      <c r="HH80" s="74"/>
      <c r="HJ80" s="74"/>
      <c r="HL80" s="23">
        <f t="shared" si="87"/>
        <v>0</v>
      </c>
      <c r="HM80" s="23"/>
    </row>
    <row r="81" spans="1:221" s="72" customFormat="1" ht="15.75" collapsed="1">
      <c r="A81" s="72" t="s">
        <v>199</v>
      </c>
      <c r="B81" s="73">
        <v>23</v>
      </c>
      <c r="D81" s="14"/>
      <c r="E81" s="72">
        <v>7</v>
      </c>
      <c r="F81" s="72" t="s">
        <v>121</v>
      </c>
      <c r="G81" s="72" t="s">
        <v>143</v>
      </c>
      <c r="H81" s="75">
        <v>36397</v>
      </c>
      <c r="I81" s="72" t="s">
        <v>123</v>
      </c>
      <c r="J81" s="72" t="s">
        <v>136</v>
      </c>
      <c r="K81" s="73"/>
      <c r="L81" s="72" t="s">
        <v>125</v>
      </c>
      <c r="M81" s="56"/>
      <c r="N81" s="72" t="str">
        <f t="shared" si="76"/>
        <v>23W</v>
      </c>
      <c r="O81" s="72" t="str">
        <f t="shared" si="77"/>
        <v>23WBase</v>
      </c>
      <c r="Q81" s="23">
        <f t="shared" si="61"/>
        <v>0</v>
      </c>
      <c r="R81" s="23">
        <f t="shared" si="78"/>
        <v>0</v>
      </c>
      <c r="S81" s="23"/>
      <c r="T81" s="78">
        <v>37147</v>
      </c>
      <c r="U81" s="78"/>
      <c r="V81" s="79">
        <v>0</v>
      </c>
      <c r="W81" s="78">
        <f t="shared" si="89"/>
        <v>0</v>
      </c>
      <c r="X81" s="78">
        <f t="shared" si="79"/>
        <v>0</v>
      </c>
      <c r="Y81" s="78">
        <f t="shared" si="79"/>
        <v>0</v>
      </c>
      <c r="Z81" s="78">
        <f t="shared" si="79"/>
        <v>0</v>
      </c>
      <c r="AA81" s="78">
        <f t="shared" si="79"/>
        <v>0</v>
      </c>
      <c r="AB81" s="78">
        <f t="shared" si="80"/>
        <v>0</v>
      </c>
      <c r="AC81" s="78">
        <f t="shared" si="80"/>
        <v>0</v>
      </c>
      <c r="AD81" s="78">
        <f t="shared" si="80"/>
        <v>0</v>
      </c>
      <c r="AE81" s="78">
        <f t="shared" si="81"/>
        <v>0</v>
      </c>
      <c r="AF81" s="78">
        <f t="shared" si="81"/>
        <v>0</v>
      </c>
      <c r="AG81" s="78">
        <f t="shared" si="81"/>
        <v>0</v>
      </c>
      <c r="AH81" s="78">
        <f t="shared" si="81"/>
        <v>0</v>
      </c>
      <c r="AI81" s="78">
        <f t="shared" si="82"/>
        <v>0</v>
      </c>
      <c r="AJ81" s="78">
        <f t="shared" si="82"/>
        <v>0</v>
      </c>
      <c r="AK81" s="78">
        <f t="shared" si="82"/>
        <v>0</v>
      </c>
      <c r="AL81" s="78">
        <f t="shared" si="83"/>
        <v>0</v>
      </c>
      <c r="AM81" s="78">
        <f t="shared" si="83"/>
        <v>0</v>
      </c>
      <c r="AN81" s="78">
        <f t="shared" si="83"/>
        <v>0</v>
      </c>
      <c r="AO81" s="78">
        <f t="shared" si="83"/>
        <v>0</v>
      </c>
      <c r="AP81" s="78">
        <f t="shared" si="84"/>
        <v>0</v>
      </c>
      <c r="AQ81" s="78">
        <f t="shared" si="84"/>
        <v>0</v>
      </c>
      <c r="AR81" s="78">
        <f t="shared" si="84"/>
        <v>0</v>
      </c>
      <c r="AS81" s="78">
        <f t="shared" si="85"/>
        <v>0</v>
      </c>
      <c r="AT81" s="78">
        <f t="shared" si="85"/>
        <v>0</v>
      </c>
      <c r="AU81" s="78">
        <f t="shared" si="91"/>
        <v>0</v>
      </c>
      <c r="AV81" s="78">
        <f t="shared" si="90"/>
        <v>0</v>
      </c>
      <c r="AW81" s="78">
        <f t="shared" si="86"/>
        <v>0</v>
      </c>
      <c r="AX81" s="78">
        <f t="shared" si="86"/>
        <v>0</v>
      </c>
      <c r="AY81" s="78">
        <f t="shared" si="92"/>
        <v>0</v>
      </c>
      <c r="AZ81" s="78">
        <f t="shared" si="92"/>
        <v>0</v>
      </c>
      <c r="BA81" s="78"/>
      <c r="BB81" s="78">
        <f t="shared" si="62"/>
        <v>0</v>
      </c>
      <c r="BC81" s="78">
        <f t="shared" si="93"/>
        <v>0</v>
      </c>
      <c r="BD81" s="155">
        <f t="shared" si="88"/>
        <v>0</v>
      </c>
      <c r="BE81" s="78"/>
      <c r="BF81" s="23"/>
      <c r="BO81" s="80"/>
      <c r="HH81" s="74"/>
      <c r="HJ81" s="74"/>
      <c r="HL81" s="23">
        <f t="shared" si="87"/>
        <v>0</v>
      </c>
      <c r="HM81" s="23"/>
    </row>
    <row r="82" spans="1:221" s="198" customFormat="1" ht="15.75">
      <c r="A82" s="198" t="s">
        <v>199</v>
      </c>
      <c r="B82" s="199">
        <v>23</v>
      </c>
      <c r="D82" s="200">
        <v>1</v>
      </c>
      <c r="E82" s="198">
        <v>7</v>
      </c>
      <c r="F82" s="198" t="s">
        <v>149</v>
      </c>
      <c r="G82" s="198" t="s">
        <v>332</v>
      </c>
      <c r="H82" s="201">
        <v>36459</v>
      </c>
      <c r="I82" s="198" t="s">
        <v>123</v>
      </c>
      <c r="J82" s="198" t="s">
        <v>136</v>
      </c>
      <c r="L82" s="198" t="s">
        <v>125</v>
      </c>
      <c r="N82" s="198" t="s">
        <v>355</v>
      </c>
      <c r="O82" s="198" t="str">
        <f t="shared" si="77"/>
        <v>23WBase</v>
      </c>
      <c r="Q82" s="202">
        <f t="shared" si="61"/>
        <v>0</v>
      </c>
      <c r="R82" s="202">
        <f t="shared" si="78"/>
        <v>0</v>
      </c>
      <c r="S82" s="202"/>
      <c r="T82" s="203">
        <v>37147</v>
      </c>
      <c r="U82" s="203"/>
      <c r="V82" s="204">
        <v>0</v>
      </c>
      <c r="W82" s="203">
        <f t="shared" si="89"/>
        <v>0</v>
      </c>
      <c r="X82" s="203">
        <f t="shared" si="79"/>
        <v>0</v>
      </c>
      <c r="Y82" s="203">
        <f t="shared" si="79"/>
        <v>0</v>
      </c>
      <c r="Z82" s="203">
        <f t="shared" si="79"/>
        <v>0</v>
      </c>
      <c r="AA82" s="203">
        <f t="shared" si="79"/>
        <v>0</v>
      </c>
      <c r="AB82" s="203">
        <f t="shared" si="80"/>
        <v>0</v>
      </c>
      <c r="AC82" s="203">
        <f t="shared" si="80"/>
        <v>0</v>
      </c>
      <c r="AD82" s="203">
        <f t="shared" si="80"/>
        <v>0</v>
      </c>
      <c r="AE82" s="203">
        <f t="shared" si="81"/>
        <v>0</v>
      </c>
      <c r="AF82" s="203">
        <f t="shared" si="81"/>
        <v>0</v>
      </c>
      <c r="AG82" s="203">
        <f t="shared" si="81"/>
        <v>0</v>
      </c>
      <c r="AH82" s="203">
        <f t="shared" si="81"/>
        <v>0</v>
      </c>
      <c r="AI82" s="203">
        <f t="shared" si="82"/>
        <v>0</v>
      </c>
      <c r="AJ82" s="203">
        <f t="shared" si="82"/>
        <v>0</v>
      </c>
      <c r="AK82" s="203">
        <f t="shared" si="82"/>
        <v>0</v>
      </c>
      <c r="AL82" s="203">
        <f t="shared" si="83"/>
        <v>0</v>
      </c>
      <c r="AM82" s="203">
        <f t="shared" si="83"/>
        <v>0</v>
      </c>
      <c r="AN82" s="203">
        <f t="shared" si="83"/>
        <v>0</v>
      </c>
      <c r="AO82" s="203">
        <f t="shared" si="83"/>
        <v>0</v>
      </c>
      <c r="AP82" s="203">
        <f t="shared" si="84"/>
        <v>0</v>
      </c>
      <c r="AQ82" s="203">
        <f t="shared" si="84"/>
        <v>0</v>
      </c>
      <c r="AR82" s="203">
        <f t="shared" si="84"/>
        <v>0</v>
      </c>
      <c r="AS82" s="203">
        <f t="shared" si="85"/>
        <v>0</v>
      </c>
      <c r="AT82" s="203">
        <f t="shared" si="85"/>
        <v>0</v>
      </c>
      <c r="AU82" s="203">
        <f t="shared" si="91"/>
        <v>0</v>
      </c>
      <c r="AV82" s="203">
        <f t="shared" si="90"/>
        <v>0</v>
      </c>
      <c r="AW82" s="203">
        <f t="shared" si="86"/>
        <v>0</v>
      </c>
      <c r="AX82" s="203">
        <f t="shared" si="86"/>
        <v>0</v>
      </c>
      <c r="AY82" s="203">
        <f t="shared" si="92"/>
        <v>0</v>
      </c>
      <c r="AZ82" s="203">
        <f t="shared" si="92"/>
        <v>0</v>
      </c>
      <c r="BA82" s="203"/>
      <c r="BB82" s="78">
        <f t="shared" si="62"/>
        <v>0</v>
      </c>
      <c r="BC82" s="78">
        <f t="shared" si="93"/>
        <v>0</v>
      </c>
      <c r="BD82" s="155">
        <f t="shared" si="88"/>
        <v>0</v>
      </c>
      <c r="BE82" s="203"/>
      <c r="BF82" s="202"/>
      <c r="BO82" s="205"/>
      <c r="CH82" s="198">
        <v>903</v>
      </c>
      <c r="HL82" s="202">
        <f t="shared" si="87"/>
        <v>903</v>
      </c>
      <c r="HM82" s="202"/>
    </row>
    <row r="83" spans="1:221" s="198" customFormat="1" ht="15.75">
      <c r="A83" s="198" t="s">
        <v>199</v>
      </c>
      <c r="B83" s="199">
        <v>23</v>
      </c>
      <c r="D83" s="200">
        <v>3</v>
      </c>
      <c r="E83" s="198">
        <v>7</v>
      </c>
      <c r="F83" s="198" t="s">
        <v>149</v>
      </c>
      <c r="G83" s="198" t="str">
        <f t="shared" ref="G83:G88" si="94">G82</f>
        <v>Brian</v>
      </c>
      <c r="H83" s="201">
        <v>36459</v>
      </c>
      <c r="I83" s="198" t="s">
        <v>123</v>
      </c>
      <c r="J83" s="198" t="s">
        <v>136</v>
      </c>
      <c r="K83" s="199"/>
      <c r="L83" s="198" t="s">
        <v>125</v>
      </c>
      <c r="N83" s="198" t="str">
        <f t="shared" ref="N83:N100" si="95">CONCATENATE(B83,J83)</f>
        <v>23W</v>
      </c>
      <c r="O83" s="198" t="str">
        <f t="shared" ref="O83:O100" si="96">CONCATENATE(B83,J83,I83)</f>
        <v>23WBase</v>
      </c>
      <c r="Q83" s="202">
        <f t="shared" si="61"/>
        <v>0</v>
      </c>
      <c r="R83" s="202">
        <f t="shared" ref="R83:R113" si="97">+Q83</f>
        <v>0</v>
      </c>
      <c r="S83" s="202"/>
      <c r="T83" s="203">
        <v>37147</v>
      </c>
      <c r="U83" s="203"/>
      <c r="V83" s="204">
        <v>0</v>
      </c>
      <c r="W83" s="203">
        <f t="shared" si="89"/>
        <v>0</v>
      </c>
      <c r="X83" s="203">
        <f t="shared" si="79"/>
        <v>0</v>
      </c>
      <c r="Y83" s="203">
        <f t="shared" si="79"/>
        <v>0</v>
      </c>
      <c r="Z83" s="203">
        <f t="shared" si="79"/>
        <v>0</v>
      </c>
      <c r="AA83" s="203">
        <f t="shared" si="79"/>
        <v>0</v>
      </c>
      <c r="AB83" s="203">
        <f t="shared" si="80"/>
        <v>0</v>
      </c>
      <c r="AC83" s="203">
        <f t="shared" si="80"/>
        <v>0</v>
      </c>
      <c r="AD83" s="203">
        <f t="shared" si="80"/>
        <v>0</v>
      </c>
      <c r="AE83" s="203">
        <f t="shared" si="81"/>
        <v>0</v>
      </c>
      <c r="AF83" s="203">
        <f t="shared" si="81"/>
        <v>0</v>
      </c>
      <c r="AG83" s="203">
        <f t="shared" si="81"/>
        <v>0</v>
      </c>
      <c r="AH83" s="203">
        <f t="shared" si="81"/>
        <v>0</v>
      </c>
      <c r="AI83" s="203">
        <f t="shared" si="82"/>
        <v>0</v>
      </c>
      <c r="AJ83" s="203">
        <f t="shared" si="82"/>
        <v>0</v>
      </c>
      <c r="AK83" s="203">
        <f t="shared" si="82"/>
        <v>0</v>
      </c>
      <c r="AL83" s="203">
        <f t="shared" si="83"/>
        <v>0</v>
      </c>
      <c r="AM83" s="203">
        <f t="shared" si="83"/>
        <v>0</v>
      </c>
      <c r="AN83" s="203">
        <f t="shared" si="83"/>
        <v>0</v>
      </c>
      <c r="AO83" s="203">
        <f t="shared" si="83"/>
        <v>0</v>
      </c>
      <c r="AP83" s="203">
        <f t="shared" si="84"/>
        <v>0</v>
      </c>
      <c r="AQ83" s="203">
        <f t="shared" si="84"/>
        <v>0</v>
      </c>
      <c r="AR83" s="203">
        <f t="shared" si="84"/>
        <v>0</v>
      </c>
      <c r="AS83" s="203">
        <f t="shared" si="85"/>
        <v>0</v>
      </c>
      <c r="AT83" s="203">
        <f t="shared" si="85"/>
        <v>0</v>
      </c>
      <c r="AU83" s="203">
        <f t="shared" si="91"/>
        <v>0</v>
      </c>
      <c r="AV83" s="203">
        <f t="shared" si="90"/>
        <v>0</v>
      </c>
      <c r="AW83" s="203">
        <f t="shared" si="86"/>
        <v>0</v>
      </c>
      <c r="AX83" s="203">
        <f t="shared" si="86"/>
        <v>0</v>
      </c>
      <c r="AY83" s="203">
        <f t="shared" si="92"/>
        <v>0</v>
      </c>
      <c r="AZ83" s="203">
        <f t="shared" si="92"/>
        <v>0</v>
      </c>
      <c r="BA83" s="203"/>
      <c r="BB83" s="78">
        <f t="shared" si="62"/>
        <v>0</v>
      </c>
      <c r="BC83" s="78">
        <f t="shared" si="93"/>
        <v>0</v>
      </c>
      <c r="BD83" s="155">
        <f t="shared" si="88"/>
        <v>0</v>
      </c>
      <c r="BE83" s="203"/>
      <c r="BF83" s="202"/>
      <c r="BO83" s="205"/>
      <c r="CJ83" s="198">
        <v>2108</v>
      </c>
      <c r="HL83" s="202">
        <f t="shared" si="87"/>
        <v>2108</v>
      </c>
      <c r="HM83" s="202"/>
    </row>
    <row r="84" spans="1:221" s="198" customFormat="1" ht="15.75">
      <c r="A84" s="198" t="s">
        <v>199</v>
      </c>
      <c r="B84" s="199">
        <v>23</v>
      </c>
      <c r="D84" s="200">
        <v>4</v>
      </c>
      <c r="E84" s="198">
        <v>7</v>
      </c>
      <c r="F84" s="198" t="s">
        <v>149</v>
      </c>
      <c r="G84" s="198" t="str">
        <f t="shared" si="94"/>
        <v>Brian</v>
      </c>
      <c r="H84" s="201">
        <v>36459</v>
      </c>
      <c r="I84" s="198" t="s">
        <v>123</v>
      </c>
      <c r="J84" s="198" t="s">
        <v>136</v>
      </c>
      <c r="K84" s="199"/>
      <c r="L84" s="198" t="s">
        <v>125</v>
      </c>
      <c r="N84" s="198" t="str">
        <f t="shared" si="95"/>
        <v>23W</v>
      </c>
      <c r="O84" s="198" t="str">
        <f t="shared" si="96"/>
        <v>23WBase</v>
      </c>
      <c r="Q84" s="202">
        <f t="shared" si="61"/>
        <v>0</v>
      </c>
      <c r="R84" s="202">
        <f t="shared" si="97"/>
        <v>0</v>
      </c>
      <c r="S84" s="202"/>
      <c r="T84" s="203">
        <v>37147</v>
      </c>
      <c r="U84" s="203"/>
      <c r="V84" s="204">
        <v>0</v>
      </c>
      <c r="W84" s="203">
        <f t="shared" si="89"/>
        <v>0</v>
      </c>
      <c r="X84" s="203">
        <f t="shared" si="79"/>
        <v>0</v>
      </c>
      <c r="Y84" s="203">
        <f t="shared" si="79"/>
        <v>0</v>
      </c>
      <c r="Z84" s="203">
        <f t="shared" si="79"/>
        <v>0</v>
      </c>
      <c r="AA84" s="203">
        <f t="shared" si="79"/>
        <v>0</v>
      </c>
      <c r="AB84" s="203">
        <f t="shared" si="80"/>
        <v>0</v>
      </c>
      <c r="AC84" s="203">
        <f t="shared" si="80"/>
        <v>0</v>
      </c>
      <c r="AD84" s="203">
        <f t="shared" si="80"/>
        <v>0</v>
      </c>
      <c r="AE84" s="203">
        <f t="shared" si="81"/>
        <v>0</v>
      </c>
      <c r="AF84" s="203">
        <f t="shared" si="81"/>
        <v>0</v>
      </c>
      <c r="AG84" s="203">
        <f t="shared" si="81"/>
        <v>0</v>
      </c>
      <c r="AH84" s="203">
        <f t="shared" si="81"/>
        <v>0</v>
      </c>
      <c r="AI84" s="203">
        <f t="shared" si="82"/>
        <v>0</v>
      </c>
      <c r="AJ84" s="203">
        <f t="shared" si="82"/>
        <v>0</v>
      </c>
      <c r="AK84" s="203">
        <f t="shared" si="82"/>
        <v>0</v>
      </c>
      <c r="AL84" s="203">
        <f t="shared" si="83"/>
        <v>0</v>
      </c>
      <c r="AM84" s="203">
        <f t="shared" si="83"/>
        <v>0</v>
      </c>
      <c r="AN84" s="203">
        <f t="shared" si="83"/>
        <v>0</v>
      </c>
      <c r="AO84" s="203">
        <f t="shared" si="83"/>
        <v>0</v>
      </c>
      <c r="AP84" s="203">
        <f t="shared" si="84"/>
        <v>0</v>
      </c>
      <c r="AQ84" s="203">
        <f t="shared" si="84"/>
        <v>0</v>
      </c>
      <c r="AR84" s="203">
        <f t="shared" si="84"/>
        <v>0</v>
      </c>
      <c r="AS84" s="203">
        <f t="shared" ref="AS84:AT102" si="98">AR84</f>
        <v>0</v>
      </c>
      <c r="AT84" s="203">
        <f t="shared" si="98"/>
        <v>0</v>
      </c>
      <c r="AU84" s="203">
        <f t="shared" si="91"/>
        <v>0</v>
      </c>
      <c r="AV84" s="203">
        <f t="shared" si="90"/>
        <v>0</v>
      </c>
      <c r="AW84" s="203">
        <f t="shared" si="86"/>
        <v>0</v>
      </c>
      <c r="AX84" s="203">
        <f t="shared" si="86"/>
        <v>0</v>
      </c>
      <c r="AY84" s="203">
        <f t="shared" si="92"/>
        <v>0</v>
      </c>
      <c r="AZ84" s="203">
        <f t="shared" si="92"/>
        <v>0</v>
      </c>
      <c r="BA84" s="203"/>
      <c r="BB84" s="78">
        <f t="shared" si="62"/>
        <v>0</v>
      </c>
      <c r="BC84" s="78">
        <f t="shared" si="93"/>
        <v>0</v>
      </c>
      <c r="BD84" s="155">
        <f t="shared" si="88"/>
        <v>0</v>
      </c>
      <c r="BE84" s="203"/>
      <c r="BF84" s="202"/>
      <c r="BO84" s="205"/>
      <c r="CL84" s="198">
        <v>2038</v>
      </c>
      <c r="HL84" s="202">
        <f t="shared" si="87"/>
        <v>2038</v>
      </c>
      <c r="HM84" s="202"/>
    </row>
    <row r="85" spans="1:221" s="198" customFormat="1" ht="15.75">
      <c r="A85" s="198" t="s">
        <v>199</v>
      </c>
      <c r="B85" s="199">
        <v>23</v>
      </c>
      <c r="D85" s="200">
        <v>5</v>
      </c>
      <c r="E85" s="198">
        <v>7</v>
      </c>
      <c r="F85" s="198" t="s">
        <v>149</v>
      </c>
      <c r="G85" s="198" t="str">
        <f t="shared" si="94"/>
        <v>Brian</v>
      </c>
      <c r="H85" s="201">
        <v>36459</v>
      </c>
      <c r="I85" s="198" t="s">
        <v>123</v>
      </c>
      <c r="J85" s="198" t="s">
        <v>136</v>
      </c>
      <c r="K85" s="199"/>
      <c r="L85" s="198" t="s">
        <v>125</v>
      </c>
      <c r="N85" s="198" t="str">
        <f t="shared" si="95"/>
        <v>23W</v>
      </c>
      <c r="O85" s="198" t="str">
        <f t="shared" si="96"/>
        <v>23WBase</v>
      </c>
      <c r="Q85" s="202">
        <f t="shared" si="61"/>
        <v>0</v>
      </c>
      <c r="R85" s="202">
        <f t="shared" si="97"/>
        <v>0</v>
      </c>
      <c r="S85" s="202"/>
      <c r="T85" s="203">
        <v>37147</v>
      </c>
      <c r="U85" s="203"/>
      <c r="V85" s="204">
        <v>0</v>
      </c>
      <c r="W85" s="203">
        <f t="shared" si="89"/>
        <v>0</v>
      </c>
      <c r="X85" s="203">
        <f t="shared" si="79"/>
        <v>0</v>
      </c>
      <c r="Y85" s="203">
        <f t="shared" si="79"/>
        <v>0</v>
      </c>
      <c r="Z85" s="203">
        <f t="shared" si="79"/>
        <v>0</v>
      </c>
      <c r="AA85" s="203">
        <f t="shared" si="79"/>
        <v>0</v>
      </c>
      <c r="AB85" s="203">
        <f t="shared" ref="AB85:AD103" si="99">AA85</f>
        <v>0</v>
      </c>
      <c r="AC85" s="203">
        <f t="shared" si="99"/>
        <v>0</v>
      </c>
      <c r="AD85" s="203">
        <f t="shared" si="99"/>
        <v>0</v>
      </c>
      <c r="AE85" s="203">
        <f t="shared" si="81"/>
        <v>0</v>
      </c>
      <c r="AF85" s="203">
        <f t="shared" si="81"/>
        <v>0</v>
      </c>
      <c r="AG85" s="203">
        <f t="shared" si="81"/>
        <v>0</v>
      </c>
      <c r="AH85" s="203">
        <f t="shared" si="81"/>
        <v>0</v>
      </c>
      <c r="AI85" s="203">
        <f t="shared" ref="AI85:AK103" si="100">AH85</f>
        <v>0</v>
      </c>
      <c r="AJ85" s="203">
        <f t="shared" si="100"/>
        <v>0</v>
      </c>
      <c r="AK85" s="203">
        <f t="shared" si="100"/>
        <v>0</v>
      </c>
      <c r="AL85" s="203">
        <f t="shared" si="83"/>
        <v>0</v>
      </c>
      <c r="AM85" s="203">
        <f t="shared" si="83"/>
        <v>0</v>
      </c>
      <c r="AN85" s="203">
        <f t="shared" si="83"/>
        <v>0</v>
      </c>
      <c r="AO85" s="203">
        <f t="shared" si="83"/>
        <v>0</v>
      </c>
      <c r="AP85" s="203">
        <f t="shared" ref="AP85:AR103" si="101">AO85</f>
        <v>0</v>
      </c>
      <c r="AQ85" s="203">
        <f t="shared" si="101"/>
        <v>0</v>
      </c>
      <c r="AR85" s="203">
        <f t="shared" si="101"/>
        <v>0</v>
      </c>
      <c r="AS85" s="203">
        <f t="shared" si="98"/>
        <v>0</v>
      </c>
      <c r="AT85" s="203">
        <f t="shared" si="98"/>
        <v>0</v>
      </c>
      <c r="AU85" s="203">
        <f t="shared" si="91"/>
        <v>0</v>
      </c>
      <c r="AV85" s="203">
        <f t="shared" si="90"/>
        <v>0</v>
      </c>
      <c r="AW85" s="203">
        <f t="shared" ref="AW85:AX103" si="102">AV85</f>
        <v>0</v>
      </c>
      <c r="AX85" s="203">
        <f t="shared" si="102"/>
        <v>0</v>
      </c>
      <c r="AY85" s="203">
        <f t="shared" si="92"/>
        <v>0</v>
      </c>
      <c r="AZ85" s="203">
        <f t="shared" si="92"/>
        <v>0</v>
      </c>
      <c r="BA85" s="203"/>
      <c r="BB85" s="78">
        <f t="shared" si="62"/>
        <v>0</v>
      </c>
      <c r="BC85" s="78">
        <f t="shared" si="93"/>
        <v>0</v>
      </c>
      <c r="BD85" s="155">
        <f t="shared" si="88"/>
        <v>0</v>
      </c>
      <c r="BE85" s="203"/>
      <c r="BF85" s="202"/>
      <c r="BO85" s="205"/>
      <c r="CN85" s="198">
        <v>4000</v>
      </c>
      <c r="GJ85" s="198">
        <v>3253</v>
      </c>
      <c r="GK85" s="198" t="s">
        <v>426</v>
      </c>
      <c r="HL85" s="202">
        <f t="shared" si="87"/>
        <v>7253</v>
      </c>
      <c r="HM85" s="202"/>
    </row>
    <row r="86" spans="1:221" s="198" customFormat="1" ht="15.75">
      <c r="A86" s="198" t="s">
        <v>199</v>
      </c>
      <c r="B86" s="199">
        <v>23</v>
      </c>
      <c r="D86" s="200">
        <v>6</v>
      </c>
      <c r="E86" s="198">
        <v>7</v>
      </c>
      <c r="F86" s="198" t="s">
        <v>149</v>
      </c>
      <c r="G86" s="198" t="str">
        <f t="shared" si="94"/>
        <v>Brian</v>
      </c>
      <c r="H86" s="201">
        <v>36459</v>
      </c>
      <c r="I86" s="198" t="s">
        <v>123</v>
      </c>
      <c r="J86" s="198" t="s">
        <v>136</v>
      </c>
      <c r="K86" s="199"/>
      <c r="L86" s="198" t="s">
        <v>125</v>
      </c>
      <c r="N86" s="198" t="str">
        <f t="shared" si="95"/>
        <v>23W</v>
      </c>
      <c r="O86" s="198" t="str">
        <f t="shared" si="96"/>
        <v>23WBase</v>
      </c>
      <c r="Q86" s="202">
        <f t="shared" si="61"/>
        <v>0</v>
      </c>
      <c r="R86" s="202">
        <f t="shared" si="97"/>
        <v>0</v>
      </c>
      <c r="S86" s="202"/>
      <c r="T86" s="203">
        <v>37147</v>
      </c>
      <c r="U86" s="203"/>
      <c r="V86" s="204">
        <v>0</v>
      </c>
      <c r="W86" s="203">
        <f t="shared" si="89"/>
        <v>0</v>
      </c>
      <c r="X86" s="203">
        <f t="shared" ref="X86:AA104" si="103">W86</f>
        <v>0</v>
      </c>
      <c r="Y86" s="203">
        <f t="shared" si="103"/>
        <v>0</v>
      </c>
      <c r="Z86" s="203">
        <f t="shared" si="103"/>
        <v>0</v>
      </c>
      <c r="AA86" s="203">
        <f t="shared" si="103"/>
        <v>0</v>
      </c>
      <c r="AB86" s="203">
        <f t="shared" si="99"/>
        <v>0</v>
      </c>
      <c r="AC86" s="203">
        <f t="shared" si="99"/>
        <v>0</v>
      </c>
      <c r="AD86" s="203">
        <f t="shared" si="99"/>
        <v>0</v>
      </c>
      <c r="AE86" s="203">
        <f t="shared" ref="AE86:AH104" si="104">AD86</f>
        <v>0</v>
      </c>
      <c r="AF86" s="203">
        <f t="shared" si="104"/>
        <v>0</v>
      </c>
      <c r="AG86" s="203">
        <f t="shared" si="104"/>
        <v>0</v>
      </c>
      <c r="AH86" s="203">
        <f t="shared" si="104"/>
        <v>0</v>
      </c>
      <c r="AI86" s="203">
        <f t="shared" si="100"/>
        <v>0</v>
      </c>
      <c r="AJ86" s="203">
        <f t="shared" si="100"/>
        <v>0</v>
      </c>
      <c r="AK86" s="203">
        <f t="shared" si="100"/>
        <v>0</v>
      </c>
      <c r="AL86" s="203">
        <f t="shared" ref="AL86:AO104" si="105">AK86</f>
        <v>0</v>
      </c>
      <c r="AM86" s="203">
        <f t="shared" si="105"/>
        <v>0</v>
      </c>
      <c r="AN86" s="203">
        <f t="shared" si="105"/>
        <v>0</v>
      </c>
      <c r="AO86" s="203">
        <f t="shared" si="105"/>
        <v>0</v>
      </c>
      <c r="AP86" s="203">
        <f t="shared" si="101"/>
        <v>0</v>
      </c>
      <c r="AQ86" s="203">
        <f t="shared" si="101"/>
        <v>0</v>
      </c>
      <c r="AR86" s="203">
        <f t="shared" si="101"/>
        <v>0</v>
      </c>
      <c r="AS86" s="203">
        <f t="shared" si="98"/>
        <v>0</v>
      </c>
      <c r="AT86" s="203">
        <f t="shared" si="98"/>
        <v>0</v>
      </c>
      <c r="AU86" s="203">
        <f t="shared" si="91"/>
        <v>0</v>
      </c>
      <c r="AV86" s="203">
        <f t="shared" si="90"/>
        <v>0</v>
      </c>
      <c r="AW86" s="203">
        <f t="shared" si="102"/>
        <v>0</v>
      </c>
      <c r="AX86" s="203">
        <f t="shared" si="102"/>
        <v>0</v>
      </c>
      <c r="AY86" s="203">
        <f t="shared" si="92"/>
        <v>0</v>
      </c>
      <c r="AZ86" s="203">
        <f t="shared" si="92"/>
        <v>0</v>
      </c>
      <c r="BA86" s="203"/>
      <c r="BB86" s="78">
        <f t="shared" si="62"/>
        <v>0</v>
      </c>
      <c r="BC86" s="78">
        <f t="shared" si="93"/>
        <v>0</v>
      </c>
      <c r="BD86" s="155">
        <f t="shared" si="88"/>
        <v>0</v>
      </c>
      <c r="BE86" s="203"/>
      <c r="BF86" s="202"/>
      <c r="BK86" s="198">
        <v>1981</v>
      </c>
      <c r="BO86" s="205"/>
      <c r="HL86" s="202">
        <f t="shared" si="87"/>
        <v>1981</v>
      </c>
      <c r="HM86" s="202"/>
    </row>
    <row r="87" spans="1:221" s="198" customFormat="1" ht="15.75">
      <c r="A87" s="198" t="s">
        <v>199</v>
      </c>
      <c r="B87" s="199">
        <v>23</v>
      </c>
      <c r="D87" s="200">
        <v>8</v>
      </c>
      <c r="E87" s="198">
        <v>7</v>
      </c>
      <c r="F87" s="198" t="s">
        <v>149</v>
      </c>
      <c r="G87" s="198" t="str">
        <f t="shared" si="94"/>
        <v>Brian</v>
      </c>
      <c r="H87" s="201">
        <v>36459</v>
      </c>
      <c r="I87" s="198" t="s">
        <v>123</v>
      </c>
      <c r="J87" s="198" t="s">
        <v>136</v>
      </c>
      <c r="K87" s="199"/>
      <c r="L87" s="198" t="s">
        <v>125</v>
      </c>
      <c r="N87" s="198" t="str">
        <f t="shared" si="95"/>
        <v>23W</v>
      </c>
      <c r="O87" s="198" t="str">
        <f t="shared" si="96"/>
        <v>23WBase</v>
      </c>
      <c r="Q87" s="202">
        <f t="shared" si="61"/>
        <v>0</v>
      </c>
      <c r="R87" s="202">
        <f t="shared" si="97"/>
        <v>0</v>
      </c>
      <c r="S87" s="202"/>
      <c r="T87" s="203">
        <v>37147</v>
      </c>
      <c r="U87" s="203"/>
      <c r="V87" s="204">
        <v>0</v>
      </c>
      <c r="W87" s="203">
        <f t="shared" si="89"/>
        <v>0</v>
      </c>
      <c r="X87" s="203">
        <f t="shared" si="103"/>
        <v>0</v>
      </c>
      <c r="Y87" s="203">
        <f t="shared" si="103"/>
        <v>0</v>
      </c>
      <c r="Z87" s="203">
        <f t="shared" si="103"/>
        <v>0</v>
      </c>
      <c r="AA87" s="203">
        <f t="shared" si="103"/>
        <v>0</v>
      </c>
      <c r="AB87" s="203">
        <f t="shared" si="99"/>
        <v>0</v>
      </c>
      <c r="AC87" s="203">
        <f t="shared" si="99"/>
        <v>0</v>
      </c>
      <c r="AD87" s="203">
        <f t="shared" si="99"/>
        <v>0</v>
      </c>
      <c r="AE87" s="203">
        <f t="shared" si="104"/>
        <v>0</v>
      </c>
      <c r="AF87" s="203">
        <f t="shared" si="104"/>
        <v>0</v>
      </c>
      <c r="AG87" s="203">
        <f t="shared" si="104"/>
        <v>0</v>
      </c>
      <c r="AH87" s="203">
        <f t="shared" si="104"/>
        <v>0</v>
      </c>
      <c r="AI87" s="203">
        <f t="shared" si="100"/>
        <v>0</v>
      </c>
      <c r="AJ87" s="203">
        <f t="shared" si="100"/>
        <v>0</v>
      </c>
      <c r="AK87" s="203">
        <f t="shared" si="100"/>
        <v>0</v>
      </c>
      <c r="AL87" s="203">
        <f t="shared" si="105"/>
        <v>0</v>
      </c>
      <c r="AM87" s="203">
        <f t="shared" si="105"/>
        <v>0</v>
      </c>
      <c r="AN87" s="203">
        <f t="shared" si="105"/>
        <v>0</v>
      </c>
      <c r="AO87" s="203">
        <f t="shared" si="105"/>
        <v>0</v>
      </c>
      <c r="AP87" s="203">
        <f t="shared" si="101"/>
        <v>0</v>
      </c>
      <c r="AQ87" s="203">
        <f t="shared" si="101"/>
        <v>0</v>
      </c>
      <c r="AR87" s="203">
        <f t="shared" si="101"/>
        <v>0</v>
      </c>
      <c r="AS87" s="203">
        <f t="shared" si="98"/>
        <v>0</v>
      </c>
      <c r="AT87" s="203">
        <f t="shared" si="98"/>
        <v>0</v>
      </c>
      <c r="AU87" s="203">
        <f t="shared" si="91"/>
        <v>0</v>
      </c>
      <c r="AV87" s="203">
        <f t="shared" si="90"/>
        <v>0</v>
      </c>
      <c r="AW87" s="203">
        <f t="shared" si="102"/>
        <v>0</v>
      </c>
      <c r="AX87" s="203">
        <f t="shared" si="102"/>
        <v>0</v>
      </c>
      <c r="AY87" s="203">
        <f t="shared" si="92"/>
        <v>0</v>
      </c>
      <c r="AZ87" s="203">
        <f t="shared" si="92"/>
        <v>0</v>
      </c>
      <c r="BA87" s="203"/>
      <c r="BB87" s="78">
        <f t="shared" si="62"/>
        <v>0</v>
      </c>
      <c r="BC87" s="78">
        <f t="shared" si="93"/>
        <v>0</v>
      </c>
      <c r="BD87" s="155">
        <f t="shared" si="88"/>
        <v>0</v>
      </c>
      <c r="BE87" s="203"/>
      <c r="BF87" s="202"/>
      <c r="BO87" s="205"/>
      <c r="GJ87" s="198">
        <v>2173</v>
      </c>
      <c r="GK87" s="198" t="s">
        <v>425</v>
      </c>
      <c r="HL87" s="202">
        <f t="shared" si="87"/>
        <v>2173</v>
      </c>
      <c r="HM87" s="202"/>
    </row>
    <row r="88" spans="1:221" s="198" customFormat="1" ht="15.75">
      <c r="A88" s="198" t="s">
        <v>199</v>
      </c>
      <c r="B88" s="199">
        <v>23</v>
      </c>
      <c r="D88" s="200">
        <v>9</v>
      </c>
      <c r="E88" s="198">
        <v>7</v>
      </c>
      <c r="F88" s="198" t="s">
        <v>149</v>
      </c>
      <c r="G88" s="198" t="str">
        <f t="shared" si="94"/>
        <v>Brian</v>
      </c>
      <c r="H88" s="201">
        <v>36459</v>
      </c>
      <c r="I88" s="198" t="s">
        <v>123</v>
      </c>
      <c r="J88" s="198" t="s">
        <v>136</v>
      </c>
      <c r="K88" s="199"/>
      <c r="L88" s="198" t="s">
        <v>125</v>
      </c>
      <c r="N88" s="198" t="str">
        <f t="shared" si="95"/>
        <v>23W</v>
      </c>
      <c r="O88" s="198" t="str">
        <f t="shared" si="96"/>
        <v>23WBase</v>
      </c>
      <c r="Q88" s="202">
        <f t="shared" si="61"/>
        <v>0</v>
      </c>
      <c r="R88" s="202">
        <f t="shared" si="97"/>
        <v>0</v>
      </c>
      <c r="S88" s="202"/>
      <c r="T88" s="203">
        <v>37147</v>
      </c>
      <c r="U88" s="203"/>
      <c r="V88" s="204">
        <v>0</v>
      </c>
      <c r="W88" s="203">
        <f t="shared" si="89"/>
        <v>0</v>
      </c>
      <c r="X88" s="203">
        <f t="shared" si="103"/>
        <v>0</v>
      </c>
      <c r="Y88" s="203">
        <f t="shared" si="103"/>
        <v>0</v>
      </c>
      <c r="Z88" s="203">
        <f t="shared" si="103"/>
        <v>0</v>
      </c>
      <c r="AA88" s="203">
        <f t="shared" si="103"/>
        <v>0</v>
      </c>
      <c r="AB88" s="203">
        <f t="shared" si="99"/>
        <v>0</v>
      </c>
      <c r="AC88" s="203">
        <f t="shared" si="99"/>
        <v>0</v>
      </c>
      <c r="AD88" s="203">
        <f t="shared" si="99"/>
        <v>0</v>
      </c>
      <c r="AE88" s="203">
        <f t="shared" si="104"/>
        <v>0</v>
      </c>
      <c r="AF88" s="203">
        <f t="shared" si="104"/>
        <v>0</v>
      </c>
      <c r="AG88" s="203">
        <f t="shared" si="104"/>
        <v>0</v>
      </c>
      <c r="AH88" s="203">
        <f t="shared" si="104"/>
        <v>0</v>
      </c>
      <c r="AI88" s="203">
        <f t="shared" si="100"/>
        <v>0</v>
      </c>
      <c r="AJ88" s="203">
        <f t="shared" si="100"/>
        <v>0</v>
      </c>
      <c r="AK88" s="203">
        <f t="shared" si="100"/>
        <v>0</v>
      </c>
      <c r="AL88" s="203">
        <f t="shared" si="105"/>
        <v>0</v>
      </c>
      <c r="AM88" s="203">
        <f t="shared" si="105"/>
        <v>0</v>
      </c>
      <c r="AN88" s="203">
        <f t="shared" si="105"/>
        <v>0</v>
      </c>
      <c r="AO88" s="203">
        <f t="shared" si="105"/>
        <v>0</v>
      </c>
      <c r="AP88" s="203">
        <f t="shared" si="101"/>
        <v>0</v>
      </c>
      <c r="AQ88" s="203">
        <f t="shared" si="101"/>
        <v>0</v>
      </c>
      <c r="AR88" s="203">
        <f t="shared" si="101"/>
        <v>0</v>
      </c>
      <c r="AS88" s="203">
        <f t="shared" si="98"/>
        <v>0</v>
      </c>
      <c r="AT88" s="203">
        <f t="shared" si="98"/>
        <v>0</v>
      </c>
      <c r="AU88" s="203">
        <f t="shared" si="91"/>
        <v>0</v>
      </c>
      <c r="AV88" s="203">
        <f t="shared" si="90"/>
        <v>0</v>
      </c>
      <c r="AW88" s="203">
        <f t="shared" si="102"/>
        <v>0</v>
      </c>
      <c r="AX88" s="203">
        <f t="shared" si="102"/>
        <v>0</v>
      </c>
      <c r="AY88" s="203">
        <f t="shared" si="92"/>
        <v>0</v>
      </c>
      <c r="AZ88" s="203">
        <f t="shared" si="92"/>
        <v>0</v>
      </c>
      <c r="BA88" s="203"/>
      <c r="BB88" s="78">
        <f t="shared" si="62"/>
        <v>0</v>
      </c>
      <c r="BC88" s="78">
        <f t="shared" si="93"/>
        <v>0</v>
      </c>
      <c r="BD88" s="155">
        <f t="shared" si="88"/>
        <v>0</v>
      </c>
      <c r="BE88" s="203"/>
      <c r="BF88" s="202"/>
      <c r="BO88" s="205"/>
      <c r="GJ88" s="198">
        <v>3015</v>
      </c>
      <c r="GK88" s="198" t="s">
        <v>410</v>
      </c>
      <c r="HL88" s="202">
        <f t="shared" si="87"/>
        <v>3015</v>
      </c>
      <c r="HM88" s="202"/>
    </row>
    <row r="89" spans="1:221" s="72" customFormat="1" ht="15.75">
      <c r="A89" s="72" t="s">
        <v>212</v>
      </c>
      <c r="B89" s="73">
        <v>732999</v>
      </c>
      <c r="D89" s="14">
        <v>5</v>
      </c>
      <c r="E89" s="72">
        <v>7</v>
      </c>
      <c r="F89" s="72" t="s">
        <v>203</v>
      </c>
      <c r="G89" s="109"/>
      <c r="H89" s="110"/>
      <c r="I89" s="72" t="s">
        <v>123</v>
      </c>
      <c r="J89" s="72" t="s">
        <v>136</v>
      </c>
      <c r="K89" s="73"/>
      <c r="L89" s="72" t="s">
        <v>125</v>
      </c>
      <c r="N89" s="72" t="str">
        <f t="shared" si="95"/>
        <v>732999W</v>
      </c>
      <c r="O89" s="72" t="str">
        <f t="shared" si="96"/>
        <v>732999WBase</v>
      </c>
      <c r="Q89" s="23">
        <f t="shared" si="61"/>
        <v>0</v>
      </c>
      <c r="R89" s="23">
        <f t="shared" si="97"/>
        <v>0</v>
      </c>
      <c r="S89" s="23"/>
      <c r="T89" s="78">
        <v>37147</v>
      </c>
      <c r="U89" s="78"/>
      <c r="V89" s="79">
        <v>0</v>
      </c>
      <c r="W89" s="78">
        <f>V89</f>
        <v>0</v>
      </c>
      <c r="X89" s="78">
        <f t="shared" si="103"/>
        <v>0</v>
      </c>
      <c r="Y89" s="78">
        <f t="shared" si="103"/>
        <v>0</v>
      </c>
      <c r="Z89" s="78">
        <f t="shared" si="103"/>
        <v>0</v>
      </c>
      <c r="AA89" s="78">
        <f t="shared" si="103"/>
        <v>0</v>
      </c>
      <c r="AB89" s="78">
        <f t="shared" si="99"/>
        <v>0</v>
      </c>
      <c r="AC89" s="78">
        <f t="shared" si="99"/>
        <v>0</v>
      </c>
      <c r="AD89" s="78">
        <f t="shared" si="99"/>
        <v>0</v>
      </c>
      <c r="AE89" s="78">
        <f t="shared" si="104"/>
        <v>0</v>
      </c>
      <c r="AF89" s="78">
        <f t="shared" si="104"/>
        <v>0</v>
      </c>
      <c r="AG89" s="78">
        <f t="shared" si="104"/>
        <v>0</v>
      </c>
      <c r="AH89" s="78">
        <f t="shared" si="104"/>
        <v>0</v>
      </c>
      <c r="AI89" s="78">
        <f t="shared" si="100"/>
        <v>0</v>
      </c>
      <c r="AJ89" s="78">
        <f t="shared" si="100"/>
        <v>0</v>
      </c>
      <c r="AK89" s="78">
        <f t="shared" si="100"/>
        <v>0</v>
      </c>
      <c r="AL89" s="78">
        <f t="shared" si="105"/>
        <v>0</v>
      </c>
      <c r="AM89" s="78">
        <f t="shared" si="105"/>
        <v>0</v>
      </c>
      <c r="AN89" s="78">
        <f t="shared" si="105"/>
        <v>0</v>
      </c>
      <c r="AO89" s="78">
        <f t="shared" si="105"/>
        <v>0</v>
      </c>
      <c r="AP89" s="78">
        <f t="shared" si="101"/>
        <v>0</v>
      </c>
      <c r="AQ89" s="78">
        <f t="shared" si="101"/>
        <v>0</v>
      </c>
      <c r="AR89" s="78">
        <f t="shared" si="101"/>
        <v>0</v>
      </c>
      <c r="AS89" s="78">
        <f t="shared" si="98"/>
        <v>0</v>
      </c>
      <c r="AT89" s="78">
        <f t="shared" si="98"/>
        <v>0</v>
      </c>
      <c r="AU89" s="78">
        <f t="shared" si="91"/>
        <v>0</v>
      </c>
      <c r="AV89" s="78">
        <f t="shared" si="90"/>
        <v>0</v>
      </c>
      <c r="AW89" s="78">
        <f t="shared" si="102"/>
        <v>0</v>
      </c>
      <c r="AX89" s="78">
        <f t="shared" si="102"/>
        <v>0</v>
      </c>
      <c r="AY89" s="78">
        <f t="shared" si="92"/>
        <v>0</v>
      </c>
      <c r="AZ89" s="78">
        <f t="shared" si="92"/>
        <v>0</v>
      </c>
      <c r="BA89" s="78"/>
      <c r="BB89" s="78">
        <f t="shared" si="62"/>
        <v>0</v>
      </c>
      <c r="BC89" s="78">
        <f t="shared" si="93"/>
        <v>0</v>
      </c>
      <c r="BD89" s="155">
        <f t="shared" si="88"/>
        <v>0</v>
      </c>
      <c r="BE89" s="78"/>
      <c r="BF89" s="23"/>
      <c r="BO89" s="80"/>
      <c r="CN89" s="72">
        <v>2036</v>
      </c>
      <c r="CO89" s="72" t="s">
        <v>383</v>
      </c>
      <c r="HH89" s="74"/>
      <c r="HJ89" s="74"/>
      <c r="HL89" s="23">
        <f t="shared" si="87"/>
        <v>2036</v>
      </c>
      <c r="HM89" s="23"/>
    </row>
    <row r="90" spans="1:221" s="72" customFormat="1" ht="15.75">
      <c r="A90" s="72" t="s">
        <v>213</v>
      </c>
      <c r="B90" s="73">
        <v>80</v>
      </c>
      <c r="D90" s="14">
        <v>3</v>
      </c>
      <c r="E90" s="72">
        <v>7</v>
      </c>
      <c r="F90" s="72" t="s">
        <v>127</v>
      </c>
      <c r="G90" s="72" t="s">
        <v>331</v>
      </c>
      <c r="H90" s="75">
        <v>36336</v>
      </c>
      <c r="I90" s="72" t="s">
        <v>123</v>
      </c>
      <c r="J90" s="72" t="s">
        <v>124</v>
      </c>
      <c r="K90" s="73"/>
      <c r="L90" s="72" t="s">
        <v>125</v>
      </c>
      <c r="N90" s="72" t="str">
        <f t="shared" si="95"/>
        <v>80R</v>
      </c>
      <c r="O90" s="72" t="str">
        <f t="shared" si="96"/>
        <v>80RBase</v>
      </c>
      <c r="Q90" s="23">
        <f t="shared" ref="Q90:Q123" si="106">+BC90</f>
        <v>0</v>
      </c>
      <c r="R90" s="23">
        <f t="shared" si="97"/>
        <v>0</v>
      </c>
      <c r="S90" s="23"/>
      <c r="T90" s="78">
        <v>37147</v>
      </c>
      <c r="U90" s="78"/>
      <c r="V90" s="79">
        <v>0</v>
      </c>
      <c r="W90" s="78">
        <f t="shared" ref="W90:W120" si="107">V90</f>
        <v>0</v>
      </c>
      <c r="X90" s="78">
        <f t="shared" si="103"/>
        <v>0</v>
      </c>
      <c r="Y90" s="78">
        <f t="shared" si="103"/>
        <v>0</v>
      </c>
      <c r="Z90" s="78">
        <f t="shared" si="103"/>
        <v>0</v>
      </c>
      <c r="AA90" s="78">
        <f t="shared" si="103"/>
        <v>0</v>
      </c>
      <c r="AB90" s="78">
        <f t="shared" si="99"/>
        <v>0</v>
      </c>
      <c r="AC90" s="78">
        <f t="shared" si="99"/>
        <v>0</v>
      </c>
      <c r="AD90" s="78">
        <f t="shared" si="99"/>
        <v>0</v>
      </c>
      <c r="AE90" s="78">
        <f t="shared" si="104"/>
        <v>0</v>
      </c>
      <c r="AF90" s="78">
        <f t="shared" si="104"/>
        <v>0</v>
      </c>
      <c r="AG90" s="78">
        <f t="shared" si="104"/>
        <v>0</v>
      </c>
      <c r="AH90" s="78">
        <f t="shared" si="104"/>
        <v>0</v>
      </c>
      <c r="AI90" s="78">
        <f t="shared" si="100"/>
        <v>0</v>
      </c>
      <c r="AJ90" s="78">
        <f t="shared" si="100"/>
        <v>0</v>
      </c>
      <c r="AK90" s="78">
        <f t="shared" si="100"/>
        <v>0</v>
      </c>
      <c r="AL90" s="78">
        <f t="shared" si="105"/>
        <v>0</v>
      </c>
      <c r="AM90" s="78">
        <f t="shared" si="105"/>
        <v>0</v>
      </c>
      <c r="AN90" s="78">
        <f t="shared" si="105"/>
        <v>0</v>
      </c>
      <c r="AO90" s="78">
        <f t="shared" si="105"/>
        <v>0</v>
      </c>
      <c r="AP90" s="78">
        <f t="shared" si="101"/>
        <v>0</v>
      </c>
      <c r="AQ90" s="78">
        <f t="shared" si="101"/>
        <v>0</v>
      </c>
      <c r="AR90" s="78">
        <f t="shared" si="101"/>
        <v>0</v>
      </c>
      <c r="AS90" s="78">
        <f t="shared" si="98"/>
        <v>0</v>
      </c>
      <c r="AT90" s="78">
        <f t="shared" si="98"/>
        <v>0</v>
      </c>
      <c r="AU90" s="78">
        <f t="shared" si="91"/>
        <v>0</v>
      </c>
      <c r="AV90" s="78">
        <f t="shared" si="90"/>
        <v>0</v>
      </c>
      <c r="AW90" s="78">
        <f t="shared" si="102"/>
        <v>0</v>
      </c>
      <c r="AX90" s="78">
        <f t="shared" si="102"/>
        <v>0</v>
      </c>
      <c r="AY90" s="78">
        <f t="shared" si="92"/>
        <v>0</v>
      </c>
      <c r="AZ90" s="78">
        <f t="shared" si="92"/>
        <v>0</v>
      </c>
      <c r="BA90" s="78"/>
      <c r="BB90" s="78">
        <f t="shared" si="62"/>
        <v>0</v>
      </c>
      <c r="BC90" s="78">
        <f t="shared" si="93"/>
        <v>0</v>
      </c>
      <c r="BD90" s="155">
        <f t="shared" si="88"/>
        <v>0</v>
      </c>
      <c r="BE90" s="78"/>
      <c r="BF90" s="23"/>
      <c r="BO90" s="80"/>
      <c r="CJ90" s="72">
        <v>240</v>
      </c>
      <c r="CK90" s="72" t="s">
        <v>391</v>
      </c>
      <c r="HH90" s="74"/>
      <c r="HJ90" s="74"/>
      <c r="HL90" s="23">
        <f t="shared" si="87"/>
        <v>240</v>
      </c>
      <c r="HM90" s="23"/>
    </row>
    <row r="91" spans="1:221" s="72" customFormat="1" ht="15.75">
      <c r="A91" s="72" t="s">
        <v>215</v>
      </c>
      <c r="B91" s="73">
        <v>67</v>
      </c>
      <c r="D91" s="14">
        <v>1</v>
      </c>
      <c r="E91" s="72">
        <v>7</v>
      </c>
      <c r="F91" s="72" t="s">
        <v>127</v>
      </c>
      <c r="G91" s="72" t="s">
        <v>331</v>
      </c>
      <c r="H91" s="75">
        <v>36336</v>
      </c>
      <c r="I91" s="72" t="s">
        <v>123</v>
      </c>
      <c r="J91" s="72" t="s">
        <v>124</v>
      </c>
      <c r="K91" s="73"/>
      <c r="L91" s="72" t="s">
        <v>125</v>
      </c>
      <c r="M91" s="56"/>
      <c r="N91" s="72" t="str">
        <f t="shared" si="95"/>
        <v>67R</v>
      </c>
      <c r="O91" s="72" t="str">
        <f t="shared" si="96"/>
        <v>67RBase</v>
      </c>
      <c r="Q91" s="23">
        <f t="shared" si="106"/>
        <v>0</v>
      </c>
      <c r="R91" s="23">
        <f t="shared" si="97"/>
        <v>0</v>
      </c>
      <c r="S91" s="23"/>
      <c r="T91" s="78">
        <v>37147</v>
      </c>
      <c r="U91" s="78"/>
      <c r="V91" s="79">
        <v>0</v>
      </c>
      <c r="W91" s="78">
        <f t="shared" si="107"/>
        <v>0</v>
      </c>
      <c r="X91" s="78">
        <f t="shared" si="103"/>
        <v>0</v>
      </c>
      <c r="Y91" s="78">
        <f t="shared" si="103"/>
        <v>0</v>
      </c>
      <c r="Z91" s="78">
        <f t="shared" si="103"/>
        <v>0</v>
      </c>
      <c r="AA91" s="78">
        <f t="shared" si="103"/>
        <v>0</v>
      </c>
      <c r="AB91" s="78">
        <f t="shared" si="99"/>
        <v>0</v>
      </c>
      <c r="AC91" s="78">
        <f t="shared" si="99"/>
        <v>0</v>
      </c>
      <c r="AD91" s="78">
        <f t="shared" si="99"/>
        <v>0</v>
      </c>
      <c r="AE91" s="78">
        <f t="shared" si="104"/>
        <v>0</v>
      </c>
      <c r="AF91" s="78">
        <f t="shared" si="104"/>
        <v>0</v>
      </c>
      <c r="AG91" s="78">
        <f t="shared" si="104"/>
        <v>0</v>
      </c>
      <c r="AH91" s="78">
        <f t="shared" si="104"/>
        <v>0</v>
      </c>
      <c r="AI91" s="78">
        <f t="shared" si="100"/>
        <v>0</v>
      </c>
      <c r="AJ91" s="78">
        <f t="shared" si="100"/>
        <v>0</v>
      </c>
      <c r="AK91" s="78">
        <f t="shared" si="100"/>
        <v>0</v>
      </c>
      <c r="AL91" s="78">
        <f t="shared" si="105"/>
        <v>0</v>
      </c>
      <c r="AM91" s="78">
        <f t="shared" si="105"/>
        <v>0</v>
      </c>
      <c r="AN91" s="78">
        <f t="shared" si="105"/>
        <v>0</v>
      </c>
      <c r="AO91" s="78">
        <f t="shared" si="105"/>
        <v>0</v>
      </c>
      <c r="AP91" s="78">
        <f t="shared" si="101"/>
        <v>0</v>
      </c>
      <c r="AQ91" s="78">
        <f t="shared" si="101"/>
        <v>0</v>
      </c>
      <c r="AR91" s="78">
        <f t="shared" si="101"/>
        <v>0</v>
      </c>
      <c r="AS91" s="78">
        <f t="shared" si="98"/>
        <v>0</v>
      </c>
      <c r="AT91" s="78">
        <f t="shared" si="98"/>
        <v>0</v>
      </c>
      <c r="AU91" s="78">
        <f t="shared" si="91"/>
        <v>0</v>
      </c>
      <c r="AV91" s="78">
        <f t="shared" si="90"/>
        <v>0</v>
      </c>
      <c r="AW91" s="78">
        <f t="shared" si="102"/>
        <v>0</v>
      </c>
      <c r="AX91" s="78">
        <f t="shared" si="102"/>
        <v>0</v>
      </c>
      <c r="AY91" s="78">
        <f t="shared" si="92"/>
        <v>0</v>
      </c>
      <c r="AZ91" s="78">
        <f t="shared" si="92"/>
        <v>0</v>
      </c>
      <c r="BA91" s="78"/>
      <c r="BB91" s="78">
        <f t="shared" si="62"/>
        <v>0</v>
      </c>
      <c r="BC91" s="78">
        <f t="shared" si="93"/>
        <v>0</v>
      </c>
      <c r="BD91" s="155">
        <f t="shared" si="88"/>
        <v>0</v>
      </c>
      <c r="BE91" s="78"/>
      <c r="BF91" s="23"/>
      <c r="BO91" s="80"/>
      <c r="CH91" s="72">
        <v>51</v>
      </c>
      <c r="CI91" s="72" t="s">
        <v>390</v>
      </c>
      <c r="HH91" s="74"/>
      <c r="HJ91" s="74"/>
      <c r="HL91" s="23">
        <f t="shared" si="87"/>
        <v>51</v>
      </c>
      <c r="HM91" s="23"/>
    </row>
    <row r="92" spans="1:221" s="72" customFormat="1" ht="15.75">
      <c r="A92" s="72" t="s">
        <v>216</v>
      </c>
      <c r="B92" s="73">
        <v>338</v>
      </c>
      <c r="D92" s="14">
        <v>4</v>
      </c>
      <c r="E92" s="72">
        <v>7</v>
      </c>
      <c r="F92" s="72" t="s">
        <v>216</v>
      </c>
      <c r="G92" s="72" t="s">
        <v>331</v>
      </c>
      <c r="H92" s="75">
        <v>36336</v>
      </c>
      <c r="I92" s="72" t="s">
        <v>123</v>
      </c>
      <c r="J92" s="72" t="s">
        <v>124</v>
      </c>
      <c r="K92" s="73"/>
      <c r="L92" s="72" t="s">
        <v>125</v>
      </c>
      <c r="M92" s="56"/>
      <c r="N92" s="72" t="str">
        <f t="shared" si="95"/>
        <v>338R</v>
      </c>
      <c r="O92" s="72" t="str">
        <f t="shared" si="96"/>
        <v>338RBase</v>
      </c>
      <c r="Q92" s="23">
        <f t="shared" si="106"/>
        <v>0</v>
      </c>
      <c r="R92" s="23">
        <f t="shared" si="97"/>
        <v>0</v>
      </c>
      <c r="S92" s="23"/>
      <c r="T92" s="78">
        <v>37147</v>
      </c>
      <c r="U92" s="78"/>
      <c r="V92" s="79">
        <v>0</v>
      </c>
      <c r="W92" s="78">
        <f t="shared" si="107"/>
        <v>0</v>
      </c>
      <c r="X92" s="78">
        <f t="shared" si="103"/>
        <v>0</v>
      </c>
      <c r="Y92" s="78">
        <f t="shared" si="103"/>
        <v>0</v>
      </c>
      <c r="Z92" s="78">
        <f t="shared" si="103"/>
        <v>0</v>
      </c>
      <c r="AA92" s="78">
        <f t="shared" si="103"/>
        <v>0</v>
      </c>
      <c r="AB92" s="78">
        <f t="shared" si="99"/>
        <v>0</v>
      </c>
      <c r="AC92" s="78">
        <f t="shared" si="99"/>
        <v>0</v>
      </c>
      <c r="AD92" s="78">
        <f t="shared" si="99"/>
        <v>0</v>
      </c>
      <c r="AE92" s="78">
        <f t="shared" si="104"/>
        <v>0</v>
      </c>
      <c r="AF92" s="78">
        <f t="shared" si="104"/>
        <v>0</v>
      </c>
      <c r="AG92" s="78">
        <f t="shared" si="104"/>
        <v>0</v>
      </c>
      <c r="AH92" s="78">
        <f t="shared" si="104"/>
        <v>0</v>
      </c>
      <c r="AI92" s="78">
        <f t="shared" si="100"/>
        <v>0</v>
      </c>
      <c r="AJ92" s="78">
        <f t="shared" si="100"/>
        <v>0</v>
      </c>
      <c r="AK92" s="78">
        <f t="shared" si="100"/>
        <v>0</v>
      </c>
      <c r="AL92" s="78">
        <f t="shared" si="105"/>
        <v>0</v>
      </c>
      <c r="AM92" s="78">
        <f t="shared" si="105"/>
        <v>0</v>
      </c>
      <c r="AN92" s="78">
        <f t="shared" si="105"/>
        <v>0</v>
      </c>
      <c r="AO92" s="78">
        <f t="shared" si="105"/>
        <v>0</v>
      </c>
      <c r="AP92" s="78">
        <f t="shared" si="101"/>
        <v>0</v>
      </c>
      <c r="AQ92" s="78">
        <f t="shared" si="101"/>
        <v>0</v>
      </c>
      <c r="AR92" s="78">
        <f t="shared" si="101"/>
        <v>0</v>
      </c>
      <c r="AS92" s="78">
        <f t="shared" si="98"/>
        <v>0</v>
      </c>
      <c r="AT92" s="78">
        <f t="shared" si="98"/>
        <v>0</v>
      </c>
      <c r="AU92" s="78">
        <f t="shared" si="91"/>
        <v>0</v>
      </c>
      <c r="AV92" s="78">
        <f t="shared" si="90"/>
        <v>0</v>
      </c>
      <c r="AW92" s="78">
        <f t="shared" si="102"/>
        <v>0</v>
      </c>
      <c r="AX92" s="78">
        <f t="shared" si="102"/>
        <v>0</v>
      </c>
      <c r="AY92" s="78">
        <f t="shared" si="92"/>
        <v>0</v>
      </c>
      <c r="AZ92" s="78">
        <f t="shared" si="92"/>
        <v>0</v>
      </c>
      <c r="BA92" s="78"/>
      <c r="BB92" s="78">
        <f t="shared" si="62"/>
        <v>0</v>
      </c>
      <c r="BC92" s="78">
        <f t="shared" si="93"/>
        <v>0</v>
      </c>
      <c r="BD92" s="155">
        <f t="shared" si="88"/>
        <v>0</v>
      </c>
      <c r="BE92" s="78"/>
      <c r="BF92" s="23"/>
      <c r="BO92" s="80"/>
      <c r="HH92" s="74"/>
      <c r="HJ92" s="74"/>
      <c r="HL92" s="23">
        <f t="shared" si="87"/>
        <v>0</v>
      </c>
      <c r="HM92" s="112" t="s">
        <v>363</v>
      </c>
    </row>
    <row r="93" spans="1:221" s="72" customFormat="1" ht="15.75">
      <c r="A93" s="72" t="s">
        <v>217</v>
      </c>
      <c r="B93" s="73">
        <v>44</v>
      </c>
      <c r="D93" s="14">
        <v>8</v>
      </c>
      <c r="E93" s="72">
        <v>7</v>
      </c>
      <c r="F93" s="72" t="s">
        <v>217</v>
      </c>
      <c r="G93" s="72" t="s">
        <v>331</v>
      </c>
      <c r="H93" s="75">
        <v>36336</v>
      </c>
      <c r="I93" s="72" t="s">
        <v>123</v>
      </c>
      <c r="J93" s="72" t="s">
        <v>124</v>
      </c>
      <c r="K93" s="73"/>
      <c r="L93" s="72" t="s">
        <v>125</v>
      </c>
      <c r="M93" s="56"/>
      <c r="N93" s="72" t="str">
        <f t="shared" si="95"/>
        <v>44R</v>
      </c>
      <c r="O93" s="72" t="str">
        <f t="shared" si="96"/>
        <v>44RBase</v>
      </c>
      <c r="Q93" s="23">
        <f t="shared" si="106"/>
        <v>0</v>
      </c>
      <c r="R93" s="23">
        <f t="shared" si="97"/>
        <v>0</v>
      </c>
      <c r="S93" s="23"/>
      <c r="T93" s="78">
        <v>37147</v>
      </c>
      <c r="U93" s="78"/>
      <c r="V93" s="79">
        <v>0</v>
      </c>
      <c r="W93" s="78">
        <f t="shared" si="107"/>
        <v>0</v>
      </c>
      <c r="X93" s="78">
        <f t="shared" si="103"/>
        <v>0</v>
      </c>
      <c r="Y93" s="78">
        <f t="shared" si="103"/>
        <v>0</v>
      </c>
      <c r="Z93" s="78">
        <f t="shared" si="103"/>
        <v>0</v>
      </c>
      <c r="AA93" s="78">
        <f t="shared" si="103"/>
        <v>0</v>
      </c>
      <c r="AB93" s="78">
        <f t="shared" si="99"/>
        <v>0</v>
      </c>
      <c r="AC93" s="78">
        <f t="shared" si="99"/>
        <v>0</v>
      </c>
      <c r="AD93" s="78">
        <f t="shared" si="99"/>
        <v>0</v>
      </c>
      <c r="AE93" s="78">
        <f t="shared" si="104"/>
        <v>0</v>
      </c>
      <c r="AF93" s="78">
        <f t="shared" si="104"/>
        <v>0</v>
      </c>
      <c r="AG93" s="78">
        <f t="shared" si="104"/>
        <v>0</v>
      </c>
      <c r="AH93" s="78">
        <f t="shared" si="104"/>
        <v>0</v>
      </c>
      <c r="AI93" s="78">
        <f t="shared" si="100"/>
        <v>0</v>
      </c>
      <c r="AJ93" s="78">
        <f t="shared" si="100"/>
        <v>0</v>
      </c>
      <c r="AK93" s="78">
        <f t="shared" si="100"/>
        <v>0</v>
      </c>
      <c r="AL93" s="78">
        <f t="shared" si="105"/>
        <v>0</v>
      </c>
      <c r="AM93" s="78">
        <f t="shared" si="105"/>
        <v>0</v>
      </c>
      <c r="AN93" s="78">
        <f t="shared" si="105"/>
        <v>0</v>
      </c>
      <c r="AO93" s="78">
        <f t="shared" si="105"/>
        <v>0</v>
      </c>
      <c r="AP93" s="78">
        <f t="shared" si="101"/>
        <v>0</v>
      </c>
      <c r="AQ93" s="78">
        <f t="shared" si="101"/>
        <v>0</v>
      </c>
      <c r="AR93" s="78">
        <f t="shared" si="101"/>
        <v>0</v>
      </c>
      <c r="AS93" s="78">
        <f t="shared" si="98"/>
        <v>0</v>
      </c>
      <c r="AT93" s="78">
        <f t="shared" si="98"/>
        <v>0</v>
      </c>
      <c r="AU93" s="78">
        <f t="shared" si="91"/>
        <v>0</v>
      </c>
      <c r="AV93" s="78">
        <f t="shared" si="90"/>
        <v>0</v>
      </c>
      <c r="AW93" s="78">
        <f t="shared" si="102"/>
        <v>0</v>
      </c>
      <c r="AX93" s="78">
        <f t="shared" si="102"/>
        <v>0</v>
      </c>
      <c r="AY93" s="78">
        <f t="shared" si="92"/>
        <v>0</v>
      </c>
      <c r="AZ93" s="78">
        <f t="shared" si="92"/>
        <v>0</v>
      </c>
      <c r="BA93" s="78"/>
      <c r="BB93" s="78">
        <f t="shared" si="62"/>
        <v>0</v>
      </c>
      <c r="BC93" s="78">
        <f t="shared" si="93"/>
        <v>0</v>
      </c>
      <c r="BD93" s="155">
        <f t="shared" si="88"/>
        <v>0</v>
      </c>
      <c r="BE93" s="78"/>
      <c r="BF93" s="23"/>
      <c r="BO93" s="80"/>
      <c r="GJ93" s="72">
        <v>69</v>
      </c>
      <c r="GK93" s="72" t="s">
        <v>411</v>
      </c>
      <c r="HH93" s="74"/>
      <c r="HJ93" s="74"/>
      <c r="HL93" s="23">
        <f t="shared" si="87"/>
        <v>69</v>
      </c>
      <c r="HM93" s="23"/>
    </row>
    <row r="94" spans="1:221" s="72" customFormat="1" ht="15.75">
      <c r="A94" s="72" t="s">
        <v>218</v>
      </c>
      <c r="B94" s="73">
        <v>6</v>
      </c>
      <c r="D94" s="14">
        <v>40</v>
      </c>
      <c r="E94" s="72">
        <v>8</v>
      </c>
      <c r="F94" s="72" t="s">
        <v>218</v>
      </c>
      <c r="G94" s="72" t="s">
        <v>331</v>
      </c>
      <c r="H94" s="75">
        <v>36336</v>
      </c>
      <c r="I94" s="72" t="s">
        <v>123</v>
      </c>
      <c r="J94" s="72" t="s">
        <v>124</v>
      </c>
      <c r="K94" s="73"/>
      <c r="L94" s="72" t="s">
        <v>125</v>
      </c>
      <c r="N94" s="72" t="str">
        <f t="shared" si="95"/>
        <v>6R</v>
      </c>
      <c r="O94" s="72" t="str">
        <f t="shared" si="96"/>
        <v>6RBase</v>
      </c>
      <c r="Q94" s="23">
        <f t="shared" si="106"/>
        <v>0</v>
      </c>
      <c r="R94" s="23">
        <f t="shared" si="97"/>
        <v>0</v>
      </c>
      <c r="S94" s="23"/>
      <c r="T94" s="78">
        <v>37147</v>
      </c>
      <c r="U94" s="78"/>
      <c r="V94" s="79">
        <v>0</v>
      </c>
      <c r="W94" s="78">
        <f t="shared" si="107"/>
        <v>0</v>
      </c>
      <c r="X94" s="78">
        <f t="shared" si="103"/>
        <v>0</v>
      </c>
      <c r="Y94" s="78">
        <f t="shared" si="103"/>
        <v>0</v>
      </c>
      <c r="Z94" s="78">
        <f t="shared" si="103"/>
        <v>0</v>
      </c>
      <c r="AA94" s="78">
        <f t="shared" si="103"/>
        <v>0</v>
      </c>
      <c r="AB94" s="78">
        <f t="shared" si="99"/>
        <v>0</v>
      </c>
      <c r="AC94" s="78">
        <f t="shared" si="99"/>
        <v>0</v>
      </c>
      <c r="AD94" s="78">
        <f t="shared" si="99"/>
        <v>0</v>
      </c>
      <c r="AE94" s="78">
        <f t="shared" si="104"/>
        <v>0</v>
      </c>
      <c r="AF94" s="78">
        <f t="shared" si="104"/>
        <v>0</v>
      </c>
      <c r="AG94" s="78">
        <f t="shared" si="104"/>
        <v>0</v>
      </c>
      <c r="AH94" s="78">
        <f t="shared" si="104"/>
        <v>0</v>
      </c>
      <c r="AI94" s="78">
        <f t="shared" si="100"/>
        <v>0</v>
      </c>
      <c r="AJ94" s="78">
        <f t="shared" si="100"/>
        <v>0</v>
      </c>
      <c r="AK94" s="78">
        <f t="shared" si="100"/>
        <v>0</v>
      </c>
      <c r="AL94" s="78">
        <f t="shared" si="105"/>
        <v>0</v>
      </c>
      <c r="AM94" s="78">
        <f t="shared" si="105"/>
        <v>0</v>
      </c>
      <c r="AN94" s="78">
        <f t="shared" si="105"/>
        <v>0</v>
      </c>
      <c r="AO94" s="78">
        <f t="shared" si="105"/>
        <v>0</v>
      </c>
      <c r="AP94" s="78">
        <f t="shared" si="101"/>
        <v>0</v>
      </c>
      <c r="AQ94" s="78">
        <f t="shared" si="101"/>
        <v>0</v>
      </c>
      <c r="AR94" s="78">
        <f t="shared" si="101"/>
        <v>0</v>
      </c>
      <c r="AS94" s="78">
        <f t="shared" si="98"/>
        <v>0</v>
      </c>
      <c r="AT94" s="78">
        <f t="shared" si="98"/>
        <v>0</v>
      </c>
      <c r="AU94" s="78">
        <f t="shared" si="91"/>
        <v>0</v>
      </c>
      <c r="AV94" s="78">
        <f t="shared" si="90"/>
        <v>0</v>
      </c>
      <c r="AW94" s="78">
        <f t="shared" si="102"/>
        <v>0</v>
      </c>
      <c r="AX94" s="78">
        <f t="shared" si="102"/>
        <v>0</v>
      </c>
      <c r="AY94" s="78">
        <f t="shared" si="92"/>
        <v>0</v>
      </c>
      <c r="AZ94" s="78">
        <f t="shared" si="92"/>
        <v>0</v>
      </c>
      <c r="BA94" s="78"/>
      <c r="BB94" s="78">
        <f t="shared" si="62"/>
        <v>0</v>
      </c>
      <c r="BC94" s="78">
        <f t="shared" si="93"/>
        <v>0</v>
      </c>
      <c r="BD94" s="155">
        <f t="shared" si="88"/>
        <v>0</v>
      </c>
      <c r="BE94" s="78"/>
      <c r="BF94" s="23"/>
      <c r="BO94" s="80"/>
      <c r="BY94" s="72" t="s">
        <v>158</v>
      </c>
      <c r="DB94" s="72">
        <v>69</v>
      </c>
      <c r="DC94" s="72" t="s">
        <v>384</v>
      </c>
      <c r="HH94" s="74"/>
      <c r="HJ94" s="74"/>
      <c r="HL94" s="23">
        <f t="shared" si="87"/>
        <v>69</v>
      </c>
      <c r="HM94" s="23"/>
    </row>
    <row r="95" spans="1:221" s="72" customFormat="1" ht="15.75">
      <c r="A95" s="72" t="s">
        <v>219</v>
      </c>
      <c r="B95" s="73">
        <v>48</v>
      </c>
      <c r="D95" s="14">
        <v>39</v>
      </c>
      <c r="E95" s="72">
        <v>8</v>
      </c>
      <c r="F95" s="72" t="s">
        <v>219</v>
      </c>
      <c r="G95" s="72" t="s">
        <v>331</v>
      </c>
      <c r="H95" s="75">
        <v>36336</v>
      </c>
      <c r="I95" s="72" t="s">
        <v>123</v>
      </c>
      <c r="J95" s="72" t="s">
        <v>124</v>
      </c>
      <c r="K95" s="73"/>
      <c r="L95" s="72" t="s">
        <v>125</v>
      </c>
      <c r="N95" s="72" t="str">
        <f t="shared" si="95"/>
        <v>48R</v>
      </c>
      <c r="O95" s="72" t="str">
        <f t="shared" si="96"/>
        <v>48RBase</v>
      </c>
      <c r="Q95" s="23">
        <f t="shared" si="106"/>
        <v>0</v>
      </c>
      <c r="R95" s="23">
        <f t="shared" si="97"/>
        <v>0</v>
      </c>
      <c r="S95" s="23"/>
      <c r="T95" s="78">
        <v>37147</v>
      </c>
      <c r="U95" s="78"/>
      <c r="V95" s="79">
        <v>0</v>
      </c>
      <c r="W95" s="78">
        <f t="shared" si="107"/>
        <v>0</v>
      </c>
      <c r="X95" s="78">
        <f t="shared" si="103"/>
        <v>0</v>
      </c>
      <c r="Y95" s="78">
        <f t="shared" si="103"/>
        <v>0</v>
      </c>
      <c r="Z95" s="78">
        <f t="shared" si="103"/>
        <v>0</v>
      </c>
      <c r="AA95" s="78">
        <f t="shared" si="103"/>
        <v>0</v>
      </c>
      <c r="AB95" s="78">
        <f t="shared" si="99"/>
        <v>0</v>
      </c>
      <c r="AC95" s="78">
        <f t="shared" si="99"/>
        <v>0</v>
      </c>
      <c r="AD95" s="78">
        <f t="shared" si="99"/>
        <v>0</v>
      </c>
      <c r="AE95" s="78">
        <f t="shared" si="104"/>
        <v>0</v>
      </c>
      <c r="AF95" s="78">
        <f t="shared" si="104"/>
        <v>0</v>
      </c>
      <c r="AG95" s="78">
        <f t="shared" si="104"/>
        <v>0</v>
      </c>
      <c r="AH95" s="78">
        <f t="shared" si="104"/>
        <v>0</v>
      </c>
      <c r="AI95" s="78">
        <f t="shared" si="100"/>
        <v>0</v>
      </c>
      <c r="AJ95" s="78">
        <f t="shared" si="100"/>
        <v>0</v>
      </c>
      <c r="AK95" s="78">
        <f t="shared" si="100"/>
        <v>0</v>
      </c>
      <c r="AL95" s="78">
        <f t="shared" si="105"/>
        <v>0</v>
      </c>
      <c r="AM95" s="78">
        <f t="shared" si="105"/>
        <v>0</v>
      </c>
      <c r="AN95" s="78">
        <f t="shared" si="105"/>
        <v>0</v>
      </c>
      <c r="AO95" s="78">
        <f t="shared" si="105"/>
        <v>0</v>
      </c>
      <c r="AP95" s="78">
        <f t="shared" si="101"/>
        <v>0</v>
      </c>
      <c r="AQ95" s="78">
        <f t="shared" si="101"/>
        <v>0</v>
      </c>
      <c r="AR95" s="78">
        <f t="shared" si="101"/>
        <v>0</v>
      </c>
      <c r="AS95" s="78">
        <f t="shared" si="98"/>
        <v>0</v>
      </c>
      <c r="AT95" s="78">
        <f t="shared" si="98"/>
        <v>0</v>
      </c>
      <c r="AU95" s="78">
        <f t="shared" si="91"/>
        <v>0</v>
      </c>
      <c r="AV95" s="78">
        <f t="shared" si="90"/>
        <v>0</v>
      </c>
      <c r="AW95" s="78">
        <f t="shared" si="102"/>
        <v>0</v>
      </c>
      <c r="AX95" s="78">
        <f t="shared" si="102"/>
        <v>0</v>
      </c>
      <c r="AY95" s="78">
        <f t="shared" si="92"/>
        <v>0</v>
      </c>
      <c r="AZ95" s="78">
        <f t="shared" si="92"/>
        <v>0</v>
      </c>
      <c r="BA95" s="78"/>
      <c r="BB95" s="78">
        <f t="shared" si="62"/>
        <v>0</v>
      </c>
      <c r="BC95" s="78">
        <f t="shared" si="93"/>
        <v>0</v>
      </c>
      <c r="BD95" s="155">
        <f t="shared" si="88"/>
        <v>0</v>
      </c>
      <c r="BE95" s="78"/>
      <c r="BF95" s="23"/>
      <c r="BO95" s="80"/>
      <c r="DB95" s="72">
        <v>69</v>
      </c>
      <c r="DC95" s="72" t="s">
        <v>385</v>
      </c>
      <c r="HH95" s="74"/>
      <c r="HJ95" s="74"/>
      <c r="HL95" s="23">
        <f t="shared" si="87"/>
        <v>69</v>
      </c>
      <c r="HM95" s="23"/>
    </row>
    <row r="96" spans="1:221" s="72" customFormat="1" ht="15.75">
      <c r="A96" s="72" t="s">
        <v>220</v>
      </c>
      <c r="B96" s="73">
        <v>24</v>
      </c>
      <c r="D96" s="14">
        <v>35</v>
      </c>
      <c r="E96" s="72">
        <v>8</v>
      </c>
      <c r="F96" s="72" t="s">
        <v>127</v>
      </c>
      <c r="G96" s="72" t="s">
        <v>143</v>
      </c>
      <c r="H96" s="75">
        <v>36459</v>
      </c>
      <c r="I96" s="72" t="s">
        <v>123</v>
      </c>
      <c r="J96" s="72" t="s">
        <v>124</v>
      </c>
      <c r="K96" s="73"/>
      <c r="L96" s="72" t="s">
        <v>125</v>
      </c>
      <c r="M96" s="56"/>
      <c r="N96" s="72" t="str">
        <f t="shared" si="95"/>
        <v>24R</v>
      </c>
      <c r="O96" s="72" t="str">
        <f t="shared" si="96"/>
        <v>24RBase</v>
      </c>
      <c r="Q96" s="23">
        <f t="shared" si="106"/>
        <v>0</v>
      </c>
      <c r="R96" s="23">
        <f t="shared" si="97"/>
        <v>0</v>
      </c>
      <c r="S96" s="23"/>
      <c r="T96" s="78">
        <v>37147</v>
      </c>
      <c r="U96" s="78"/>
      <c r="V96" s="79">
        <v>0</v>
      </c>
      <c r="W96" s="78">
        <f t="shared" si="107"/>
        <v>0</v>
      </c>
      <c r="X96" s="78">
        <f t="shared" si="103"/>
        <v>0</v>
      </c>
      <c r="Y96" s="78">
        <f t="shared" si="103"/>
        <v>0</v>
      </c>
      <c r="Z96" s="78">
        <f t="shared" si="103"/>
        <v>0</v>
      </c>
      <c r="AA96" s="78">
        <f t="shared" si="103"/>
        <v>0</v>
      </c>
      <c r="AB96" s="78">
        <f t="shared" si="99"/>
        <v>0</v>
      </c>
      <c r="AC96" s="78">
        <f t="shared" si="99"/>
        <v>0</v>
      </c>
      <c r="AD96" s="78">
        <f t="shared" si="99"/>
        <v>0</v>
      </c>
      <c r="AE96" s="78">
        <f t="shared" si="104"/>
        <v>0</v>
      </c>
      <c r="AF96" s="78">
        <f t="shared" si="104"/>
        <v>0</v>
      </c>
      <c r="AG96" s="78">
        <f t="shared" si="104"/>
        <v>0</v>
      </c>
      <c r="AH96" s="78">
        <f t="shared" si="104"/>
        <v>0</v>
      </c>
      <c r="AI96" s="78">
        <f t="shared" si="100"/>
        <v>0</v>
      </c>
      <c r="AJ96" s="78">
        <f t="shared" si="100"/>
        <v>0</v>
      </c>
      <c r="AK96" s="78">
        <f t="shared" si="100"/>
        <v>0</v>
      </c>
      <c r="AL96" s="78">
        <f t="shared" si="105"/>
        <v>0</v>
      </c>
      <c r="AM96" s="78">
        <f t="shared" si="105"/>
        <v>0</v>
      </c>
      <c r="AN96" s="78">
        <f t="shared" si="105"/>
        <v>0</v>
      </c>
      <c r="AO96" s="78">
        <f t="shared" si="105"/>
        <v>0</v>
      </c>
      <c r="AP96" s="78">
        <f t="shared" si="101"/>
        <v>0</v>
      </c>
      <c r="AQ96" s="78">
        <f t="shared" si="101"/>
        <v>0</v>
      </c>
      <c r="AR96" s="78">
        <f t="shared" si="101"/>
        <v>0</v>
      </c>
      <c r="AS96" s="78">
        <f t="shared" si="98"/>
        <v>0</v>
      </c>
      <c r="AT96" s="78">
        <f t="shared" si="98"/>
        <v>0</v>
      </c>
      <c r="AU96" s="78">
        <f t="shared" si="91"/>
        <v>0</v>
      </c>
      <c r="AV96" s="78">
        <f t="shared" si="90"/>
        <v>0</v>
      </c>
      <c r="AW96" s="78">
        <f t="shared" si="102"/>
        <v>0</v>
      </c>
      <c r="AX96" s="78">
        <f t="shared" si="102"/>
        <v>0</v>
      </c>
      <c r="AY96" s="78">
        <f t="shared" si="92"/>
        <v>0</v>
      </c>
      <c r="AZ96" s="78">
        <f t="shared" si="92"/>
        <v>0</v>
      </c>
      <c r="BA96" s="78"/>
      <c r="BB96" s="78">
        <f t="shared" si="62"/>
        <v>0</v>
      </c>
      <c r="BC96" s="78">
        <f t="shared" si="93"/>
        <v>0</v>
      </c>
      <c r="BD96" s="155">
        <f t="shared" si="88"/>
        <v>0</v>
      </c>
      <c r="BE96" s="78"/>
      <c r="BF96" s="23"/>
      <c r="BO96" s="80"/>
      <c r="CZ96" s="72">
        <v>577</v>
      </c>
      <c r="DA96" s="72" t="s">
        <v>386</v>
      </c>
      <c r="FI96" s="72" t="s">
        <v>167</v>
      </c>
      <c r="HH96" s="74"/>
      <c r="HJ96" s="74"/>
      <c r="HL96" s="23">
        <f t="shared" si="87"/>
        <v>577</v>
      </c>
      <c r="HM96" s="23"/>
    </row>
    <row r="97" spans="1:221" s="72" customFormat="1" ht="15.75">
      <c r="A97" s="72" t="s">
        <v>220</v>
      </c>
      <c r="B97" s="73">
        <v>24</v>
      </c>
      <c r="D97" s="14">
        <v>35</v>
      </c>
      <c r="E97" s="72">
        <v>8</v>
      </c>
      <c r="F97" s="72" t="s">
        <v>146</v>
      </c>
      <c r="G97" s="72" t="s">
        <v>143</v>
      </c>
      <c r="H97" s="75">
        <v>36459</v>
      </c>
      <c r="I97" s="72" t="s">
        <v>123</v>
      </c>
      <c r="J97" s="72" t="s">
        <v>124</v>
      </c>
      <c r="K97" s="73"/>
      <c r="L97" s="72" t="s">
        <v>125</v>
      </c>
      <c r="M97" s="56"/>
      <c r="N97" s="72" t="str">
        <f t="shared" si="95"/>
        <v>24R</v>
      </c>
      <c r="O97" s="72" t="str">
        <f t="shared" si="96"/>
        <v>24RBase</v>
      </c>
      <c r="Q97" s="23">
        <f t="shared" si="106"/>
        <v>0</v>
      </c>
      <c r="R97" s="23">
        <f t="shared" si="97"/>
        <v>0</v>
      </c>
      <c r="S97" s="23"/>
      <c r="T97" s="78">
        <v>37147</v>
      </c>
      <c r="U97" s="78"/>
      <c r="V97" s="79">
        <v>0</v>
      </c>
      <c r="W97" s="78">
        <f t="shared" si="107"/>
        <v>0</v>
      </c>
      <c r="X97" s="78">
        <f t="shared" si="103"/>
        <v>0</v>
      </c>
      <c r="Y97" s="78">
        <f t="shared" si="103"/>
        <v>0</v>
      </c>
      <c r="Z97" s="78">
        <f t="shared" si="103"/>
        <v>0</v>
      </c>
      <c r="AA97" s="78">
        <f t="shared" si="103"/>
        <v>0</v>
      </c>
      <c r="AB97" s="78">
        <f t="shared" si="99"/>
        <v>0</v>
      </c>
      <c r="AC97" s="78">
        <f t="shared" si="99"/>
        <v>0</v>
      </c>
      <c r="AD97" s="78">
        <f t="shared" si="99"/>
        <v>0</v>
      </c>
      <c r="AE97" s="78">
        <f t="shared" si="104"/>
        <v>0</v>
      </c>
      <c r="AF97" s="78">
        <f t="shared" si="104"/>
        <v>0</v>
      </c>
      <c r="AG97" s="78">
        <f t="shared" si="104"/>
        <v>0</v>
      </c>
      <c r="AH97" s="78">
        <f t="shared" si="104"/>
        <v>0</v>
      </c>
      <c r="AI97" s="78">
        <f t="shared" si="100"/>
        <v>0</v>
      </c>
      <c r="AJ97" s="78">
        <f t="shared" si="100"/>
        <v>0</v>
      </c>
      <c r="AK97" s="78">
        <f t="shared" si="100"/>
        <v>0</v>
      </c>
      <c r="AL97" s="78">
        <f t="shared" si="105"/>
        <v>0</v>
      </c>
      <c r="AM97" s="78">
        <f t="shared" si="105"/>
        <v>0</v>
      </c>
      <c r="AN97" s="78">
        <f t="shared" si="105"/>
        <v>0</v>
      </c>
      <c r="AO97" s="78">
        <f t="shared" si="105"/>
        <v>0</v>
      </c>
      <c r="AP97" s="78">
        <f t="shared" si="101"/>
        <v>0</v>
      </c>
      <c r="AQ97" s="78">
        <f t="shared" si="101"/>
        <v>0</v>
      </c>
      <c r="AR97" s="78">
        <f t="shared" si="101"/>
        <v>0</v>
      </c>
      <c r="AS97" s="78">
        <f t="shared" si="98"/>
        <v>0</v>
      </c>
      <c r="AT97" s="78">
        <f t="shared" si="98"/>
        <v>0</v>
      </c>
      <c r="AU97" s="78">
        <f t="shared" si="91"/>
        <v>0</v>
      </c>
      <c r="AV97" s="78">
        <f t="shared" si="90"/>
        <v>0</v>
      </c>
      <c r="AW97" s="78">
        <f t="shared" si="102"/>
        <v>0</v>
      </c>
      <c r="AX97" s="78">
        <f t="shared" si="102"/>
        <v>0</v>
      </c>
      <c r="AY97" s="78">
        <f t="shared" si="92"/>
        <v>0</v>
      </c>
      <c r="AZ97" s="78">
        <f t="shared" si="92"/>
        <v>0</v>
      </c>
      <c r="BA97" s="78"/>
      <c r="BB97" s="78">
        <f t="shared" si="62"/>
        <v>0</v>
      </c>
      <c r="BC97" s="78">
        <f t="shared" si="93"/>
        <v>0</v>
      </c>
      <c r="BD97" s="155">
        <f t="shared" si="88"/>
        <v>0</v>
      </c>
      <c r="BE97" s="78"/>
      <c r="BF97" s="23"/>
      <c r="BO97" s="80"/>
      <c r="CZ97" s="72">
        <v>2622</v>
      </c>
      <c r="DA97" s="72" t="s">
        <v>387</v>
      </c>
      <c r="HH97" s="74"/>
      <c r="HJ97" s="74"/>
      <c r="HL97" s="23">
        <f t="shared" si="87"/>
        <v>2622</v>
      </c>
      <c r="HM97" s="23"/>
    </row>
    <row r="98" spans="1:221" s="72" customFormat="1" ht="15.75">
      <c r="A98" s="72" t="s">
        <v>220</v>
      </c>
      <c r="B98" s="73">
        <v>24</v>
      </c>
      <c r="D98" s="14">
        <v>39</v>
      </c>
      <c r="E98" s="72">
        <v>8</v>
      </c>
      <c r="F98" s="72" t="s">
        <v>146</v>
      </c>
      <c r="G98" s="72" t="s">
        <v>143</v>
      </c>
      <c r="H98" s="75">
        <v>36459</v>
      </c>
      <c r="I98" s="72" t="s">
        <v>123</v>
      </c>
      <c r="J98" s="72" t="s">
        <v>124</v>
      </c>
      <c r="K98" s="73"/>
      <c r="L98" s="72" t="s">
        <v>125</v>
      </c>
      <c r="M98" s="56"/>
      <c r="N98" s="72" t="str">
        <f t="shared" si="95"/>
        <v>24R</v>
      </c>
      <c r="O98" s="72" t="str">
        <f t="shared" si="96"/>
        <v>24RBase</v>
      </c>
      <c r="Q98" s="23">
        <f t="shared" si="106"/>
        <v>0</v>
      </c>
      <c r="R98" s="23">
        <f t="shared" si="97"/>
        <v>0</v>
      </c>
      <c r="S98" s="23"/>
      <c r="T98" s="78">
        <v>37147</v>
      </c>
      <c r="U98" s="78"/>
      <c r="V98" s="79">
        <v>0</v>
      </c>
      <c r="W98" s="78">
        <f t="shared" si="107"/>
        <v>0</v>
      </c>
      <c r="X98" s="78">
        <f t="shared" si="103"/>
        <v>0</v>
      </c>
      <c r="Y98" s="78">
        <f t="shared" si="103"/>
        <v>0</v>
      </c>
      <c r="Z98" s="78">
        <f t="shared" si="103"/>
        <v>0</v>
      </c>
      <c r="AA98" s="78">
        <f t="shared" si="103"/>
        <v>0</v>
      </c>
      <c r="AB98" s="78">
        <f t="shared" si="99"/>
        <v>0</v>
      </c>
      <c r="AC98" s="78">
        <f t="shared" si="99"/>
        <v>0</v>
      </c>
      <c r="AD98" s="78">
        <f t="shared" si="99"/>
        <v>0</v>
      </c>
      <c r="AE98" s="78">
        <f t="shared" si="104"/>
        <v>0</v>
      </c>
      <c r="AF98" s="78">
        <f t="shared" si="104"/>
        <v>0</v>
      </c>
      <c r="AG98" s="78">
        <f t="shared" si="104"/>
        <v>0</v>
      </c>
      <c r="AH98" s="78">
        <f t="shared" si="104"/>
        <v>0</v>
      </c>
      <c r="AI98" s="78">
        <f t="shared" si="100"/>
        <v>0</v>
      </c>
      <c r="AJ98" s="78">
        <f t="shared" si="100"/>
        <v>0</v>
      </c>
      <c r="AK98" s="78">
        <f t="shared" si="100"/>
        <v>0</v>
      </c>
      <c r="AL98" s="78">
        <f t="shared" si="105"/>
        <v>0</v>
      </c>
      <c r="AM98" s="78">
        <f t="shared" si="105"/>
        <v>0</v>
      </c>
      <c r="AN98" s="78">
        <f t="shared" si="105"/>
        <v>0</v>
      </c>
      <c r="AO98" s="78">
        <f t="shared" si="105"/>
        <v>0</v>
      </c>
      <c r="AP98" s="78">
        <f t="shared" si="101"/>
        <v>0</v>
      </c>
      <c r="AQ98" s="78">
        <f t="shared" si="101"/>
        <v>0</v>
      </c>
      <c r="AR98" s="78">
        <f t="shared" si="101"/>
        <v>0</v>
      </c>
      <c r="AS98" s="78">
        <f t="shared" si="98"/>
        <v>0</v>
      </c>
      <c r="AT98" s="78">
        <f t="shared" si="98"/>
        <v>0</v>
      </c>
      <c r="AU98" s="78">
        <f t="shared" si="91"/>
        <v>0</v>
      </c>
      <c r="AV98" s="78">
        <f t="shared" si="90"/>
        <v>0</v>
      </c>
      <c r="AW98" s="78">
        <f t="shared" si="102"/>
        <v>0</v>
      </c>
      <c r="AX98" s="78">
        <f t="shared" si="102"/>
        <v>0</v>
      </c>
      <c r="AY98" s="78">
        <f t="shared" si="92"/>
        <v>0</v>
      </c>
      <c r="AZ98" s="78">
        <f t="shared" si="92"/>
        <v>0</v>
      </c>
      <c r="BA98" s="78"/>
      <c r="BB98" s="78">
        <f t="shared" si="62"/>
        <v>0</v>
      </c>
      <c r="BC98" s="78">
        <f t="shared" si="93"/>
        <v>0</v>
      </c>
      <c r="BD98" s="155">
        <f t="shared" si="88"/>
        <v>0</v>
      </c>
      <c r="BE98" s="78"/>
      <c r="BF98" s="23"/>
      <c r="BO98" s="80"/>
      <c r="DB98" s="72">
        <v>53</v>
      </c>
      <c r="DC98" s="72" t="s">
        <v>388</v>
      </c>
      <c r="HH98" s="74"/>
      <c r="HJ98" s="74"/>
      <c r="HL98" s="23">
        <f t="shared" si="87"/>
        <v>53</v>
      </c>
      <c r="HM98" s="23"/>
    </row>
    <row r="99" spans="1:221" s="72" customFormat="1" ht="15.75">
      <c r="A99" s="72" t="s">
        <v>220</v>
      </c>
      <c r="B99" s="73">
        <v>24</v>
      </c>
      <c r="D99" s="14">
        <v>35</v>
      </c>
      <c r="E99" s="72">
        <v>8</v>
      </c>
      <c r="F99" s="72" t="s">
        <v>356</v>
      </c>
      <c r="G99" s="72" t="s">
        <v>332</v>
      </c>
      <c r="H99" s="75">
        <v>36459</v>
      </c>
      <c r="I99" s="72" t="s">
        <v>123</v>
      </c>
      <c r="J99" s="72" t="s">
        <v>136</v>
      </c>
      <c r="K99" s="73"/>
      <c r="L99" s="72" t="s">
        <v>125</v>
      </c>
      <c r="N99" s="72" t="str">
        <f t="shared" si="95"/>
        <v>24W</v>
      </c>
      <c r="O99" s="72" t="str">
        <f t="shared" si="96"/>
        <v>24WBase</v>
      </c>
      <c r="Q99" s="23">
        <f t="shared" si="106"/>
        <v>0</v>
      </c>
      <c r="R99" s="23">
        <f t="shared" si="97"/>
        <v>0</v>
      </c>
      <c r="S99" s="23"/>
      <c r="T99" s="78">
        <v>37147</v>
      </c>
      <c r="U99" s="78"/>
      <c r="V99" s="79">
        <v>0</v>
      </c>
      <c r="W99" s="78">
        <f t="shared" si="107"/>
        <v>0</v>
      </c>
      <c r="X99" s="78">
        <f t="shared" si="103"/>
        <v>0</v>
      </c>
      <c r="Y99" s="78">
        <f t="shared" si="103"/>
        <v>0</v>
      </c>
      <c r="Z99" s="78">
        <f t="shared" si="103"/>
        <v>0</v>
      </c>
      <c r="AA99" s="78">
        <f t="shared" si="103"/>
        <v>0</v>
      </c>
      <c r="AB99" s="78">
        <f t="shared" si="99"/>
        <v>0</v>
      </c>
      <c r="AC99" s="78">
        <f t="shared" si="99"/>
        <v>0</v>
      </c>
      <c r="AD99" s="78">
        <f t="shared" si="99"/>
        <v>0</v>
      </c>
      <c r="AE99" s="78">
        <f t="shared" si="104"/>
        <v>0</v>
      </c>
      <c r="AF99" s="78">
        <f t="shared" si="104"/>
        <v>0</v>
      </c>
      <c r="AG99" s="78">
        <f t="shared" si="104"/>
        <v>0</v>
      </c>
      <c r="AH99" s="78">
        <f t="shared" si="104"/>
        <v>0</v>
      </c>
      <c r="AI99" s="78">
        <f t="shared" si="100"/>
        <v>0</v>
      </c>
      <c r="AJ99" s="78">
        <f t="shared" si="100"/>
        <v>0</v>
      </c>
      <c r="AK99" s="78">
        <f t="shared" si="100"/>
        <v>0</v>
      </c>
      <c r="AL99" s="78">
        <f t="shared" si="105"/>
        <v>0</v>
      </c>
      <c r="AM99" s="78">
        <f t="shared" si="105"/>
        <v>0</v>
      </c>
      <c r="AN99" s="78">
        <f t="shared" si="105"/>
        <v>0</v>
      </c>
      <c r="AO99" s="78">
        <f t="shared" si="105"/>
        <v>0</v>
      </c>
      <c r="AP99" s="78">
        <f t="shared" si="101"/>
        <v>0</v>
      </c>
      <c r="AQ99" s="78">
        <f t="shared" si="101"/>
        <v>0</v>
      </c>
      <c r="AR99" s="78">
        <f t="shared" si="101"/>
        <v>0</v>
      </c>
      <c r="AS99" s="78">
        <f t="shared" si="98"/>
        <v>0</v>
      </c>
      <c r="AT99" s="78">
        <f t="shared" si="98"/>
        <v>0</v>
      </c>
      <c r="AU99" s="78">
        <f t="shared" si="91"/>
        <v>0</v>
      </c>
      <c r="AV99" s="78">
        <f t="shared" si="90"/>
        <v>0</v>
      </c>
      <c r="AW99" s="78">
        <f t="shared" si="102"/>
        <v>0</v>
      </c>
      <c r="AX99" s="78">
        <f t="shared" si="102"/>
        <v>0</v>
      </c>
      <c r="AY99" s="78">
        <f t="shared" si="92"/>
        <v>0</v>
      </c>
      <c r="AZ99" s="78">
        <f t="shared" si="92"/>
        <v>0</v>
      </c>
      <c r="BA99" s="78"/>
      <c r="BB99" s="78">
        <f t="shared" si="62"/>
        <v>0</v>
      </c>
      <c r="BC99" s="78">
        <f t="shared" si="93"/>
        <v>0</v>
      </c>
      <c r="BD99" s="155">
        <f t="shared" si="88"/>
        <v>0</v>
      </c>
      <c r="BE99" s="78"/>
      <c r="BF99" s="23"/>
      <c r="BO99" s="80"/>
      <c r="FH99" s="72">
        <v>1648</v>
      </c>
      <c r="FI99" s="72" t="s">
        <v>139</v>
      </c>
      <c r="HH99" s="74"/>
      <c r="HJ99" s="74"/>
      <c r="HL99" s="23">
        <f t="shared" si="87"/>
        <v>1648</v>
      </c>
      <c r="HM99" s="23"/>
    </row>
    <row r="100" spans="1:221" s="72" customFormat="1" ht="15.75">
      <c r="A100" s="72" t="s">
        <v>221</v>
      </c>
      <c r="B100" s="73">
        <v>25</v>
      </c>
      <c r="D100" s="14">
        <v>26</v>
      </c>
      <c r="E100" s="72">
        <v>8</v>
      </c>
      <c r="F100" s="72" t="s">
        <v>127</v>
      </c>
      <c r="G100" s="72" t="s">
        <v>151</v>
      </c>
      <c r="H100" s="75">
        <v>36336</v>
      </c>
      <c r="I100" s="72" t="s">
        <v>123</v>
      </c>
      <c r="J100" s="72" t="s">
        <v>124</v>
      </c>
      <c r="K100" s="73"/>
      <c r="L100" s="72" t="s">
        <v>125</v>
      </c>
      <c r="M100" s="56"/>
      <c r="N100" s="72" t="str">
        <f t="shared" si="95"/>
        <v>25R</v>
      </c>
      <c r="O100" s="72" t="str">
        <f t="shared" si="96"/>
        <v>25RBase</v>
      </c>
      <c r="Q100" s="23">
        <f t="shared" si="106"/>
        <v>0</v>
      </c>
      <c r="R100" s="23">
        <f t="shared" si="97"/>
        <v>0</v>
      </c>
      <c r="S100" s="23"/>
      <c r="T100" s="78">
        <v>37147</v>
      </c>
      <c r="U100" s="78"/>
      <c r="V100" s="79">
        <v>0</v>
      </c>
      <c r="W100" s="78">
        <f t="shared" si="107"/>
        <v>0</v>
      </c>
      <c r="X100" s="78">
        <f t="shared" si="103"/>
        <v>0</v>
      </c>
      <c r="Y100" s="78">
        <f t="shared" si="103"/>
        <v>0</v>
      </c>
      <c r="Z100" s="78">
        <f t="shared" si="103"/>
        <v>0</v>
      </c>
      <c r="AA100" s="78">
        <f t="shared" si="103"/>
        <v>0</v>
      </c>
      <c r="AB100" s="78">
        <f t="shared" si="99"/>
        <v>0</v>
      </c>
      <c r="AC100" s="78">
        <f t="shared" si="99"/>
        <v>0</v>
      </c>
      <c r="AD100" s="78">
        <f t="shared" si="99"/>
        <v>0</v>
      </c>
      <c r="AE100" s="78">
        <f t="shared" si="104"/>
        <v>0</v>
      </c>
      <c r="AF100" s="78">
        <f t="shared" si="104"/>
        <v>0</v>
      </c>
      <c r="AG100" s="78">
        <f t="shared" si="104"/>
        <v>0</v>
      </c>
      <c r="AH100" s="78">
        <f t="shared" si="104"/>
        <v>0</v>
      </c>
      <c r="AI100" s="78">
        <f t="shared" si="100"/>
        <v>0</v>
      </c>
      <c r="AJ100" s="78">
        <f t="shared" si="100"/>
        <v>0</v>
      </c>
      <c r="AK100" s="78">
        <f t="shared" si="100"/>
        <v>0</v>
      </c>
      <c r="AL100" s="78">
        <f t="shared" si="105"/>
        <v>0</v>
      </c>
      <c r="AM100" s="78">
        <f t="shared" si="105"/>
        <v>0</v>
      </c>
      <c r="AN100" s="78">
        <f t="shared" si="105"/>
        <v>0</v>
      </c>
      <c r="AO100" s="78">
        <f t="shared" si="105"/>
        <v>0</v>
      </c>
      <c r="AP100" s="78">
        <f t="shared" si="101"/>
        <v>0</v>
      </c>
      <c r="AQ100" s="78">
        <f t="shared" si="101"/>
        <v>0</v>
      </c>
      <c r="AR100" s="78">
        <f t="shared" si="101"/>
        <v>0</v>
      </c>
      <c r="AS100" s="78">
        <f t="shared" si="98"/>
        <v>0</v>
      </c>
      <c r="AT100" s="78">
        <f t="shared" si="98"/>
        <v>0</v>
      </c>
      <c r="AU100" s="78">
        <f t="shared" si="91"/>
        <v>0</v>
      </c>
      <c r="AV100" s="78">
        <f t="shared" si="90"/>
        <v>0</v>
      </c>
      <c r="AW100" s="78">
        <f t="shared" si="102"/>
        <v>0</v>
      </c>
      <c r="AX100" s="78">
        <f t="shared" si="102"/>
        <v>0</v>
      </c>
      <c r="AY100" s="78">
        <f t="shared" ref="AY100:AZ119" si="108">AX100</f>
        <v>0</v>
      </c>
      <c r="AZ100" s="78">
        <f t="shared" si="108"/>
        <v>0</v>
      </c>
      <c r="BA100" s="78"/>
      <c r="BB100" s="78">
        <f t="shared" si="62"/>
        <v>0</v>
      </c>
      <c r="BC100" s="78">
        <f t="shared" si="93"/>
        <v>0</v>
      </c>
      <c r="BD100" s="155">
        <f t="shared" si="88"/>
        <v>0</v>
      </c>
      <c r="BE100" s="78"/>
      <c r="BF100" s="23"/>
      <c r="BK100" s="72">
        <v>34</v>
      </c>
      <c r="BO100" s="80"/>
      <c r="FT100" s="72">
        <v>1934</v>
      </c>
      <c r="FU100" s="72" t="s">
        <v>400</v>
      </c>
      <c r="HH100" s="74"/>
      <c r="HJ100" s="74"/>
      <c r="HL100" s="23">
        <f t="shared" si="87"/>
        <v>1968</v>
      </c>
      <c r="HM100" s="23"/>
    </row>
    <row r="101" spans="1:221" s="72" customFormat="1" ht="15.75">
      <c r="A101" s="72" t="s">
        <v>221</v>
      </c>
      <c r="B101" s="73">
        <v>25</v>
      </c>
      <c r="D101" s="14">
        <v>35</v>
      </c>
      <c r="E101" s="72">
        <v>8</v>
      </c>
      <c r="F101" s="72" t="s">
        <v>127</v>
      </c>
      <c r="G101" s="72" t="s">
        <v>151</v>
      </c>
      <c r="H101" s="75">
        <f t="shared" ref="H101:H110" si="109">H100</f>
        <v>36336</v>
      </c>
      <c r="I101" s="72" t="s">
        <v>123</v>
      </c>
      <c r="J101" s="72" t="s">
        <v>124</v>
      </c>
      <c r="K101" s="73"/>
      <c r="L101" s="72" t="s">
        <v>125</v>
      </c>
      <c r="M101" s="56"/>
      <c r="N101" s="72" t="str">
        <f t="shared" ref="N101:N110" si="110">N100</f>
        <v>25R</v>
      </c>
      <c r="O101" s="72" t="str">
        <f t="shared" ref="O101:O110" si="111">O100</f>
        <v>25RBase</v>
      </c>
      <c r="Q101" s="23">
        <f t="shared" si="106"/>
        <v>0</v>
      </c>
      <c r="R101" s="23">
        <f t="shared" si="97"/>
        <v>0</v>
      </c>
      <c r="S101" s="23"/>
      <c r="T101" s="78">
        <v>37147</v>
      </c>
      <c r="U101" s="78"/>
      <c r="V101" s="79">
        <v>0</v>
      </c>
      <c r="W101" s="78">
        <f t="shared" si="107"/>
        <v>0</v>
      </c>
      <c r="X101" s="78">
        <f t="shared" si="103"/>
        <v>0</v>
      </c>
      <c r="Y101" s="78">
        <f t="shared" si="103"/>
        <v>0</v>
      </c>
      <c r="Z101" s="78">
        <f t="shared" si="103"/>
        <v>0</v>
      </c>
      <c r="AA101" s="78">
        <f t="shared" si="103"/>
        <v>0</v>
      </c>
      <c r="AB101" s="78">
        <f t="shared" si="99"/>
        <v>0</v>
      </c>
      <c r="AC101" s="78">
        <f t="shared" si="99"/>
        <v>0</v>
      </c>
      <c r="AD101" s="78">
        <f t="shared" si="99"/>
        <v>0</v>
      </c>
      <c r="AE101" s="78">
        <f t="shared" si="104"/>
        <v>0</v>
      </c>
      <c r="AF101" s="78">
        <f t="shared" si="104"/>
        <v>0</v>
      </c>
      <c r="AG101" s="78">
        <f t="shared" si="104"/>
        <v>0</v>
      </c>
      <c r="AH101" s="78">
        <f t="shared" si="104"/>
        <v>0</v>
      </c>
      <c r="AI101" s="78">
        <f t="shared" si="100"/>
        <v>0</v>
      </c>
      <c r="AJ101" s="78">
        <f t="shared" si="100"/>
        <v>0</v>
      </c>
      <c r="AK101" s="78">
        <f t="shared" si="100"/>
        <v>0</v>
      </c>
      <c r="AL101" s="78">
        <f t="shared" si="105"/>
        <v>0</v>
      </c>
      <c r="AM101" s="78">
        <f t="shared" si="105"/>
        <v>0</v>
      </c>
      <c r="AN101" s="78">
        <f t="shared" si="105"/>
        <v>0</v>
      </c>
      <c r="AO101" s="78">
        <f t="shared" si="105"/>
        <v>0</v>
      </c>
      <c r="AP101" s="78">
        <f t="shared" si="101"/>
        <v>0</v>
      </c>
      <c r="AQ101" s="78">
        <f t="shared" si="101"/>
        <v>0</v>
      </c>
      <c r="AR101" s="78">
        <f t="shared" si="101"/>
        <v>0</v>
      </c>
      <c r="AS101" s="78">
        <f t="shared" si="98"/>
        <v>0</v>
      </c>
      <c r="AT101" s="78">
        <f t="shared" si="98"/>
        <v>0</v>
      </c>
      <c r="AU101" s="78">
        <f t="shared" si="91"/>
        <v>0</v>
      </c>
      <c r="AV101" s="78">
        <f t="shared" si="90"/>
        <v>0</v>
      </c>
      <c r="AW101" s="78">
        <f t="shared" si="102"/>
        <v>0</v>
      </c>
      <c r="AX101" s="78">
        <f t="shared" si="102"/>
        <v>0</v>
      </c>
      <c r="AY101" s="78">
        <f t="shared" si="108"/>
        <v>0</v>
      </c>
      <c r="AZ101" s="78">
        <f t="shared" si="108"/>
        <v>0</v>
      </c>
      <c r="BA101" s="78"/>
      <c r="BB101" s="78">
        <f t="shared" si="62"/>
        <v>0</v>
      </c>
      <c r="BC101" s="78">
        <f t="shared" si="93"/>
        <v>0</v>
      </c>
      <c r="BD101" s="155">
        <f t="shared" si="88"/>
        <v>0</v>
      </c>
      <c r="BE101" s="78"/>
      <c r="BF101" s="23"/>
      <c r="BO101" s="80"/>
      <c r="BX101" s="72">
        <v>3936</v>
      </c>
      <c r="BY101" s="72" t="s">
        <v>368</v>
      </c>
      <c r="DP101" s="72">
        <v>1833</v>
      </c>
      <c r="DQ101" s="72" t="s">
        <v>392</v>
      </c>
      <c r="DR101" s="72">
        <v>1769</v>
      </c>
      <c r="DS101" s="72" t="s">
        <v>396</v>
      </c>
      <c r="FT101" s="72">
        <v>2783</v>
      </c>
      <c r="FU101" s="72" t="s">
        <v>201</v>
      </c>
      <c r="HH101" s="74"/>
      <c r="HJ101" s="74"/>
      <c r="HL101" s="23">
        <f t="shared" si="87"/>
        <v>10321</v>
      </c>
      <c r="HM101" s="23"/>
    </row>
    <row r="102" spans="1:221" s="72" customFormat="1" ht="15.75">
      <c r="A102" s="72" t="s">
        <v>221</v>
      </c>
      <c r="B102" s="73">
        <v>25</v>
      </c>
      <c r="D102" s="14">
        <v>36</v>
      </c>
      <c r="E102" s="72">
        <v>8</v>
      </c>
      <c r="F102" s="72" t="s">
        <v>127</v>
      </c>
      <c r="G102" s="72" t="s">
        <v>151</v>
      </c>
      <c r="H102" s="75">
        <f t="shared" si="109"/>
        <v>36336</v>
      </c>
      <c r="I102" s="72" t="s">
        <v>123</v>
      </c>
      <c r="J102" s="72" t="s">
        <v>124</v>
      </c>
      <c r="K102" s="73"/>
      <c r="L102" s="72" t="s">
        <v>125</v>
      </c>
      <c r="M102" s="56"/>
      <c r="N102" s="72" t="str">
        <f t="shared" si="110"/>
        <v>25R</v>
      </c>
      <c r="O102" s="72" t="str">
        <f t="shared" si="111"/>
        <v>25RBase</v>
      </c>
      <c r="Q102" s="23">
        <f t="shared" si="106"/>
        <v>0</v>
      </c>
      <c r="R102" s="23">
        <f t="shared" si="97"/>
        <v>0</v>
      </c>
      <c r="S102" s="23"/>
      <c r="T102" s="78">
        <v>37147</v>
      </c>
      <c r="U102" s="78"/>
      <c r="V102" s="79">
        <v>0</v>
      </c>
      <c r="W102" s="78">
        <f t="shared" si="107"/>
        <v>0</v>
      </c>
      <c r="X102" s="78">
        <f t="shared" si="103"/>
        <v>0</v>
      </c>
      <c r="Y102" s="78">
        <f t="shared" si="103"/>
        <v>0</v>
      </c>
      <c r="Z102" s="78">
        <f t="shared" si="103"/>
        <v>0</v>
      </c>
      <c r="AA102" s="78">
        <f t="shared" si="103"/>
        <v>0</v>
      </c>
      <c r="AB102" s="78">
        <f t="shared" si="99"/>
        <v>0</v>
      </c>
      <c r="AC102" s="78">
        <f t="shared" si="99"/>
        <v>0</v>
      </c>
      <c r="AD102" s="78">
        <f t="shared" si="99"/>
        <v>0</v>
      </c>
      <c r="AE102" s="78">
        <f t="shared" si="104"/>
        <v>0</v>
      </c>
      <c r="AF102" s="78">
        <f t="shared" si="104"/>
        <v>0</v>
      </c>
      <c r="AG102" s="78">
        <f t="shared" si="104"/>
        <v>0</v>
      </c>
      <c r="AH102" s="78">
        <f t="shared" si="104"/>
        <v>0</v>
      </c>
      <c r="AI102" s="78">
        <f t="shared" si="100"/>
        <v>0</v>
      </c>
      <c r="AJ102" s="78">
        <f t="shared" si="100"/>
        <v>0</v>
      </c>
      <c r="AK102" s="78">
        <f t="shared" si="100"/>
        <v>0</v>
      </c>
      <c r="AL102" s="78">
        <f t="shared" si="105"/>
        <v>0</v>
      </c>
      <c r="AM102" s="78">
        <f t="shared" si="105"/>
        <v>0</v>
      </c>
      <c r="AN102" s="78">
        <f t="shared" si="105"/>
        <v>0</v>
      </c>
      <c r="AO102" s="78">
        <f t="shared" si="105"/>
        <v>0</v>
      </c>
      <c r="AP102" s="78">
        <f t="shared" si="101"/>
        <v>0</v>
      </c>
      <c r="AQ102" s="78">
        <f t="shared" si="101"/>
        <v>0</v>
      </c>
      <c r="AR102" s="78">
        <f t="shared" si="101"/>
        <v>0</v>
      </c>
      <c r="AS102" s="78">
        <f t="shared" si="98"/>
        <v>0</v>
      </c>
      <c r="AT102" s="78">
        <f t="shared" si="98"/>
        <v>0</v>
      </c>
      <c r="AU102" s="78">
        <f t="shared" si="91"/>
        <v>0</v>
      </c>
      <c r="AV102" s="78">
        <f t="shared" si="90"/>
        <v>0</v>
      </c>
      <c r="AW102" s="78">
        <f t="shared" si="102"/>
        <v>0</v>
      </c>
      <c r="AX102" s="78">
        <f t="shared" si="102"/>
        <v>0</v>
      </c>
      <c r="AY102" s="78">
        <f t="shared" si="108"/>
        <v>0</v>
      </c>
      <c r="AZ102" s="78">
        <f t="shared" si="108"/>
        <v>0</v>
      </c>
      <c r="BA102" s="78"/>
      <c r="BB102" s="78">
        <f t="shared" si="62"/>
        <v>0</v>
      </c>
      <c r="BC102" s="78">
        <f t="shared" si="93"/>
        <v>0</v>
      </c>
      <c r="BD102" s="155">
        <f t="shared" si="88"/>
        <v>0</v>
      </c>
      <c r="BE102" s="78"/>
      <c r="BF102" s="23"/>
      <c r="BO102" s="80"/>
      <c r="FQ102" s="72" t="s">
        <v>175</v>
      </c>
      <c r="FT102" s="72">
        <v>1917</v>
      </c>
      <c r="FU102" s="72" t="s">
        <v>128</v>
      </c>
      <c r="HH102" s="74"/>
      <c r="HJ102" s="74"/>
      <c r="HL102" s="23">
        <f t="shared" si="87"/>
        <v>1917</v>
      </c>
      <c r="HM102" s="23"/>
    </row>
    <row r="103" spans="1:221" s="72" customFormat="1" ht="15.75">
      <c r="A103" s="72" t="s">
        <v>221</v>
      </c>
      <c r="B103" s="73">
        <v>25</v>
      </c>
      <c r="D103" s="14">
        <v>38</v>
      </c>
      <c r="E103" s="72">
        <v>8</v>
      </c>
      <c r="F103" s="72" t="s">
        <v>127</v>
      </c>
      <c r="G103" s="72" t="s">
        <v>151</v>
      </c>
      <c r="H103" s="75">
        <f t="shared" si="109"/>
        <v>36336</v>
      </c>
      <c r="I103" s="72" t="s">
        <v>123</v>
      </c>
      <c r="J103" s="72" t="s">
        <v>124</v>
      </c>
      <c r="K103" s="73"/>
      <c r="L103" s="72" t="s">
        <v>125</v>
      </c>
      <c r="N103" s="72" t="str">
        <f t="shared" si="110"/>
        <v>25R</v>
      </c>
      <c r="O103" s="72" t="str">
        <f t="shared" si="111"/>
        <v>25RBase</v>
      </c>
      <c r="Q103" s="23">
        <f t="shared" si="106"/>
        <v>0</v>
      </c>
      <c r="R103" s="23">
        <f t="shared" si="97"/>
        <v>0</v>
      </c>
      <c r="S103" s="23"/>
      <c r="T103" s="78">
        <v>37147</v>
      </c>
      <c r="U103" s="78"/>
      <c r="V103" s="79">
        <v>0</v>
      </c>
      <c r="W103" s="78">
        <f t="shared" si="107"/>
        <v>0</v>
      </c>
      <c r="X103" s="78">
        <f t="shared" si="103"/>
        <v>0</v>
      </c>
      <c r="Y103" s="78">
        <f t="shared" si="103"/>
        <v>0</v>
      </c>
      <c r="Z103" s="78">
        <f t="shared" si="103"/>
        <v>0</v>
      </c>
      <c r="AA103" s="78">
        <f t="shared" si="103"/>
        <v>0</v>
      </c>
      <c r="AB103" s="78">
        <f t="shared" si="99"/>
        <v>0</v>
      </c>
      <c r="AC103" s="78">
        <f t="shared" si="99"/>
        <v>0</v>
      </c>
      <c r="AD103" s="78">
        <f t="shared" si="99"/>
        <v>0</v>
      </c>
      <c r="AE103" s="78">
        <f t="shared" si="104"/>
        <v>0</v>
      </c>
      <c r="AF103" s="78">
        <f t="shared" si="104"/>
        <v>0</v>
      </c>
      <c r="AG103" s="78">
        <f t="shared" si="104"/>
        <v>0</v>
      </c>
      <c r="AH103" s="78">
        <f t="shared" si="104"/>
        <v>0</v>
      </c>
      <c r="AI103" s="78">
        <f t="shared" si="100"/>
        <v>0</v>
      </c>
      <c r="AJ103" s="78">
        <f t="shared" si="100"/>
        <v>0</v>
      </c>
      <c r="AK103" s="78">
        <f t="shared" si="100"/>
        <v>0</v>
      </c>
      <c r="AL103" s="78">
        <f t="shared" si="105"/>
        <v>0</v>
      </c>
      <c r="AM103" s="78">
        <f t="shared" si="105"/>
        <v>0</v>
      </c>
      <c r="AN103" s="78">
        <f t="shared" si="105"/>
        <v>0</v>
      </c>
      <c r="AO103" s="78">
        <f t="shared" si="105"/>
        <v>0</v>
      </c>
      <c r="AP103" s="78">
        <f t="shared" si="101"/>
        <v>0</v>
      </c>
      <c r="AQ103" s="78">
        <f t="shared" si="101"/>
        <v>0</v>
      </c>
      <c r="AR103" s="78">
        <f t="shared" si="101"/>
        <v>0</v>
      </c>
      <c r="AS103" s="78">
        <f t="shared" ref="AS103:AT122" si="112">AR103</f>
        <v>0</v>
      </c>
      <c r="AT103" s="78">
        <f t="shared" si="112"/>
        <v>0</v>
      </c>
      <c r="AU103" s="78">
        <f t="shared" si="91"/>
        <v>0</v>
      </c>
      <c r="AV103" s="78">
        <f t="shared" si="90"/>
        <v>0</v>
      </c>
      <c r="AW103" s="78">
        <f t="shared" si="102"/>
        <v>0</v>
      </c>
      <c r="AX103" s="78">
        <f t="shared" si="102"/>
        <v>0</v>
      </c>
      <c r="AY103" s="78">
        <f t="shared" si="108"/>
        <v>0</v>
      </c>
      <c r="AZ103" s="78">
        <f t="shared" si="108"/>
        <v>0</v>
      </c>
      <c r="BA103" s="78"/>
      <c r="BB103" s="78">
        <f t="shared" si="62"/>
        <v>0</v>
      </c>
      <c r="BC103" s="78">
        <f t="shared" si="93"/>
        <v>0</v>
      </c>
      <c r="BD103" s="155">
        <f t="shared" si="88"/>
        <v>0</v>
      </c>
      <c r="BE103" s="78"/>
      <c r="BF103" s="23"/>
      <c r="BO103" s="80"/>
      <c r="FT103" s="72">
        <v>149</v>
      </c>
      <c r="FU103" s="72" t="s">
        <v>133</v>
      </c>
      <c r="HH103" s="74"/>
      <c r="HJ103" s="74"/>
      <c r="HL103" s="23">
        <f t="shared" si="87"/>
        <v>149</v>
      </c>
      <c r="HM103" s="23"/>
    </row>
    <row r="104" spans="1:221" s="72" customFormat="1" ht="15.75">
      <c r="A104" s="72" t="s">
        <v>221</v>
      </c>
      <c r="B104" s="73">
        <v>25</v>
      </c>
      <c r="D104" s="14">
        <v>39</v>
      </c>
      <c r="E104" s="72">
        <v>8</v>
      </c>
      <c r="F104" s="72" t="s">
        <v>127</v>
      </c>
      <c r="G104" s="72" t="s">
        <v>151</v>
      </c>
      <c r="H104" s="75">
        <f t="shared" si="109"/>
        <v>36336</v>
      </c>
      <c r="I104" s="72" t="s">
        <v>123</v>
      </c>
      <c r="J104" s="72" t="s">
        <v>124</v>
      </c>
      <c r="K104" s="73"/>
      <c r="L104" s="72" t="s">
        <v>125</v>
      </c>
      <c r="N104" s="72" t="str">
        <f t="shared" si="110"/>
        <v>25R</v>
      </c>
      <c r="O104" s="72" t="str">
        <f t="shared" si="111"/>
        <v>25RBase</v>
      </c>
      <c r="Q104" s="23">
        <f t="shared" si="106"/>
        <v>0</v>
      </c>
      <c r="R104" s="23">
        <f t="shared" si="97"/>
        <v>0</v>
      </c>
      <c r="S104" s="23"/>
      <c r="T104" s="78">
        <v>37147</v>
      </c>
      <c r="U104" s="78"/>
      <c r="V104" s="79">
        <v>0</v>
      </c>
      <c r="W104" s="78">
        <f t="shared" si="107"/>
        <v>0</v>
      </c>
      <c r="X104" s="78">
        <f t="shared" si="103"/>
        <v>0</v>
      </c>
      <c r="Y104" s="78">
        <f t="shared" si="103"/>
        <v>0</v>
      </c>
      <c r="Z104" s="78">
        <f t="shared" si="103"/>
        <v>0</v>
      </c>
      <c r="AA104" s="78">
        <f t="shared" si="103"/>
        <v>0</v>
      </c>
      <c r="AB104" s="78">
        <f t="shared" ref="AB104:AD123" si="113">AA104</f>
        <v>0</v>
      </c>
      <c r="AC104" s="78">
        <f t="shared" si="113"/>
        <v>0</v>
      </c>
      <c r="AD104" s="78">
        <f t="shared" si="113"/>
        <v>0</v>
      </c>
      <c r="AE104" s="78">
        <f t="shared" si="104"/>
        <v>0</v>
      </c>
      <c r="AF104" s="78">
        <f t="shared" si="104"/>
        <v>0</v>
      </c>
      <c r="AG104" s="78">
        <f t="shared" si="104"/>
        <v>0</v>
      </c>
      <c r="AH104" s="78">
        <f t="shared" si="104"/>
        <v>0</v>
      </c>
      <c r="AI104" s="78">
        <f t="shared" ref="AI104:AK123" si="114">AH104</f>
        <v>0</v>
      </c>
      <c r="AJ104" s="78">
        <f t="shared" si="114"/>
        <v>0</v>
      </c>
      <c r="AK104" s="78">
        <f t="shared" si="114"/>
        <v>0</v>
      </c>
      <c r="AL104" s="78">
        <f t="shared" si="105"/>
        <v>0</v>
      </c>
      <c r="AM104" s="78">
        <f t="shared" si="105"/>
        <v>0</v>
      </c>
      <c r="AN104" s="78">
        <f t="shared" si="105"/>
        <v>0</v>
      </c>
      <c r="AO104" s="78">
        <f t="shared" si="105"/>
        <v>0</v>
      </c>
      <c r="AP104" s="78">
        <f t="shared" ref="AP104:AR123" si="115">AO104</f>
        <v>0</v>
      </c>
      <c r="AQ104" s="78">
        <f t="shared" si="115"/>
        <v>0</v>
      </c>
      <c r="AR104" s="78">
        <f t="shared" si="115"/>
        <v>0</v>
      </c>
      <c r="AS104" s="78">
        <f t="shared" si="112"/>
        <v>0</v>
      </c>
      <c r="AT104" s="78">
        <f t="shared" si="112"/>
        <v>0</v>
      </c>
      <c r="AU104" s="78">
        <f t="shared" si="91"/>
        <v>0</v>
      </c>
      <c r="AV104" s="78">
        <f t="shared" si="90"/>
        <v>0</v>
      </c>
      <c r="AW104" s="78">
        <f t="shared" ref="AW104:AX123" si="116">AV104</f>
        <v>0</v>
      </c>
      <c r="AX104" s="78">
        <f t="shared" si="116"/>
        <v>0</v>
      </c>
      <c r="AY104" s="78">
        <f t="shared" si="108"/>
        <v>0</v>
      </c>
      <c r="AZ104" s="78">
        <f t="shared" si="108"/>
        <v>0</v>
      </c>
      <c r="BA104" s="78"/>
      <c r="BB104" s="78">
        <f t="shared" si="62"/>
        <v>0</v>
      </c>
      <c r="BC104" s="78">
        <f t="shared" si="93"/>
        <v>0</v>
      </c>
      <c r="BD104" s="155">
        <f t="shared" si="88"/>
        <v>0</v>
      </c>
      <c r="BE104" s="78"/>
      <c r="BF104" s="23"/>
      <c r="BO104" s="80"/>
      <c r="DB104" s="72">
        <v>1541</v>
      </c>
      <c r="DC104" s="72" t="s">
        <v>422</v>
      </c>
      <c r="FX104" s="72">
        <v>2</v>
      </c>
      <c r="FY104" s="72" t="s">
        <v>163</v>
      </c>
      <c r="HH104" s="74"/>
      <c r="HJ104" s="74"/>
      <c r="HL104" s="23">
        <f t="shared" ref="HL104:HL135" si="117">SUM(BG104:HK104)-V104</f>
        <v>1543</v>
      </c>
      <c r="HM104" s="23"/>
    </row>
    <row r="105" spans="1:221" s="72" customFormat="1" ht="15.75">
      <c r="A105" s="72" t="s">
        <v>221</v>
      </c>
      <c r="B105" s="73">
        <v>25</v>
      </c>
      <c r="D105" s="22">
        <v>36</v>
      </c>
      <c r="E105" s="72">
        <v>8</v>
      </c>
      <c r="F105" s="72" t="s">
        <v>225</v>
      </c>
      <c r="G105" s="72" t="s">
        <v>151</v>
      </c>
      <c r="H105" s="75">
        <f t="shared" si="109"/>
        <v>36336</v>
      </c>
      <c r="I105" s="72" t="s">
        <v>123</v>
      </c>
      <c r="J105" s="72" t="s">
        <v>124</v>
      </c>
      <c r="K105" s="73"/>
      <c r="L105" s="72" t="s">
        <v>125</v>
      </c>
      <c r="M105" s="56"/>
      <c r="N105" s="72" t="str">
        <f t="shared" si="110"/>
        <v>25R</v>
      </c>
      <c r="O105" s="72" t="str">
        <f t="shared" si="111"/>
        <v>25RBase</v>
      </c>
      <c r="Q105" s="23">
        <f t="shared" si="106"/>
        <v>0</v>
      </c>
      <c r="R105" s="23">
        <f t="shared" si="97"/>
        <v>0</v>
      </c>
      <c r="S105" s="23"/>
      <c r="T105" s="78">
        <v>37147</v>
      </c>
      <c r="U105" s="78"/>
      <c r="V105" s="79">
        <v>0</v>
      </c>
      <c r="W105" s="78">
        <f t="shared" si="107"/>
        <v>0</v>
      </c>
      <c r="X105" s="78">
        <f t="shared" ref="X105:AA120" si="118">W105</f>
        <v>0</v>
      </c>
      <c r="Y105" s="78">
        <f t="shared" si="118"/>
        <v>0</v>
      </c>
      <c r="Z105" s="78">
        <f t="shared" si="118"/>
        <v>0</v>
      </c>
      <c r="AA105" s="78">
        <f t="shared" si="118"/>
        <v>0</v>
      </c>
      <c r="AB105" s="78">
        <f t="shared" si="113"/>
        <v>0</v>
      </c>
      <c r="AC105" s="78">
        <f t="shared" si="113"/>
        <v>0</v>
      </c>
      <c r="AD105" s="78">
        <f t="shared" si="113"/>
        <v>0</v>
      </c>
      <c r="AE105" s="78">
        <f t="shared" ref="AE105:AH125" si="119">AD105</f>
        <v>0</v>
      </c>
      <c r="AF105" s="78">
        <f t="shared" si="119"/>
        <v>0</v>
      </c>
      <c r="AG105" s="78">
        <f t="shared" si="119"/>
        <v>0</v>
      </c>
      <c r="AH105" s="78">
        <f t="shared" si="119"/>
        <v>0</v>
      </c>
      <c r="AI105" s="78">
        <f t="shared" si="114"/>
        <v>0</v>
      </c>
      <c r="AJ105" s="78">
        <f t="shared" si="114"/>
        <v>0</v>
      </c>
      <c r="AK105" s="78">
        <f t="shared" si="114"/>
        <v>0</v>
      </c>
      <c r="AL105" s="78">
        <f t="shared" ref="AL105:AO125" si="120">AK105</f>
        <v>0</v>
      </c>
      <c r="AM105" s="78">
        <f t="shared" si="120"/>
        <v>0</v>
      </c>
      <c r="AN105" s="78">
        <f t="shared" si="120"/>
        <v>0</v>
      </c>
      <c r="AO105" s="78">
        <f t="shared" si="120"/>
        <v>0</v>
      </c>
      <c r="AP105" s="78">
        <f t="shared" si="115"/>
        <v>0</v>
      </c>
      <c r="AQ105" s="78">
        <f t="shared" si="115"/>
        <v>0</v>
      </c>
      <c r="AR105" s="78">
        <f t="shared" si="115"/>
        <v>0</v>
      </c>
      <c r="AS105" s="78">
        <f t="shared" si="112"/>
        <v>0</v>
      </c>
      <c r="AT105" s="78">
        <f t="shared" si="112"/>
        <v>0</v>
      </c>
      <c r="AU105" s="78">
        <f t="shared" si="91"/>
        <v>0</v>
      </c>
      <c r="AV105" s="78">
        <f t="shared" si="90"/>
        <v>0</v>
      </c>
      <c r="AW105" s="78">
        <f t="shared" si="116"/>
        <v>0</v>
      </c>
      <c r="AX105" s="78">
        <f t="shared" si="116"/>
        <v>0</v>
      </c>
      <c r="AY105" s="78">
        <f t="shared" si="108"/>
        <v>0</v>
      </c>
      <c r="AZ105" s="78">
        <f t="shared" si="108"/>
        <v>0</v>
      </c>
      <c r="BA105" s="78"/>
      <c r="BB105" s="78">
        <f t="shared" si="62"/>
        <v>0</v>
      </c>
      <c r="BC105" s="78">
        <f t="shared" si="93"/>
        <v>0</v>
      </c>
      <c r="BD105" s="155">
        <f t="shared" si="88"/>
        <v>0</v>
      </c>
      <c r="BE105" s="78"/>
      <c r="BF105" s="23"/>
      <c r="BK105" s="72">
        <v>886</v>
      </c>
      <c r="BO105" s="80"/>
      <c r="FH105" s="72">
        <v>179</v>
      </c>
      <c r="FI105" s="72" t="s">
        <v>179</v>
      </c>
      <c r="FT105" s="72">
        <v>2435</v>
      </c>
      <c r="FU105" s="72" t="s">
        <v>158</v>
      </c>
      <c r="HH105" s="74"/>
      <c r="HJ105" s="74"/>
      <c r="HL105" s="23">
        <f t="shared" si="117"/>
        <v>3500</v>
      </c>
      <c r="HM105" s="23"/>
    </row>
    <row r="106" spans="1:221" s="72" customFormat="1" ht="15.75">
      <c r="A106" s="72" t="s">
        <v>221</v>
      </c>
      <c r="B106" s="73">
        <v>25</v>
      </c>
      <c r="D106" s="22">
        <v>35</v>
      </c>
      <c r="E106" s="72">
        <v>8</v>
      </c>
      <c r="F106" s="72" t="s">
        <v>225</v>
      </c>
      <c r="G106" s="72" t="s">
        <v>151</v>
      </c>
      <c r="H106" s="75">
        <f t="shared" si="109"/>
        <v>36336</v>
      </c>
      <c r="I106" s="72" t="s">
        <v>123</v>
      </c>
      <c r="J106" s="72" t="s">
        <v>124</v>
      </c>
      <c r="K106" s="73"/>
      <c r="L106" s="72" t="s">
        <v>125</v>
      </c>
      <c r="M106" s="56"/>
      <c r="N106" s="72" t="str">
        <f t="shared" si="110"/>
        <v>25R</v>
      </c>
      <c r="O106" s="72" t="str">
        <f t="shared" si="111"/>
        <v>25RBase</v>
      </c>
      <c r="Q106" s="23">
        <f t="shared" si="106"/>
        <v>0</v>
      </c>
      <c r="R106" s="23">
        <f t="shared" si="97"/>
        <v>0</v>
      </c>
      <c r="S106" s="23"/>
      <c r="T106" s="78">
        <v>37147</v>
      </c>
      <c r="U106" s="78"/>
      <c r="V106" s="79">
        <v>0</v>
      </c>
      <c r="W106" s="78">
        <f t="shared" si="107"/>
        <v>0</v>
      </c>
      <c r="X106" s="78">
        <f t="shared" si="118"/>
        <v>0</v>
      </c>
      <c r="Y106" s="78">
        <f t="shared" si="118"/>
        <v>0</v>
      </c>
      <c r="Z106" s="78">
        <f t="shared" si="118"/>
        <v>0</v>
      </c>
      <c r="AA106" s="78">
        <f t="shared" si="118"/>
        <v>0</v>
      </c>
      <c r="AB106" s="78">
        <f t="shared" si="113"/>
        <v>0</v>
      </c>
      <c r="AC106" s="78">
        <f t="shared" si="113"/>
        <v>0</v>
      </c>
      <c r="AD106" s="78">
        <f t="shared" si="113"/>
        <v>0</v>
      </c>
      <c r="AE106" s="78">
        <f t="shared" si="119"/>
        <v>0</v>
      </c>
      <c r="AF106" s="78">
        <f t="shared" si="119"/>
        <v>0</v>
      </c>
      <c r="AG106" s="78">
        <f t="shared" si="119"/>
        <v>0</v>
      </c>
      <c r="AH106" s="78">
        <f t="shared" si="119"/>
        <v>0</v>
      </c>
      <c r="AI106" s="78">
        <f t="shared" si="114"/>
        <v>0</v>
      </c>
      <c r="AJ106" s="78">
        <f t="shared" si="114"/>
        <v>0</v>
      </c>
      <c r="AK106" s="78">
        <f t="shared" si="114"/>
        <v>0</v>
      </c>
      <c r="AL106" s="78">
        <f t="shared" si="120"/>
        <v>0</v>
      </c>
      <c r="AM106" s="78">
        <f t="shared" si="120"/>
        <v>0</v>
      </c>
      <c r="AN106" s="78">
        <f t="shared" si="120"/>
        <v>0</v>
      </c>
      <c r="AO106" s="78">
        <f t="shared" si="120"/>
        <v>0</v>
      </c>
      <c r="AP106" s="78">
        <f t="shared" si="115"/>
        <v>0</v>
      </c>
      <c r="AQ106" s="78">
        <f t="shared" si="115"/>
        <v>0</v>
      </c>
      <c r="AR106" s="78">
        <f t="shared" si="115"/>
        <v>0</v>
      </c>
      <c r="AS106" s="78">
        <f t="shared" si="112"/>
        <v>0</v>
      </c>
      <c r="AT106" s="78">
        <f t="shared" si="112"/>
        <v>0</v>
      </c>
      <c r="AU106" s="78">
        <f t="shared" si="91"/>
        <v>0</v>
      </c>
      <c r="AV106" s="78">
        <f t="shared" si="90"/>
        <v>0</v>
      </c>
      <c r="AW106" s="78">
        <f t="shared" si="116"/>
        <v>0</v>
      </c>
      <c r="AX106" s="78">
        <f t="shared" si="116"/>
        <v>0</v>
      </c>
      <c r="AY106" s="78">
        <f t="shared" si="108"/>
        <v>0</v>
      </c>
      <c r="AZ106" s="78">
        <f t="shared" si="108"/>
        <v>0</v>
      </c>
      <c r="BA106" s="78"/>
      <c r="BB106" s="78">
        <f t="shared" si="62"/>
        <v>0</v>
      </c>
      <c r="BC106" s="78">
        <f t="shared" si="93"/>
        <v>0</v>
      </c>
      <c r="BD106" s="155">
        <f t="shared" si="88"/>
        <v>0</v>
      </c>
      <c r="BE106" s="78"/>
      <c r="BF106" s="23"/>
      <c r="BO106" s="80"/>
      <c r="CZ106" s="72">
        <v>125</v>
      </c>
      <c r="DA106" s="72" t="s">
        <v>427</v>
      </c>
      <c r="DP106" s="72">
        <v>875</v>
      </c>
      <c r="DQ106" s="72" t="s">
        <v>393</v>
      </c>
      <c r="HH106" s="74"/>
      <c r="HJ106" s="74"/>
      <c r="HL106" s="23">
        <f t="shared" si="117"/>
        <v>1000</v>
      </c>
      <c r="HM106" s="23"/>
    </row>
    <row r="107" spans="1:221" s="72" customFormat="1" ht="15.75">
      <c r="A107" s="72" t="s">
        <v>221</v>
      </c>
      <c r="B107" s="73">
        <v>25</v>
      </c>
      <c r="D107" s="14">
        <v>26</v>
      </c>
      <c r="E107" s="72">
        <v>8</v>
      </c>
      <c r="F107" s="72" t="s">
        <v>166</v>
      </c>
      <c r="G107" s="72" t="s">
        <v>151</v>
      </c>
      <c r="H107" s="75">
        <f t="shared" si="109"/>
        <v>36336</v>
      </c>
      <c r="I107" s="72" t="s">
        <v>123</v>
      </c>
      <c r="J107" s="72" t="s">
        <v>124</v>
      </c>
      <c r="K107" s="73"/>
      <c r="L107" s="72" t="s">
        <v>125</v>
      </c>
      <c r="M107" s="56"/>
      <c r="N107" s="72" t="str">
        <f t="shared" si="110"/>
        <v>25R</v>
      </c>
      <c r="O107" s="72" t="str">
        <f t="shared" si="111"/>
        <v>25RBase</v>
      </c>
      <c r="Q107" s="23">
        <f t="shared" si="106"/>
        <v>0</v>
      </c>
      <c r="R107" s="23">
        <f t="shared" si="97"/>
        <v>0</v>
      </c>
      <c r="S107" s="23"/>
      <c r="T107" s="78">
        <v>37147</v>
      </c>
      <c r="U107" s="78"/>
      <c r="V107" s="79">
        <v>0</v>
      </c>
      <c r="W107" s="78">
        <f t="shared" si="107"/>
        <v>0</v>
      </c>
      <c r="X107" s="78">
        <f t="shared" si="118"/>
        <v>0</v>
      </c>
      <c r="Y107" s="78">
        <f t="shared" si="118"/>
        <v>0</v>
      </c>
      <c r="Z107" s="78">
        <f t="shared" si="118"/>
        <v>0</v>
      </c>
      <c r="AA107" s="78">
        <f t="shared" si="118"/>
        <v>0</v>
      </c>
      <c r="AB107" s="78">
        <f t="shared" si="113"/>
        <v>0</v>
      </c>
      <c r="AC107" s="78">
        <f t="shared" si="113"/>
        <v>0</v>
      </c>
      <c r="AD107" s="78">
        <f t="shared" si="113"/>
        <v>0</v>
      </c>
      <c r="AE107" s="78">
        <f t="shared" si="119"/>
        <v>0</v>
      </c>
      <c r="AF107" s="78">
        <f t="shared" si="119"/>
        <v>0</v>
      </c>
      <c r="AG107" s="78">
        <f t="shared" si="119"/>
        <v>0</v>
      </c>
      <c r="AH107" s="78">
        <f t="shared" si="119"/>
        <v>0</v>
      </c>
      <c r="AI107" s="78">
        <f t="shared" si="114"/>
        <v>0</v>
      </c>
      <c r="AJ107" s="78">
        <f t="shared" si="114"/>
        <v>0</v>
      </c>
      <c r="AK107" s="78">
        <f t="shared" si="114"/>
        <v>0</v>
      </c>
      <c r="AL107" s="78">
        <f t="shared" si="120"/>
        <v>0</v>
      </c>
      <c r="AM107" s="78">
        <f t="shared" si="120"/>
        <v>0</v>
      </c>
      <c r="AN107" s="78">
        <f t="shared" si="120"/>
        <v>0</v>
      </c>
      <c r="AO107" s="78">
        <f t="shared" si="120"/>
        <v>0</v>
      </c>
      <c r="AP107" s="78">
        <f t="shared" si="115"/>
        <v>0</v>
      </c>
      <c r="AQ107" s="78">
        <f t="shared" si="115"/>
        <v>0</v>
      </c>
      <c r="AR107" s="78">
        <f t="shared" si="115"/>
        <v>0</v>
      </c>
      <c r="AS107" s="78">
        <f t="shared" si="112"/>
        <v>0</v>
      </c>
      <c r="AT107" s="78">
        <f t="shared" si="112"/>
        <v>0</v>
      </c>
      <c r="AU107" s="78">
        <f t="shared" si="91"/>
        <v>0</v>
      </c>
      <c r="AV107" s="78">
        <f t="shared" ref="AV107:AV129" si="121">AU107</f>
        <v>0</v>
      </c>
      <c r="AW107" s="78">
        <f t="shared" si="116"/>
        <v>0</v>
      </c>
      <c r="AX107" s="78">
        <f t="shared" si="116"/>
        <v>0</v>
      </c>
      <c r="AY107" s="78">
        <f t="shared" si="108"/>
        <v>0</v>
      </c>
      <c r="AZ107" s="78">
        <f t="shared" si="108"/>
        <v>0</v>
      </c>
      <c r="BA107" s="78"/>
      <c r="BB107" s="78">
        <f t="shared" si="62"/>
        <v>0</v>
      </c>
      <c r="BC107" s="78">
        <f t="shared" si="93"/>
        <v>0</v>
      </c>
      <c r="BD107" s="155">
        <f t="shared" si="88"/>
        <v>0</v>
      </c>
      <c r="BE107" s="78"/>
      <c r="BF107" s="23"/>
      <c r="BO107" s="80"/>
      <c r="FL107" s="72">
        <v>1</v>
      </c>
      <c r="FM107" s="72" t="s">
        <v>139</v>
      </c>
      <c r="FR107" s="72">
        <v>34</v>
      </c>
      <c r="FS107" s="72" t="s">
        <v>402</v>
      </c>
      <c r="HH107" s="74"/>
      <c r="HJ107" s="74"/>
      <c r="HL107" s="23">
        <f t="shared" si="117"/>
        <v>35</v>
      </c>
      <c r="HM107" s="23"/>
    </row>
    <row r="108" spans="1:221" s="72" customFormat="1" ht="15.75">
      <c r="A108" s="72" t="s">
        <v>221</v>
      </c>
      <c r="B108" s="73">
        <v>25</v>
      </c>
      <c r="D108" s="14">
        <v>35</v>
      </c>
      <c r="E108" s="72">
        <v>8</v>
      </c>
      <c r="F108" s="72" t="s">
        <v>166</v>
      </c>
      <c r="G108" s="72" t="s">
        <v>151</v>
      </c>
      <c r="H108" s="75">
        <f t="shared" si="109"/>
        <v>36336</v>
      </c>
      <c r="I108" s="72" t="s">
        <v>123</v>
      </c>
      <c r="J108" s="72" t="s">
        <v>124</v>
      </c>
      <c r="K108" s="73"/>
      <c r="L108" s="72" t="s">
        <v>125</v>
      </c>
      <c r="N108" s="72" t="str">
        <f t="shared" si="110"/>
        <v>25R</v>
      </c>
      <c r="O108" s="72" t="str">
        <f t="shared" si="111"/>
        <v>25RBase</v>
      </c>
      <c r="Q108" s="23">
        <f t="shared" si="106"/>
        <v>0</v>
      </c>
      <c r="R108" s="23">
        <f t="shared" si="97"/>
        <v>0</v>
      </c>
      <c r="S108" s="23"/>
      <c r="T108" s="78">
        <v>37147</v>
      </c>
      <c r="U108" s="78"/>
      <c r="V108" s="79">
        <v>0</v>
      </c>
      <c r="W108" s="78">
        <f t="shared" si="107"/>
        <v>0</v>
      </c>
      <c r="X108" s="78">
        <f t="shared" si="118"/>
        <v>0</v>
      </c>
      <c r="Y108" s="78">
        <f t="shared" si="118"/>
        <v>0</v>
      </c>
      <c r="Z108" s="78">
        <f t="shared" si="118"/>
        <v>0</v>
      </c>
      <c r="AA108" s="78">
        <f t="shared" si="118"/>
        <v>0</v>
      </c>
      <c r="AB108" s="78">
        <f t="shared" si="113"/>
        <v>0</v>
      </c>
      <c r="AC108" s="78">
        <f t="shared" si="113"/>
        <v>0</v>
      </c>
      <c r="AD108" s="78">
        <f t="shared" si="113"/>
        <v>0</v>
      </c>
      <c r="AE108" s="78">
        <f t="shared" si="119"/>
        <v>0</v>
      </c>
      <c r="AF108" s="78">
        <f t="shared" si="119"/>
        <v>0</v>
      </c>
      <c r="AG108" s="78">
        <f t="shared" si="119"/>
        <v>0</v>
      </c>
      <c r="AH108" s="78">
        <f t="shared" si="119"/>
        <v>0</v>
      </c>
      <c r="AI108" s="78">
        <f t="shared" si="114"/>
        <v>0</v>
      </c>
      <c r="AJ108" s="78">
        <f t="shared" si="114"/>
        <v>0</v>
      </c>
      <c r="AK108" s="78">
        <f t="shared" si="114"/>
        <v>0</v>
      </c>
      <c r="AL108" s="78">
        <f t="shared" si="120"/>
        <v>0</v>
      </c>
      <c r="AM108" s="78">
        <f t="shared" si="120"/>
        <v>0</v>
      </c>
      <c r="AN108" s="78">
        <f t="shared" si="120"/>
        <v>0</v>
      </c>
      <c r="AO108" s="78">
        <f t="shared" si="120"/>
        <v>0</v>
      </c>
      <c r="AP108" s="78">
        <f t="shared" si="115"/>
        <v>0</v>
      </c>
      <c r="AQ108" s="78">
        <f t="shared" si="115"/>
        <v>0</v>
      </c>
      <c r="AR108" s="78">
        <f t="shared" si="115"/>
        <v>0</v>
      </c>
      <c r="AS108" s="78">
        <f t="shared" si="112"/>
        <v>0</v>
      </c>
      <c r="AT108" s="78">
        <f t="shared" si="112"/>
        <v>0</v>
      </c>
      <c r="AU108" s="78">
        <f t="shared" ref="AU108:AU140" si="122">AT108</f>
        <v>0</v>
      </c>
      <c r="AV108" s="78">
        <f t="shared" si="121"/>
        <v>0</v>
      </c>
      <c r="AW108" s="78">
        <f t="shared" si="116"/>
        <v>0</v>
      </c>
      <c r="AX108" s="78">
        <f t="shared" si="116"/>
        <v>0</v>
      </c>
      <c r="AY108" s="78">
        <f t="shared" si="108"/>
        <v>0</v>
      </c>
      <c r="AZ108" s="78">
        <f t="shared" si="108"/>
        <v>0</v>
      </c>
      <c r="BA108" s="78"/>
      <c r="BB108" s="78">
        <f t="shared" ref="BB108:BB124" si="123">SUM(V108:AZ108)</f>
        <v>0</v>
      </c>
      <c r="BC108" s="78">
        <f t="shared" si="93"/>
        <v>0</v>
      </c>
      <c r="BD108" s="155">
        <f t="shared" si="88"/>
        <v>0</v>
      </c>
      <c r="BE108" s="78"/>
      <c r="BF108" s="23"/>
      <c r="BO108" s="80"/>
      <c r="BX108" s="72">
        <v>4064</v>
      </c>
      <c r="BY108" s="72" t="s">
        <v>369</v>
      </c>
      <c r="CW108" s="72" t="s">
        <v>180</v>
      </c>
      <c r="CZ108" s="72">
        <v>248</v>
      </c>
      <c r="DA108" s="72" t="s">
        <v>429</v>
      </c>
      <c r="DP108" s="72">
        <v>1705</v>
      </c>
      <c r="DQ108" s="72" t="s">
        <v>394</v>
      </c>
      <c r="DR108" s="72">
        <v>2574</v>
      </c>
      <c r="DS108" s="72" t="s">
        <v>395</v>
      </c>
      <c r="FH108" s="72">
        <v>473</v>
      </c>
      <c r="FI108" s="72" t="s">
        <v>229</v>
      </c>
      <c r="HH108" s="74"/>
      <c r="HJ108" s="74"/>
      <c r="HL108" s="23">
        <f t="shared" si="117"/>
        <v>9064</v>
      </c>
      <c r="HM108" s="23"/>
    </row>
    <row r="109" spans="1:221" s="72" customFormat="1" ht="15.75">
      <c r="A109" s="72" t="s">
        <v>221</v>
      </c>
      <c r="B109" s="73">
        <v>25</v>
      </c>
      <c r="D109" s="14">
        <v>38</v>
      </c>
      <c r="E109" s="72">
        <v>8</v>
      </c>
      <c r="F109" s="72" t="s">
        <v>166</v>
      </c>
      <c r="G109" s="72" t="s">
        <v>151</v>
      </c>
      <c r="H109" s="75">
        <f t="shared" si="109"/>
        <v>36336</v>
      </c>
      <c r="I109" s="72" t="s">
        <v>123</v>
      </c>
      <c r="J109" s="72" t="s">
        <v>124</v>
      </c>
      <c r="K109" s="73"/>
      <c r="L109" s="72" t="s">
        <v>125</v>
      </c>
      <c r="N109" s="72" t="str">
        <f t="shared" si="110"/>
        <v>25R</v>
      </c>
      <c r="O109" s="72" t="str">
        <f t="shared" si="111"/>
        <v>25RBase</v>
      </c>
      <c r="Q109" s="23">
        <f t="shared" si="106"/>
        <v>0</v>
      </c>
      <c r="R109" s="23">
        <f t="shared" si="97"/>
        <v>0</v>
      </c>
      <c r="S109" s="23"/>
      <c r="T109" s="78">
        <v>37147</v>
      </c>
      <c r="U109" s="78"/>
      <c r="V109" s="79">
        <v>0</v>
      </c>
      <c r="W109" s="78">
        <f t="shared" si="107"/>
        <v>0</v>
      </c>
      <c r="X109" s="78">
        <f t="shared" si="118"/>
        <v>0</v>
      </c>
      <c r="Y109" s="78">
        <f t="shared" si="118"/>
        <v>0</v>
      </c>
      <c r="Z109" s="78">
        <f t="shared" si="118"/>
        <v>0</v>
      </c>
      <c r="AA109" s="78">
        <f t="shared" si="118"/>
        <v>0</v>
      </c>
      <c r="AB109" s="78">
        <f t="shared" si="113"/>
        <v>0</v>
      </c>
      <c r="AC109" s="78">
        <f t="shared" si="113"/>
        <v>0</v>
      </c>
      <c r="AD109" s="78">
        <f t="shared" si="113"/>
        <v>0</v>
      </c>
      <c r="AE109" s="78">
        <f t="shared" si="119"/>
        <v>0</v>
      </c>
      <c r="AF109" s="78">
        <f t="shared" si="119"/>
        <v>0</v>
      </c>
      <c r="AG109" s="78">
        <f t="shared" si="119"/>
        <v>0</v>
      </c>
      <c r="AH109" s="78">
        <f t="shared" si="119"/>
        <v>0</v>
      </c>
      <c r="AI109" s="78">
        <f t="shared" si="114"/>
        <v>0</v>
      </c>
      <c r="AJ109" s="78">
        <f t="shared" si="114"/>
        <v>0</v>
      </c>
      <c r="AK109" s="78">
        <f t="shared" si="114"/>
        <v>0</v>
      </c>
      <c r="AL109" s="78">
        <f t="shared" si="120"/>
        <v>0</v>
      </c>
      <c r="AM109" s="78">
        <f t="shared" si="120"/>
        <v>0</v>
      </c>
      <c r="AN109" s="78">
        <f t="shared" si="120"/>
        <v>0</v>
      </c>
      <c r="AO109" s="78">
        <f t="shared" si="120"/>
        <v>0</v>
      </c>
      <c r="AP109" s="78">
        <f t="shared" si="115"/>
        <v>0</v>
      </c>
      <c r="AQ109" s="78">
        <f t="shared" si="115"/>
        <v>0</v>
      </c>
      <c r="AR109" s="78">
        <f t="shared" si="115"/>
        <v>0</v>
      </c>
      <c r="AS109" s="78">
        <f t="shared" si="112"/>
        <v>0</v>
      </c>
      <c r="AT109" s="78">
        <f t="shared" si="112"/>
        <v>0</v>
      </c>
      <c r="AU109" s="78">
        <f t="shared" si="122"/>
        <v>0</v>
      </c>
      <c r="AV109" s="78">
        <f t="shared" si="121"/>
        <v>0</v>
      </c>
      <c r="AW109" s="78">
        <f t="shared" si="116"/>
        <v>0</v>
      </c>
      <c r="AX109" s="78">
        <f t="shared" si="116"/>
        <v>0</v>
      </c>
      <c r="AY109" s="78">
        <f t="shared" si="108"/>
        <v>0</v>
      </c>
      <c r="AZ109" s="78">
        <f t="shared" si="108"/>
        <v>0</v>
      </c>
      <c r="BA109" s="78"/>
      <c r="BB109" s="78">
        <f t="shared" si="123"/>
        <v>0</v>
      </c>
      <c r="BC109" s="78">
        <f t="shared" si="93"/>
        <v>0</v>
      </c>
      <c r="BD109" s="155">
        <f t="shared" si="88"/>
        <v>0</v>
      </c>
      <c r="BE109" s="78"/>
      <c r="BF109" s="23"/>
      <c r="BO109" s="80"/>
      <c r="FV109" s="72">
        <v>119</v>
      </c>
      <c r="FW109" s="72" t="s">
        <v>162</v>
      </c>
      <c r="HH109" s="74"/>
      <c r="HJ109" s="74"/>
      <c r="HL109" s="23">
        <f t="shared" si="117"/>
        <v>119</v>
      </c>
      <c r="HM109" s="23"/>
    </row>
    <row r="110" spans="1:221" s="72" customFormat="1" ht="15.75">
      <c r="A110" s="72" t="s">
        <v>221</v>
      </c>
      <c r="B110" s="73">
        <v>25</v>
      </c>
      <c r="D110" s="14">
        <v>39</v>
      </c>
      <c r="E110" s="72">
        <v>8</v>
      </c>
      <c r="F110" s="72" t="s">
        <v>166</v>
      </c>
      <c r="G110" s="72" t="s">
        <v>151</v>
      </c>
      <c r="H110" s="75">
        <f t="shared" si="109"/>
        <v>36336</v>
      </c>
      <c r="I110" s="72" t="s">
        <v>123</v>
      </c>
      <c r="J110" s="72" t="s">
        <v>124</v>
      </c>
      <c r="K110" s="73"/>
      <c r="L110" s="72" t="s">
        <v>125</v>
      </c>
      <c r="M110" s="56"/>
      <c r="N110" s="72" t="str">
        <f t="shared" si="110"/>
        <v>25R</v>
      </c>
      <c r="O110" s="72" t="str">
        <f t="shared" si="111"/>
        <v>25RBase</v>
      </c>
      <c r="Q110" s="23">
        <f t="shared" si="106"/>
        <v>0</v>
      </c>
      <c r="R110" s="23">
        <f t="shared" si="97"/>
        <v>0</v>
      </c>
      <c r="S110" s="23"/>
      <c r="T110" s="78">
        <v>37147</v>
      </c>
      <c r="U110" s="78"/>
      <c r="V110" s="79">
        <v>0</v>
      </c>
      <c r="W110" s="78">
        <f t="shared" si="107"/>
        <v>0</v>
      </c>
      <c r="X110" s="78">
        <f t="shared" si="118"/>
        <v>0</v>
      </c>
      <c r="Y110" s="78">
        <f t="shared" si="118"/>
        <v>0</v>
      </c>
      <c r="Z110" s="78">
        <f t="shared" si="118"/>
        <v>0</v>
      </c>
      <c r="AA110" s="78">
        <f t="shared" si="118"/>
        <v>0</v>
      </c>
      <c r="AB110" s="78">
        <f t="shared" si="113"/>
        <v>0</v>
      </c>
      <c r="AC110" s="78">
        <f t="shared" si="113"/>
        <v>0</v>
      </c>
      <c r="AD110" s="78">
        <f t="shared" si="113"/>
        <v>0</v>
      </c>
      <c r="AE110" s="78">
        <f t="shared" si="119"/>
        <v>0</v>
      </c>
      <c r="AF110" s="78">
        <f t="shared" si="119"/>
        <v>0</v>
      </c>
      <c r="AG110" s="78">
        <f t="shared" si="119"/>
        <v>0</v>
      </c>
      <c r="AH110" s="78">
        <f t="shared" si="119"/>
        <v>0</v>
      </c>
      <c r="AI110" s="78">
        <f t="shared" si="114"/>
        <v>0</v>
      </c>
      <c r="AJ110" s="78">
        <f t="shared" si="114"/>
        <v>0</v>
      </c>
      <c r="AK110" s="78">
        <f t="shared" si="114"/>
        <v>0</v>
      </c>
      <c r="AL110" s="78">
        <f t="shared" si="120"/>
        <v>0</v>
      </c>
      <c r="AM110" s="78">
        <f t="shared" si="120"/>
        <v>0</v>
      </c>
      <c r="AN110" s="78">
        <f t="shared" si="120"/>
        <v>0</v>
      </c>
      <c r="AO110" s="78">
        <f t="shared" si="120"/>
        <v>0</v>
      </c>
      <c r="AP110" s="78">
        <f t="shared" si="115"/>
        <v>0</v>
      </c>
      <c r="AQ110" s="78">
        <f t="shared" si="115"/>
        <v>0</v>
      </c>
      <c r="AR110" s="78">
        <f t="shared" si="115"/>
        <v>0</v>
      </c>
      <c r="AS110" s="78">
        <f t="shared" si="112"/>
        <v>0</v>
      </c>
      <c r="AT110" s="78">
        <f t="shared" si="112"/>
        <v>0</v>
      </c>
      <c r="AU110" s="78">
        <f t="shared" si="122"/>
        <v>0</v>
      </c>
      <c r="AV110" s="78">
        <f t="shared" si="121"/>
        <v>0</v>
      </c>
      <c r="AW110" s="78">
        <f t="shared" si="116"/>
        <v>0</v>
      </c>
      <c r="AX110" s="78">
        <f t="shared" si="116"/>
        <v>0</v>
      </c>
      <c r="AY110" s="78">
        <f t="shared" si="108"/>
        <v>0</v>
      </c>
      <c r="AZ110" s="78">
        <f t="shared" si="108"/>
        <v>0</v>
      </c>
      <c r="BA110" s="78"/>
      <c r="BB110" s="78">
        <f t="shared" si="123"/>
        <v>0</v>
      </c>
      <c r="BC110" s="78">
        <f t="shared" si="93"/>
        <v>0</v>
      </c>
      <c r="BD110" s="155">
        <f t="shared" si="88"/>
        <v>0</v>
      </c>
      <c r="BE110" s="78"/>
      <c r="BF110" s="23"/>
      <c r="BO110" s="80"/>
      <c r="FX110" s="72">
        <v>135</v>
      </c>
      <c r="FY110" s="72" t="s">
        <v>404</v>
      </c>
      <c r="HH110" s="74"/>
      <c r="HJ110" s="74"/>
      <c r="HL110" s="23">
        <f t="shared" si="117"/>
        <v>135</v>
      </c>
      <c r="HM110" s="23"/>
    </row>
    <row r="111" spans="1:221" s="72" customFormat="1" ht="15.75">
      <c r="A111" s="72" t="s">
        <v>221</v>
      </c>
      <c r="B111" s="73">
        <v>25</v>
      </c>
      <c r="D111" s="14">
        <v>35</v>
      </c>
      <c r="E111" s="72">
        <v>8</v>
      </c>
      <c r="F111" s="72" t="s">
        <v>183</v>
      </c>
      <c r="G111" s="72" t="s">
        <v>222</v>
      </c>
      <c r="H111" s="75">
        <v>36336</v>
      </c>
      <c r="I111" s="72" t="s">
        <v>123</v>
      </c>
      <c r="J111" s="72" t="s">
        <v>136</v>
      </c>
      <c r="K111" s="73"/>
      <c r="L111" s="72" t="s">
        <v>125</v>
      </c>
      <c r="M111" s="56"/>
      <c r="N111" s="72" t="str">
        <f t="shared" ref="N111:N143" si="124">CONCATENATE(B111,J111)</f>
        <v>25W</v>
      </c>
      <c r="O111" s="72" t="str">
        <f t="shared" ref="O111:O143" si="125">CONCATENATE(B111,J111,I111)</f>
        <v>25WBase</v>
      </c>
      <c r="Q111" s="23">
        <f t="shared" si="106"/>
        <v>0</v>
      </c>
      <c r="R111" s="23">
        <f t="shared" si="97"/>
        <v>0</v>
      </c>
      <c r="S111" s="23"/>
      <c r="T111" s="78">
        <v>37147</v>
      </c>
      <c r="U111" s="78"/>
      <c r="V111" s="79">
        <v>0</v>
      </c>
      <c r="W111" s="78">
        <f t="shared" si="107"/>
        <v>0</v>
      </c>
      <c r="X111" s="78">
        <f t="shared" si="118"/>
        <v>0</v>
      </c>
      <c r="Y111" s="78">
        <f t="shared" si="118"/>
        <v>0</v>
      </c>
      <c r="Z111" s="78">
        <f t="shared" si="118"/>
        <v>0</v>
      </c>
      <c r="AA111" s="78">
        <f t="shared" si="118"/>
        <v>0</v>
      </c>
      <c r="AB111" s="78">
        <f t="shared" si="113"/>
        <v>0</v>
      </c>
      <c r="AC111" s="78">
        <f t="shared" si="113"/>
        <v>0</v>
      </c>
      <c r="AD111" s="78">
        <f t="shared" si="113"/>
        <v>0</v>
      </c>
      <c r="AE111" s="78">
        <f t="shared" si="119"/>
        <v>0</v>
      </c>
      <c r="AF111" s="78">
        <f t="shared" si="119"/>
        <v>0</v>
      </c>
      <c r="AG111" s="78">
        <f t="shared" si="119"/>
        <v>0</v>
      </c>
      <c r="AH111" s="78">
        <f t="shared" si="119"/>
        <v>0</v>
      </c>
      <c r="AI111" s="78">
        <f t="shared" si="114"/>
        <v>0</v>
      </c>
      <c r="AJ111" s="78">
        <f t="shared" si="114"/>
        <v>0</v>
      </c>
      <c r="AK111" s="78">
        <f t="shared" si="114"/>
        <v>0</v>
      </c>
      <c r="AL111" s="78">
        <f t="shared" si="120"/>
        <v>0</v>
      </c>
      <c r="AM111" s="78">
        <f t="shared" si="120"/>
        <v>0</v>
      </c>
      <c r="AN111" s="78">
        <f t="shared" si="120"/>
        <v>0</v>
      </c>
      <c r="AO111" s="78">
        <f t="shared" si="120"/>
        <v>0</v>
      </c>
      <c r="AP111" s="78">
        <f t="shared" si="115"/>
        <v>0</v>
      </c>
      <c r="AQ111" s="78">
        <f t="shared" si="115"/>
        <v>0</v>
      </c>
      <c r="AR111" s="78">
        <f t="shared" si="115"/>
        <v>0</v>
      </c>
      <c r="AS111" s="78">
        <f t="shared" si="112"/>
        <v>0</v>
      </c>
      <c r="AT111" s="78">
        <f t="shared" si="112"/>
        <v>0</v>
      </c>
      <c r="AU111" s="78">
        <f t="shared" si="122"/>
        <v>0</v>
      </c>
      <c r="AV111" s="78">
        <f t="shared" si="121"/>
        <v>0</v>
      </c>
      <c r="AW111" s="78">
        <f t="shared" si="116"/>
        <v>0</v>
      </c>
      <c r="AX111" s="78">
        <f t="shared" si="116"/>
        <v>0</v>
      </c>
      <c r="AY111" s="78">
        <f t="shared" si="108"/>
        <v>0</v>
      </c>
      <c r="AZ111" s="78">
        <f t="shared" si="108"/>
        <v>0</v>
      </c>
      <c r="BA111" s="78"/>
      <c r="BB111" s="78">
        <f t="shared" si="123"/>
        <v>0</v>
      </c>
      <c r="BC111" s="78">
        <f t="shared" si="93"/>
        <v>0</v>
      </c>
      <c r="BD111" s="155">
        <f t="shared" si="88"/>
        <v>0</v>
      </c>
      <c r="BE111" s="78"/>
      <c r="BF111" s="23"/>
      <c r="BO111" s="80"/>
      <c r="FT111" s="72">
        <v>110</v>
      </c>
      <c r="FU111" s="72" t="s">
        <v>403</v>
      </c>
      <c r="HH111" s="74"/>
      <c r="HJ111" s="74"/>
      <c r="HL111" s="23">
        <f t="shared" si="117"/>
        <v>110</v>
      </c>
      <c r="HM111" s="23"/>
    </row>
    <row r="112" spans="1:221" s="72" customFormat="1" ht="15.75">
      <c r="A112" s="72" t="s">
        <v>221</v>
      </c>
      <c r="B112" s="73">
        <v>25</v>
      </c>
      <c r="D112" s="14"/>
      <c r="E112" s="72">
        <v>8</v>
      </c>
      <c r="F112" s="72" t="s">
        <v>226</v>
      </c>
      <c r="G112" s="72" t="s">
        <v>174</v>
      </c>
      <c r="H112" s="75">
        <v>36336</v>
      </c>
      <c r="I112" s="72" t="s">
        <v>123</v>
      </c>
      <c r="J112" s="72" t="s">
        <v>136</v>
      </c>
      <c r="K112" s="73"/>
      <c r="L112" s="72" t="s">
        <v>125</v>
      </c>
      <c r="M112" s="56"/>
      <c r="N112" s="72" t="str">
        <f t="shared" si="124"/>
        <v>25W</v>
      </c>
      <c r="O112" s="72" t="str">
        <f t="shared" si="125"/>
        <v>25WBase</v>
      </c>
      <c r="Q112" s="23">
        <f t="shared" si="106"/>
        <v>0</v>
      </c>
      <c r="R112" s="23">
        <f t="shared" si="97"/>
        <v>0</v>
      </c>
      <c r="S112" s="23"/>
      <c r="T112" s="78">
        <v>37147</v>
      </c>
      <c r="U112" s="78"/>
      <c r="V112" s="79">
        <v>0</v>
      </c>
      <c r="W112" s="78">
        <f t="shared" si="107"/>
        <v>0</v>
      </c>
      <c r="X112" s="78">
        <f t="shared" ref="X112:AA113" si="126">W112</f>
        <v>0</v>
      </c>
      <c r="Y112" s="78">
        <f t="shared" si="126"/>
        <v>0</v>
      </c>
      <c r="Z112" s="78">
        <f t="shared" si="126"/>
        <v>0</v>
      </c>
      <c r="AA112" s="78">
        <f t="shared" si="126"/>
        <v>0</v>
      </c>
      <c r="AB112" s="78">
        <f t="shared" si="113"/>
        <v>0</v>
      </c>
      <c r="AC112" s="78">
        <f t="shared" si="113"/>
        <v>0</v>
      </c>
      <c r="AD112" s="78">
        <f t="shared" si="113"/>
        <v>0</v>
      </c>
      <c r="AE112" s="78">
        <f t="shared" si="119"/>
        <v>0</v>
      </c>
      <c r="AF112" s="78">
        <f t="shared" si="119"/>
        <v>0</v>
      </c>
      <c r="AG112" s="78">
        <f t="shared" si="119"/>
        <v>0</v>
      </c>
      <c r="AH112" s="78">
        <f t="shared" si="119"/>
        <v>0</v>
      </c>
      <c r="AI112" s="78">
        <f t="shared" si="114"/>
        <v>0</v>
      </c>
      <c r="AJ112" s="78">
        <f t="shared" si="114"/>
        <v>0</v>
      </c>
      <c r="AK112" s="78">
        <f t="shared" si="114"/>
        <v>0</v>
      </c>
      <c r="AL112" s="78">
        <f t="shared" si="120"/>
        <v>0</v>
      </c>
      <c r="AM112" s="78">
        <f t="shared" si="120"/>
        <v>0</v>
      </c>
      <c r="AN112" s="78">
        <f t="shared" si="120"/>
        <v>0</v>
      </c>
      <c r="AO112" s="78">
        <f t="shared" si="120"/>
        <v>0</v>
      </c>
      <c r="AP112" s="78">
        <f t="shared" si="115"/>
        <v>0</v>
      </c>
      <c r="AQ112" s="78">
        <f t="shared" si="115"/>
        <v>0</v>
      </c>
      <c r="AR112" s="78">
        <f t="shared" si="115"/>
        <v>0</v>
      </c>
      <c r="AS112" s="78">
        <f t="shared" si="112"/>
        <v>0</v>
      </c>
      <c r="AT112" s="78">
        <f t="shared" si="112"/>
        <v>0</v>
      </c>
      <c r="AU112" s="78">
        <f t="shared" si="122"/>
        <v>0</v>
      </c>
      <c r="AV112" s="78">
        <f t="shared" si="121"/>
        <v>0</v>
      </c>
      <c r="AW112" s="78">
        <f t="shared" si="116"/>
        <v>0</v>
      </c>
      <c r="AX112" s="78">
        <f t="shared" si="116"/>
        <v>0</v>
      </c>
      <c r="AY112" s="78">
        <f t="shared" si="108"/>
        <v>0</v>
      </c>
      <c r="AZ112" s="78">
        <f t="shared" si="108"/>
        <v>0</v>
      </c>
      <c r="BA112" s="78"/>
      <c r="BB112" s="78">
        <f t="shared" si="123"/>
        <v>0</v>
      </c>
      <c r="BC112" s="78">
        <f t="shared" si="93"/>
        <v>0</v>
      </c>
      <c r="BD112" s="155">
        <f t="shared" si="88"/>
        <v>0</v>
      </c>
      <c r="BE112" s="78"/>
      <c r="BF112" s="23"/>
      <c r="BO112" s="80"/>
      <c r="HH112" s="74"/>
      <c r="HJ112" s="74"/>
      <c r="HL112" s="23">
        <f t="shared" si="117"/>
        <v>0</v>
      </c>
      <c r="HM112" s="23"/>
    </row>
    <row r="113" spans="1:221" s="72" customFormat="1" ht="15.75">
      <c r="A113" s="72" t="s">
        <v>221</v>
      </c>
      <c r="B113" s="73">
        <v>25</v>
      </c>
      <c r="D113" s="14">
        <v>35</v>
      </c>
      <c r="E113" s="72">
        <v>8</v>
      </c>
      <c r="F113" s="72" t="s">
        <v>227</v>
      </c>
      <c r="G113" s="72" t="s">
        <v>202</v>
      </c>
      <c r="H113" s="114">
        <v>36465</v>
      </c>
      <c r="I113" s="72" t="s">
        <v>123</v>
      </c>
      <c r="J113" s="72" t="s">
        <v>136</v>
      </c>
      <c r="K113" s="73"/>
      <c r="L113" s="72" t="s">
        <v>125</v>
      </c>
      <c r="N113" s="72" t="str">
        <f t="shared" si="124"/>
        <v>25W</v>
      </c>
      <c r="O113" s="72" t="str">
        <f t="shared" si="125"/>
        <v>25WBase</v>
      </c>
      <c r="Q113" s="23">
        <f t="shared" si="106"/>
        <v>0</v>
      </c>
      <c r="R113" s="23">
        <f t="shared" si="97"/>
        <v>0</v>
      </c>
      <c r="S113" s="23"/>
      <c r="T113" s="78">
        <v>37147</v>
      </c>
      <c r="U113" s="78"/>
      <c r="V113" s="79">
        <v>0</v>
      </c>
      <c r="W113" s="78">
        <f t="shared" si="107"/>
        <v>0</v>
      </c>
      <c r="X113" s="78">
        <f t="shared" si="126"/>
        <v>0</v>
      </c>
      <c r="Y113" s="78">
        <f t="shared" si="126"/>
        <v>0</v>
      </c>
      <c r="Z113" s="78">
        <f t="shared" si="126"/>
        <v>0</v>
      </c>
      <c r="AA113" s="78">
        <f t="shared" si="126"/>
        <v>0</v>
      </c>
      <c r="AB113" s="78">
        <f t="shared" si="113"/>
        <v>0</v>
      </c>
      <c r="AC113" s="78">
        <f t="shared" si="113"/>
        <v>0</v>
      </c>
      <c r="AD113" s="78">
        <f t="shared" si="113"/>
        <v>0</v>
      </c>
      <c r="AE113" s="78">
        <f t="shared" si="119"/>
        <v>0</v>
      </c>
      <c r="AF113" s="78">
        <f t="shared" si="119"/>
        <v>0</v>
      </c>
      <c r="AG113" s="78">
        <f t="shared" si="119"/>
        <v>0</v>
      </c>
      <c r="AH113" s="78">
        <f t="shared" si="119"/>
        <v>0</v>
      </c>
      <c r="AI113" s="78">
        <f t="shared" si="114"/>
        <v>0</v>
      </c>
      <c r="AJ113" s="78">
        <f t="shared" si="114"/>
        <v>0</v>
      </c>
      <c r="AK113" s="78">
        <f t="shared" si="114"/>
        <v>0</v>
      </c>
      <c r="AL113" s="78">
        <f t="shared" si="120"/>
        <v>0</v>
      </c>
      <c r="AM113" s="78">
        <f t="shared" si="120"/>
        <v>0</v>
      </c>
      <c r="AN113" s="78">
        <f t="shared" si="120"/>
        <v>0</v>
      </c>
      <c r="AO113" s="78">
        <f t="shared" si="120"/>
        <v>0</v>
      </c>
      <c r="AP113" s="78">
        <f t="shared" si="115"/>
        <v>0</v>
      </c>
      <c r="AQ113" s="78">
        <f t="shared" si="115"/>
        <v>0</v>
      </c>
      <c r="AR113" s="78">
        <f t="shared" si="115"/>
        <v>0</v>
      </c>
      <c r="AS113" s="78">
        <f t="shared" si="112"/>
        <v>0</v>
      </c>
      <c r="AT113" s="78">
        <f t="shared" si="112"/>
        <v>0</v>
      </c>
      <c r="AU113" s="78">
        <f t="shared" si="122"/>
        <v>0</v>
      </c>
      <c r="AV113" s="78">
        <f t="shared" si="121"/>
        <v>0</v>
      </c>
      <c r="AW113" s="78">
        <f t="shared" si="116"/>
        <v>0</v>
      </c>
      <c r="AX113" s="78">
        <f t="shared" si="116"/>
        <v>0</v>
      </c>
      <c r="AY113" s="78">
        <f t="shared" si="108"/>
        <v>0</v>
      </c>
      <c r="AZ113" s="78">
        <f t="shared" si="108"/>
        <v>0</v>
      </c>
      <c r="BA113" s="78"/>
      <c r="BB113" s="78">
        <f t="shared" si="123"/>
        <v>0</v>
      </c>
      <c r="BC113" s="78">
        <f t="shared" si="93"/>
        <v>0</v>
      </c>
      <c r="BD113" s="155">
        <f t="shared" si="88"/>
        <v>0</v>
      </c>
      <c r="BE113" s="78"/>
      <c r="BF113" s="23"/>
      <c r="BO113" s="80"/>
      <c r="DP113" s="72">
        <v>255</v>
      </c>
      <c r="DQ113" s="72" t="s">
        <v>397</v>
      </c>
      <c r="HH113" s="74"/>
      <c r="HJ113" s="74"/>
      <c r="HL113" s="23">
        <f t="shared" si="117"/>
        <v>255</v>
      </c>
      <c r="HM113" s="23"/>
    </row>
    <row r="114" spans="1:221" s="72" customFormat="1" ht="15.75">
      <c r="A114" s="72" t="s">
        <v>228</v>
      </c>
      <c r="B114" s="73">
        <v>19</v>
      </c>
      <c r="D114" s="14">
        <v>26</v>
      </c>
      <c r="E114" s="72">
        <v>8</v>
      </c>
      <c r="F114" s="72" t="s">
        <v>166</v>
      </c>
      <c r="G114" s="72" t="s">
        <v>131</v>
      </c>
      <c r="H114" s="75">
        <v>36336</v>
      </c>
      <c r="I114" s="72" t="s">
        <v>123</v>
      </c>
      <c r="J114" s="72" t="s">
        <v>124</v>
      </c>
      <c r="K114" s="73"/>
      <c r="L114" s="72" t="s">
        <v>125</v>
      </c>
      <c r="N114" s="72" t="str">
        <f t="shared" si="124"/>
        <v>19R</v>
      </c>
      <c r="O114" s="72" t="str">
        <f t="shared" si="125"/>
        <v>19RBase</v>
      </c>
      <c r="Q114" s="23">
        <f t="shared" si="106"/>
        <v>0</v>
      </c>
      <c r="R114" s="23">
        <f t="shared" ref="R114:R143" si="127">+Q114</f>
        <v>0</v>
      </c>
      <c r="S114" s="23"/>
      <c r="T114" s="78">
        <v>37147</v>
      </c>
      <c r="U114" s="78"/>
      <c r="V114" s="79">
        <v>0</v>
      </c>
      <c r="W114" s="78">
        <f t="shared" si="107"/>
        <v>0</v>
      </c>
      <c r="X114" s="78">
        <f t="shared" si="118"/>
        <v>0</v>
      </c>
      <c r="Y114" s="78">
        <f t="shared" si="118"/>
        <v>0</v>
      </c>
      <c r="Z114" s="78">
        <f t="shared" si="118"/>
        <v>0</v>
      </c>
      <c r="AA114" s="78">
        <f t="shared" si="118"/>
        <v>0</v>
      </c>
      <c r="AB114" s="78">
        <f t="shared" si="113"/>
        <v>0</v>
      </c>
      <c r="AC114" s="78">
        <f t="shared" si="113"/>
        <v>0</v>
      </c>
      <c r="AD114" s="78">
        <f t="shared" si="113"/>
        <v>0</v>
      </c>
      <c r="AE114" s="78">
        <f t="shared" si="119"/>
        <v>0</v>
      </c>
      <c r="AF114" s="78">
        <f t="shared" si="119"/>
        <v>0</v>
      </c>
      <c r="AG114" s="78">
        <f t="shared" si="119"/>
        <v>0</v>
      </c>
      <c r="AH114" s="78">
        <f t="shared" si="119"/>
        <v>0</v>
      </c>
      <c r="AI114" s="78">
        <f t="shared" si="114"/>
        <v>0</v>
      </c>
      <c r="AJ114" s="78">
        <f t="shared" si="114"/>
        <v>0</v>
      </c>
      <c r="AK114" s="78">
        <f t="shared" si="114"/>
        <v>0</v>
      </c>
      <c r="AL114" s="78">
        <f t="shared" si="120"/>
        <v>0</v>
      </c>
      <c r="AM114" s="78">
        <f t="shared" si="120"/>
        <v>0</v>
      </c>
      <c r="AN114" s="78">
        <f t="shared" si="120"/>
        <v>0</v>
      </c>
      <c r="AO114" s="78">
        <f t="shared" si="120"/>
        <v>0</v>
      </c>
      <c r="AP114" s="78">
        <f t="shared" si="115"/>
        <v>0</v>
      </c>
      <c r="AQ114" s="78">
        <f t="shared" si="115"/>
        <v>0</v>
      </c>
      <c r="AR114" s="78">
        <f t="shared" si="115"/>
        <v>0</v>
      </c>
      <c r="AS114" s="78">
        <f t="shared" si="112"/>
        <v>0</v>
      </c>
      <c r="AT114" s="78">
        <f t="shared" si="112"/>
        <v>0</v>
      </c>
      <c r="AU114" s="78">
        <f t="shared" si="122"/>
        <v>0</v>
      </c>
      <c r="AV114" s="78">
        <f t="shared" si="121"/>
        <v>0</v>
      </c>
      <c r="AW114" s="78">
        <f t="shared" si="116"/>
        <v>0</v>
      </c>
      <c r="AX114" s="78">
        <f t="shared" si="116"/>
        <v>0</v>
      </c>
      <c r="AY114" s="78">
        <f t="shared" si="108"/>
        <v>0</v>
      </c>
      <c r="AZ114" s="78">
        <f t="shared" si="108"/>
        <v>0</v>
      </c>
      <c r="BA114" s="78"/>
      <c r="BB114" s="78">
        <f t="shared" si="123"/>
        <v>0</v>
      </c>
      <c r="BC114" s="78">
        <f t="shared" si="93"/>
        <v>0</v>
      </c>
      <c r="BD114" s="155">
        <f t="shared" si="88"/>
        <v>0</v>
      </c>
      <c r="BE114" s="78"/>
      <c r="BF114" s="23"/>
      <c r="BO114" s="80"/>
      <c r="DF114" s="72">
        <v>4</v>
      </c>
      <c r="DG114" s="72" t="s">
        <v>204</v>
      </c>
      <c r="DV114" s="72">
        <v>16</v>
      </c>
      <c r="DW114" s="72" t="s">
        <v>401</v>
      </c>
      <c r="EN114" s="72">
        <v>1</v>
      </c>
      <c r="EO114" s="72" t="s">
        <v>147</v>
      </c>
      <c r="EV114" s="72">
        <v>3</v>
      </c>
      <c r="EW114" s="72" t="s">
        <v>147</v>
      </c>
      <c r="FB114" s="72">
        <v>1</v>
      </c>
      <c r="FC114" s="72" t="s">
        <v>153</v>
      </c>
      <c r="FL114" s="72">
        <v>12</v>
      </c>
      <c r="FM114" s="72" t="s">
        <v>229</v>
      </c>
      <c r="FR114" s="72">
        <v>1</v>
      </c>
      <c r="FS114" s="72" t="s">
        <v>192</v>
      </c>
      <c r="GX114" s="72">
        <v>1</v>
      </c>
      <c r="GY114" s="72" t="s">
        <v>145</v>
      </c>
      <c r="HD114" s="72">
        <v>1</v>
      </c>
      <c r="HE114" s="72" t="s">
        <v>168</v>
      </c>
      <c r="HH114" s="74"/>
      <c r="HJ114" s="74"/>
      <c r="HL114" s="23">
        <f t="shared" si="117"/>
        <v>40</v>
      </c>
      <c r="HM114" s="23"/>
    </row>
    <row r="115" spans="1:221" s="72" customFormat="1" ht="15.75">
      <c r="A115" s="72" t="s">
        <v>228</v>
      </c>
      <c r="B115" s="73">
        <v>19</v>
      </c>
      <c r="D115" s="14">
        <v>27</v>
      </c>
      <c r="E115" s="72">
        <v>8</v>
      </c>
      <c r="F115" s="72" t="s">
        <v>127</v>
      </c>
      <c r="G115" s="72" t="s">
        <v>131</v>
      </c>
      <c r="H115" s="75">
        <v>36336</v>
      </c>
      <c r="I115" s="72" t="s">
        <v>123</v>
      </c>
      <c r="J115" s="72" t="s">
        <v>124</v>
      </c>
      <c r="K115" s="73"/>
      <c r="L115" s="72" t="s">
        <v>125</v>
      </c>
      <c r="N115" s="72" t="str">
        <f t="shared" si="124"/>
        <v>19R</v>
      </c>
      <c r="O115" s="72" t="str">
        <f t="shared" si="125"/>
        <v>19RBase</v>
      </c>
      <c r="Q115" s="23">
        <f t="shared" si="106"/>
        <v>0</v>
      </c>
      <c r="R115" s="23">
        <f t="shared" si="127"/>
        <v>0</v>
      </c>
      <c r="S115" s="23"/>
      <c r="T115" s="78">
        <v>37147</v>
      </c>
      <c r="U115" s="78"/>
      <c r="V115" s="79">
        <v>0</v>
      </c>
      <c r="W115" s="78">
        <f t="shared" si="107"/>
        <v>0</v>
      </c>
      <c r="X115" s="78">
        <f t="shared" si="118"/>
        <v>0</v>
      </c>
      <c r="Y115" s="78">
        <f t="shared" si="118"/>
        <v>0</v>
      </c>
      <c r="Z115" s="78">
        <f t="shared" si="118"/>
        <v>0</v>
      </c>
      <c r="AA115" s="78">
        <f t="shared" si="118"/>
        <v>0</v>
      </c>
      <c r="AB115" s="78">
        <f t="shared" si="113"/>
        <v>0</v>
      </c>
      <c r="AC115" s="78">
        <f t="shared" si="113"/>
        <v>0</v>
      </c>
      <c r="AD115" s="78">
        <f t="shared" si="113"/>
        <v>0</v>
      </c>
      <c r="AE115" s="78">
        <f t="shared" si="119"/>
        <v>0</v>
      </c>
      <c r="AF115" s="78">
        <f t="shared" si="119"/>
        <v>0</v>
      </c>
      <c r="AG115" s="78">
        <f t="shared" si="119"/>
        <v>0</v>
      </c>
      <c r="AH115" s="78">
        <f t="shared" si="119"/>
        <v>0</v>
      </c>
      <c r="AI115" s="78">
        <f t="shared" si="114"/>
        <v>0</v>
      </c>
      <c r="AJ115" s="78">
        <f t="shared" si="114"/>
        <v>0</v>
      </c>
      <c r="AK115" s="78">
        <f t="shared" si="114"/>
        <v>0</v>
      </c>
      <c r="AL115" s="78">
        <f t="shared" si="120"/>
        <v>0</v>
      </c>
      <c r="AM115" s="78">
        <f t="shared" si="120"/>
        <v>0</v>
      </c>
      <c r="AN115" s="78">
        <f t="shared" si="120"/>
        <v>0</v>
      </c>
      <c r="AO115" s="78">
        <f t="shared" si="120"/>
        <v>0</v>
      </c>
      <c r="AP115" s="78">
        <f t="shared" si="115"/>
        <v>0</v>
      </c>
      <c r="AQ115" s="78">
        <f t="shared" si="115"/>
        <v>0</v>
      </c>
      <c r="AR115" s="78">
        <f t="shared" si="115"/>
        <v>0</v>
      </c>
      <c r="AS115" s="78">
        <f t="shared" si="112"/>
        <v>0</v>
      </c>
      <c r="AT115" s="78">
        <f t="shared" si="112"/>
        <v>0</v>
      </c>
      <c r="AU115" s="78">
        <f t="shared" si="122"/>
        <v>0</v>
      </c>
      <c r="AV115" s="78">
        <f t="shared" si="121"/>
        <v>0</v>
      </c>
      <c r="AW115" s="78">
        <f t="shared" si="116"/>
        <v>0</v>
      </c>
      <c r="AX115" s="78">
        <f t="shared" si="116"/>
        <v>0</v>
      </c>
      <c r="AY115" s="78">
        <f t="shared" si="108"/>
        <v>0</v>
      </c>
      <c r="AZ115" s="78">
        <f t="shared" si="108"/>
        <v>0</v>
      </c>
      <c r="BA115" s="78"/>
      <c r="BB115" s="78">
        <f t="shared" si="123"/>
        <v>0</v>
      </c>
      <c r="BC115" s="78">
        <f t="shared" si="93"/>
        <v>0</v>
      </c>
      <c r="BD115" s="155">
        <f t="shared" si="88"/>
        <v>0</v>
      </c>
      <c r="BE115" s="78"/>
      <c r="BF115" s="23"/>
      <c r="BO115" s="80"/>
      <c r="GJ115" s="72">
        <v>322</v>
      </c>
      <c r="GK115" s="72" t="s">
        <v>423</v>
      </c>
      <c r="HH115" s="74"/>
      <c r="HJ115" s="74"/>
      <c r="HL115" s="23">
        <f t="shared" si="117"/>
        <v>322</v>
      </c>
      <c r="HM115" s="23"/>
    </row>
    <row r="116" spans="1:221" s="72" customFormat="1" ht="15.75">
      <c r="A116" s="72" t="s">
        <v>228</v>
      </c>
      <c r="B116" s="73">
        <v>19</v>
      </c>
      <c r="D116" s="14">
        <v>27</v>
      </c>
      <c r="E116" s="72">
        <v>8</v>
      </c>
      <c r="F116" s="72" t="s">
        <v>166</v>
      </c>
      <c r="G116" s="72" t="s">
        <v>131</v>
      </c>
      <c r="H116" s="75">
        <v>36336</v>
      </c>
      <c r="I116" s="72" t="s">
        <v>123</v>
      </c>
      <c r="J116" s="72" t="s">
        <v>124</v>
      </c>
      <c r="K116" s="73"/>
      <c r="L116" s="72" t="s">
        <v>125</v>
      </c>
      <c r="M116" s="56"/>
      <c r="N116" s="72" t="str">
        <f t="shared" si="124"/>
        <v>19R</v>
      </c>
      <c r="O116" s="72" t="str">
        <f t="shared" si="125"/>
        <v>19RBase</v>
      </c>
      <c r="Q116" s="23">
        <f t="shared" si="106"/>
        <v>0</v>
      </c>
      <c r="R116" s="23">
        <f t="shared" si="127"/>
        <v>0</v>
      </c>
      <c r="S116" s="23"/>
      <c r="T116" s="78">
        <v>37147</v>
      </c>
      <c r="U116" s="78"/>
      <c r="V116" s="79">
        <v>0</v>
      </c>
      <c r="W116" s="78">
        <f t="shared" si="107"/>
        <v>0</v>
      </c>
      <c r="X116" s="78">
        <f t="shared" si="118"/>
        <v>0</v>
      </c>
      <c r="Y116" s="78">
        <f t="shared" si="118"/>
        <v>0</v>
      </c>
      <c r="Z116" s="78">
        <f t="shared" si="118"/>
        <v>0</v>
      </c>
      <c r="AA116" s="78">
        <f t="shared" si="118"/>
        <v>0</v>
      </c>
      <c r="AB116" s="78">
        <f t="shared" si="113"/>
        <v>0</v>
      </c>
      <c r="AC116" s="78">
        <f t="shared" si="113"/>
        <v>0</v>
      </c>
      <c r="AD116" s="78">
        <f t="shared" si="113"/>
        <v>0</v>
      </c>
      <c r="AE116" s="78">
        <f t="shared" si="119"/>
        <v>0</v>
      </c>
      <c r="AF116" s="78">
        <f t="shared" si="119"/>
        <v>0</v>
      </c>
      <c r="AG116" s="78">
        <f t="shared" si="119"/>
        <v>0</v>
      </c>
      <c r="AH116" s="78">
        <f t="shared" si="119"/>
        <v>0</v>
      </c>
      <c r="AI116" s="78">
        <f t="shared" si="114"/>
        <v>0</v>
      </c>
      <c r="AJ116" s="78">
        <f t="shared" si="114"/>
        <v>0</v>
      </c>
      <c r="AK116" s="78">
        <f t="shared" si="114"/>
        <v>0</v>
      </c>
      <c r="AL116" s="78">
        <f t="shared" si="120"/>
        <v>0</v>
      </c>
      <c r="AM116" s="78">
        <f t="shared" si="120"/>
        <v>0</v>
      </c>
      <c r="AN116" s="78">
        <f t="shared" si="120"/>
        <v>0</v>
      </c>
      <c r="AO116" s="78">
        <f t="shared" si="120"/>
        <v>0</v>
      </c>
      <c r="AP116" s="78">
        <f t="shared" si="115"/>
        <v>0</v>
      </c>
      <c r="AQ116" s="78">
        <f t="shared" si="115"/>
        <v>0</v>
      </c>
      <c r="AR116" s="78">
        <f t="shared" si="115"/>
        <v>0</v>
      </c>
      <c r="AS116" s="78">
        <f t="shared" si="112"/>
        <v>0</v>
      </c>
      <c r="AT116" s="78">
        <f t="shared" si="112"/>
        <v>0</v>
      </c>
      <c r="AU116" s="78">
        <f t="shared" si="122"/>
        <v>0</v>
      </c>
      <c r="AV116" s="78">
        <f t="shared" si="121"/>
        <v>0</v>
      </c>
      <c r="AW116" s="78">
        <f t="shared" si="116"/>
        <v>0</v>
      </c>
      <c r="AX116" s="78">
        <f t="shared" si="116"/>
        <v>0</v>
      </c>
      <c r="AY116" s="78">
        <f t="shared" si="108"/>
        <v>0</v>
      </c>
      <c r="AZ116" s="78">
        <f t="shared" si="108"/>
        <v>0</v>
      </c>
      <c r="BA116" s="78"/>
      <c r="BB116" s="78">
        <f t="shared" si="123"/>
        <v>0</v>
      </c>
      <c r="BC116" s="78">
        <f t="shared" si="93"/>
        <v>0</v>
      </c>
      <c r="BD116" s="155">
        <f t="shared" si="88"/>
        <v>0</v>
      </c>
      <c r="BE116" s="78"/>
      <c r="BF116" s="23"/>
      <c r="BO116" s="80"/>
      <c r="CB116" s="72">
        <v>1</v>
      </c>
      <c r="CC116" s="72" t="s">
        <v>179</v>
      </c>
      <c r="DH116" s="72">
        <v>24</v>
      </c>
      <c r="DI116" s="72" t="s">
        <v>126</v>
      </c>
      <c r="DX116" s="72">
        <v>87</v>
      </c>
      <c r="DY116" s="72" t="s">
        <v>259</v>
      </c>
      <c r="EF116" s="72">
        <v>1</v>
      </c>
      <c r="EG116" s="72" t="s">
        <v>145</v>
      </c>
      <c r="EP116" s="72">
        <v>8</v>
      </c>
      <c r="EQ116" s="72" t="s">
        <v>153</v>
      </c>
      <c r="EX116" s="72">
        <v>23</v>
      </c>
      <c r="EY116" s="72" t="s">
        <v>153</v>
      </c>
      <c r="FD116" s="72">
        <v>2</v>
      </c>
      <c r="FE116" s="72" t="s">
        <v>175</v>
      </c>
      <c r="FN116" s="72">
        <v>63</v>
      </c>
      <c r="FO116" s="72" t="s">
        <v>179</v>
      </c>
      <c r="GZ116" s="72">
        <v>1</v>
      </c>
      <c r="HA116" s="72" t="s">
        <v>147</v>
      </c>
      <c r="HF116" s="72">
        <v>4</v>
      </c>
      <c r="HG116" s="72" t="s">
        <v>170</v>
      </c>
      <c r="HH116" s="74"/>
      <c r="HJ116" s="74"/>
      <c r="HL116" s="23">
        <f t="shared" si="117"/>
        <v>214</v>
      </c>
      <c r="HM116" s="23"/>
    </row>
    <row r="117" spans="1:221" s="72" customFormat="1" ht="15.75">
      <c r="A117" s="72" t="s">
        <v>228</v>
      </c>
      <c r="B117" s="73">
        <v>19</v>
      </c>
      <c r="D117" s="14">
        <v>32</v>
      </c>
      <c r="E117" s="72">
        <v>8</v>
      </c>
      <c r="F117" s="72" t="s">
        <v>127</v>
      </c>
      <c r="G117" s="72" t="s">
        <v>131</v>
      </c>
      <c r="H117" s="75">
        <v>36336</v>
      </c>
      <c r="I117" s="72" t="s">
        <v>123</v>
      </c>
      <c r="J117" s="72" t="s">
        <v>124</v>
      </c>
      <c r="K117" s="73"/>
      <c r="L117" s="72" t="s">
        <v>125</v>
      </c>
      <c r="M117" s="56"/>
      <c r="N117" s="72" t="str">
        <f t="shared" si="124"/>
        <v>19R</v>
      </c>
      <c r="O117" s="72" t="str">
        <f t="shared" si="125"/>
        <v>19RBase</v>
      </c>
      <c r="Q117" s="23">
        <f t="shared" si="106"/>
        <v>0</v>
      </c>
      <c r="R117" s="23">
        <f t="shared" si="127"/>
        <v>0</v>
      </c>
      <c r="S117" s="23"/>
      <c r="T117" s="78">
        <v>37147</v>
      </c>
      <c r="U117" s="78"/>
      <c r="V117" s="79">
        <v>0</v>
      </c>
      <c r="W117" s="78">
        <f t="shared" si="107"/>
        <v>0</v>
      </c>
      <c r="X117" s="78">
        <f t="shared" si="118"/>
        <v>0</v>
      </c>
      <c r="Y117" s="78">
        <f t="shared" si="118"/>
        <v>0</v>
      </c>
      <c r="Z117" s="78">
        <f t="shared" si="118"/>
        <v>0</v>
      </c>
      <c r="AA117" s="78">
        <f t="shared" si="118"/>
        <v>0</v>
      </c>
      <c r="AB117" s="78">
        <f t="shared" si="113"/>
        <v>0</v>
      </c>
      <c r="AC117" s="78">
        <f t="shared" si="113"/>
        <v>0</v>
      </c>
      <c r="AD117" s="78">
        <f t="shared" si="113"/>
        <v>0</v>
      </c>
      <c r="AE117" s="78">
        <f t="shared" si="119"/>
        <v>0</v>
      </c>
      <c r="AF117" s="78">
        <f t="shared" si="119"/>
        <v>0</v>
      </c>
      <c r="AG117" s="78">
        <f t="shared" si="119"/>
        <v>0</v>
      </c>
      <c r="AH117" s="78">
        <f t="shared" si="119"/>
        <v>0</v>
      </c>
      <c r="AI117" s="78">
        <f t="shared" si="114"/>
        <v>0</v>
      </c>
      <c r="AJ117" s="78">
        <f t="shared" si="114"/>
        <v>0</v>
      </c>
      <c r="AK117" s="78">
        <f t="shared" si="114"/>
        <v>0</v>
      </c>
      <c r="AL117" s="78">
        <f t="shared" si="120"/>
        <v>0</v>
      </c>
      <c r="AM117" s="78">
        <f t="shared" si="120"/>
        <v>0</v>
      </c>
      <c r="AN117" s="78">
        <f t="shared" si="120"/>
        <v>0</v>
      </c>
      <c r="AO117" s="78">
        <f t="shared" si="120"/>
        <v>0</v>
      </c>
      <c r="AP117" s="78">
        <f t="shared" si="115"/>
        <v>0</v>
      </c>
      <c r="AQ117" s="78">
        <f t="shared" si="115"/>
        <v>0</v>
      </c>
      <c r="AR117" s="78">
        <f t="shared" si="115"/>
        <v>0</v>
      </c>
      <c r="AS117" s="78">
        <f t="shared" si="112"/>
        <v>0</v>
      </c>
      <c r="AT117" s="78">
        <f t="shared" si="112"/>
        <v>0</v>
      </c>
      <c r="AU117" s="78">
        <f t="shared" si="122"/>
        <v>0</v>
      </c>
      <c r="AV117" s="78">
        <f t="shared" si="121"/>
        <v>0</v>
      </c>
      <c r="AW117" s="78">
        <f t="shared" si="116"/>
        <v>0</v>
      </c>
      <c r="AX117" s="78">
        <f t="shared" si="116"/>
        <v>0</v>
      </c>
      <c r="AY117" s="78">
        <f t="shared" si="108"/>
        <v>0</v>
      </c>
      <c r="AZ117" s="78">
        <f t="shared" si="108"/>
        <v>0</v>
      </c>
      <c r="BA117" s="78"/>
      <c r="BB117" s="78">
        <f t="shared" si="123"/>
        <v>0</v>
      </c>
      <c r="BC117" s="78">
        <f t="shared" si="93"/>
        <v>0</v>
      </c>
      <c r="BD117" s="155">
        <f t="shared" si="88"/>
        <v>0</v>
      </c>
      <c r="BE117" s="78"/>
      <c r="BF117" s="23"/>
      <c r="BO117" s="80"/>
      <c r="GJ117" s="72">
        <v>197</v>
      </c>
      <c r="GK117" s="72" t="s">
        <v>424</v>
      </c>
      <c r="HH117" s="74"/>
      <c r="HJ117" s="74"/>
      <c r="HL117" s="23">
        <f t="shared" si="117"/>
        <v>197</v>
      </c>
      <c r="HM117" s="23"/>
    </row>
    <row r="118" spans="1:221" s="72" customFormat="1" ht="15.75">
      <c r="A118" s="72" t="s">
        <v>228</v>
      </c>
      <c r="B118" s="73">
        <v>19</v>
      </c>
      <c r="D118" s="14">
        <v>32</v>
      </c>
      <c r="E118" s="72">
        <v>8</v>
      </c>
      <c r="F118" s="72" t="s">
        <v>166</v>
      </c>
      <c r="G118" s="72" t="s">
        <v>131</v>
      </c>
      <c r="H118" s="75">
        <v>36336</v>
      </c>
      <c r="I118" s="72" t="s">
        <v>123</v>
      </c>
      <c r="J118" s="72" t="s">
        <v>124</v>
      </c>
      <c r="K118" s="73"/>
      <c r="L118" s="72" t="s">
        <v>125</v>
      </c>
      <c r="M118" s="56"/>
      <c r="N118" s="72" t="str">
        <f t="shared" si="124"/>
        <v>19R</v>
      </c>
      <c r="O118" s="72" t="str">
        <f t="shared" si="125"/>
        <v>19RBase</v>
      </c>
      <c r="Q118" s="23">
        <f t="shared" si="106"/>
        <v>0</v>
      </c>
      <c r="R118" s="23">
        <f t="shared" si="127"/>
        <v>0</v>
      </c>
      <c r="S118" s="23"/>
      <c r="T118" s="78">
        <v>37147</v>
      </c>
      <c r="U118" s="78"/>
      <c r="V118" s="79">
        <v>0</v>
      </c>
      <c r="W118" s="78">
        <f t="shared" si="107"/>
        <v>0</v>
      </c>
      <c r="X118" s="78">
        <f t="shared" si="118"/>
        <v>0</v>
      </c>
      <c r="Y118" s="78">
        <f t="shared" si="118"/>
        <v>0</v>
      </c>
      <c r="Z118" s="78">
        <f t="shared" si="118"/>
        <v>0</v>
      </c>
      <c r="AA118" s="78">
        <f t="shared" si="118"/>
        <v>0</v>
      </c>
      <c r="AB118" s="78">
        <f t="shared" si="113"/>
        <v>0</v>
      </c>
      <c r="AC118" s="78">
        <f t="shared" si="113"/>
        <v>0</v>
      </c>
      <c r="AD118" s="78">
        <f t="shared" si="113"/>
        <v>0</v>
      </c>
      <c r="AE118" s="78">
        <f t="shared" si="119"/>
        <v>0</v>
      </c>
      <c r="AF118" s="78">
        <f t="shared" si="119"/>
        <v>0</v>
      </c>
      <c r="AG118" s="78">
        <f t="shared" si="119"/>
        <v>0</v>
      </c>
      <c r="AH118" s="78">
        <f t="shared" si="119"/>
        <v>0</v>
      </c>
      <c r="AI118" s="78">
        <f t="shared" si="114"/>
        <v>0</v>
      </c>
      <c r="AJ118" s="78">
        <f t="shared" si="114"/>
        <v>0</v>
      </c>
      <c r="AK118" s="78">
        <f t="shared" si="114"/>
        <v>0</v>
      </c>
      <c r="AL118" s="78">
        <f t="shared" si="120"/>
        <v>0</v>
      </c>
      <c r="AM118" s="78">
        <f t="shared" si="120"/>
        <v>0</v>
      </c>
      <c r="AN118" s="78">
        <f t="shared" si="120"/>
        <v>0</v>
      </c>
      <c r="AO118" s="78">
        <f t="shared" si="120"/>
        <v>0</v>
      </c>
      <c r="AP118" s="78">
        <f t="shared" si="115"/>
        <v>0</v>
      </c>
      <c r="AQ118" s="78">
        <f t="shared" si="115"/>
        <v>0</v>
      </c>
      <c r="AR118" s="78">
        <f t="shared" si="115"/>
        <v>0</v>
      </c>
      <c r="AS118" s="78">
        <f t="shared" si="112"/>
        <v>0</v>
      </c>
      <c r="AT118" s="78">
        <f t="shared" si="112"/>
        <v>0</v>
      </c>
      <c r="AU118" s="78">
        <f t="shared" si="122"/>
        <v>0</v>
      </c>
      <c r="AV118" s="78">
        <f t="shared" si="121"/>
        <v>0</v>
      </c>
      <c r="AW118" s="78">
        <f t="shared" si="116"/>
        <v>0</v>
      </c>
      <c r="AX118" s="78">
        <f t="shared" si="116"/>
        <v>0</v>
      </c>
      <c r="AY118" s="78">
        <f t="shared" si="108"/>
        <v>0</v>
      </c>
      <c r="AZ118" s="78">
        <f t="shared" si="108"/>
        <v>0</v>
      </c>
      <c r="BA118" s="78"/>
      <c r="BB118" s="78">
        <f t="shared" si="123"/>
        <v>0</v>
      </c>
      <c r="BC118" s="78">
        <f t="shared" si="93"/>
        <v>0</v>
      </c>
      <c r="BD118" s="155">
        <f t="shared" si="88"/>
        <v>0</v>
      </c>
      <c r="BE118" s="78"/>
      <c r="BF118" s="23"/>
      <c r="BO118" s="80"/>
      <c r="DA118" s="72" t="s">
        <v>389</v>
      </c>
      <c r="DJ118" s="72">
        <v>5</v>
      </c>
      <c r="DK118" s="72" t="s">
        <v>139</v>
      </c>
      <c r="DZ118" s="72">
        <v>18</v>
      </c>
      <c r="EA118" s="72" t="s">
        <v>400</v>
      </c>
      <c r="ER118" s="72">
        <v>2</v>
      </c>
      <c r="ES118" s="72" t="s">
        <v>175</v>
      </c>
      <c r="EZ118" s="72">
        <v>4</v>
      </c>
      <c r="FA118" s="72" t="s">
        <v>175</v>
      </c>
      <c r="FP118" s="72">
        <v>14</v>
      </c>
      <c r="FQ118" s="72" t="s">
        <v>345</v>
      </c>
      <c r="GM118" s="72" t="s">
        <v>168</v>
      </c>
      <c r="HH118" s="74"/>
      <c r="HJ118" s="74"/>
      <c r="HL118" s="23">
        <f t="shared" si="117"/>
        <v>43</v>
      </c>
      <c r="HM118" s="23"/>
    </row>
    <row r="119" spans="1:221" s="72" customFormat="1" ht="15.75">
      <c r="A119" s="72" t="s">
        <v>230</v>
      </c>
      <c r="B119" s="73">
        <v>29</v>
      </c>
      <c r="D119" s="14">
        <v>32</v>
      </c>
      <c r="E119" s="72">
        <v>8</v>
      </c>
      <c r="F119" s="72" t="s">
        <v>155</v>
      </c>
      <c r="G119" s="72" t="s">
        <v>189</v>
      </c>
      <c r="H119" s="75">
        <v>36521</v>
      </c>
      <c r="I119" s="72" t="s">
        <v>123</v>
      </c>
      <c r="J119" s="72" t="s">
        <v>124</v>
      </c>
      <c r="K119" s="73"/>
      <c r="L119" s="72" t="s">
        <v>132</v>
      </c>
      <c r="N119" s="72" t="str">
        <f t="shared" si="124"/>
        <v>29R</v>
      </c>
      <c r="O119" s="72" t="str">
        <f t="shared" si="125"/>
        <v>29RBase</v>
      </c>
      <c r="Q119" s="23">
        <f t="shared" si="106"/>
        <v>0</v>
      </c>
      <c r="R119" s="23">
        <f t="shared" si="127"/>
        <v>0</v>
      </c>
      <c r="S119" s="23"/>
      <c r="T119" s="78">
        <v>39999</v>
      </c>
      <c r="U119" s="78"/>
      <c r="V119" s="79">
        <v>0</v>
      </c>
      <c r="W119" s="78">
        <f t="shared" si="107"/>
        <v>0</v>
      </c>
      <c r="X119" s="78">
        <f t="shared" si="118"/>
        <v>0</v>
      </c>
      <c r="Y119" s="78">
        <f t="shared" si="118"/>
        <v>0</v>
      </c>
      <c r="Z119" s="78">
        <f t="shared" si="118"/>
        <v>0</v>
      </c>
      <c r="AA119" s="78">
        <f t="shared" si="118"/>
        <v>0</v>
      </c>
      <c r="AB119" s="78">
        <f t="shared" si="113"/>
        <v>0</v>
      </c>
      <c r="AC119" s="78">
        <f t="shared" si="113"/>
        <v>0</v>
      </c>
      <c r="AD119" s="78">
        <f t="shared" si="113"/>
        <v>0</v>
      </c>
      <c r="AE119" s="78">
        <f t="shared" si="119"/>
        <v>0</v>
      </c>
      <c r="AF119" s="78">
        <f t="shared" si="119"/>
        <v>0</v>
      </c>
      <c r="AG119" s="78">
        <f t="shared" si="119"/>
        <v>0</v>
      </c>
      <c r="AH119" s="78">
        <f t="shared" si="119"/>
        <v>0</v>
      </c>
      <c r="AI119" s="78">
        <f t="shared" si="114"/>
        <v>0</v>
      </c>
      <c r="AJ119" s="78">
        <f t="shared" si="114"/>
        <v>0</v>
      </c>
      <c r="AK119" s="78">
        <f t="shared" si="114"/>
        <v>0</v>
      </c>
      <c r="AL119" s="78">
        <f t="shared" si="120"/>
        <v>0</v>
      </c>
      <c r="AM119" s="78">
        <f t="shared" si="120"/>
        <v>0</v>
      </c>
      <c r="AN119" s="78">
        <f t="shared" si="120"/>
        <v>0</v>
      </c>
      <c r="AO119" s="78">
        <f t="shared" si="120"/>
        <v>0</v>
      </c>
      <c r="AP119" s="78">
        <f t="shared" si="115"/>
        <v>0</v>
      </c>
      <c r="AQ119" s="78">
        <f t="shared" si="115"/>
        <v>0</v>
      </c>
      <c r="AR119" s="78">
        <f t="shared" si="115"/>
        <v>0</v>
      </c>
      <c r="AS119" s="78">
        <f t="shared" si="112"/>
        <v>0</v>
      </c>
      <c r="AT119" s="78">
        <f t="shared" si="112"/>
        <v>0</v>
      </c>
      <c r="AU119" s="78">
        <f t="shared" si="122"/>
        <v>0</v>
      </c>
      <c r="AV119" s="78">
        <f t="shared" si="121"/>
        <v>0</v>
      </c>
      <c r="AW119" s="78">
        <f t="shared" si="116"/>
        <v>0</v>
      </c>
      <c r="AX119" s="78">
        <f t="shared" si="116"/>
        <v>0</v>
      </c>
      <c r="AY119" s="78">
        <f t="shared" si="108"/>
        <v>0</v>
      </c>
      <c r="AZ119" s="78">
        <f t="shared" si="108"/>
        <v>0</v>
      </c>
      <c r="BA119" s="78"/>
      <c r="BB119" s="78">
        <f t="shared" si="123"/>
        <v>0</v>
      </c>
      <c r="BC119" s="78">
        <f t="shared" si="93"/>
        <v>0</v>
      </c>
      <c r="BD119" s="155">
        <f t="shared" si="88"/>
        <v>0</v>
      </c>
      <c r="BE119" s="78"/>
      <c r="BF119" s="23"/>
      <c r="BO119" s="80"/>
      <c r="BY119" s="72" t="s">
        <v>192</v>
      </c>
      <c r="DR119" s="72">
        <v>25</v>
      </c>
      <c r="DS119" s="72" t="s">
        <v>398</v>
      </c>
      <c r="FQ119" s="72" t="s">
        <v>214</v>
      </c>
      <c r="HH119" s="74"/>
      <c r="HJ119" s="74"/>
      <c r="HL119" s="23">
        <f t="shared" si="117"/>
        <v>25</v>
      </c>
      <c r="HM119" s="23"/>
    </row>
    <row r="120" spans="1:221" s="72" customFormat="1" ht="16.5">
      <c r="A120" s="72" t="s">
        <v>230</v>
      </c>
      <c r="B120" s="73">
        <v>29</v>
      </c>
      <c r="D120" s="14">
        <v>35</v>
      </c>
      <c r="E120" s="72">
        <v>8</v>
      </c>
      <c r="F120" s="72" t="s">
        <v>155</v>
      </c>
      <c r="G120" s="72" t="s">
        <v>189</v>
      </c>
      <c r="H120" s="75">
        <v>36521</v>
      </c>
      <c r="I120" s="72" t="s">
        <v>123</v>
      </c>
      <c r="J120" s="72" t="s">
        <v>124</v>
      </c>
      <c r="K120" s="73"/>
      <c r="L120" s="72" t="s">
        <v>132</v>
      </c>
      <c r="N120" s="72" t="str">
        <f t="shared" si="124"/>
        <v>29R</v>
      </c>
      <c r="O120" s="72" t="str">
        <f t="shared" si="125"/>
        <v>29RBase</v>
      </c>
      <c r="Q120" s="23">
        <f t="shared" si="106"/>
        <v>0</v>
      </c>
      <c r="R120" s="23">
        <f t="shared" si="127"/>
        <v>0</v>
      </c>
      <c r="S120" s="23"/>
      <c r="T120" s="78">
        <v>39999</v>
      </c>
      <c r="U120" s="78"/>
      <c r="V120" s="79">
        <v>0</v>
      </c>
      <c r="W120" s="78">
        <f t="shared" si="107"/>
        <v>0</v>
      </c>
      <c r="X120" s="78">
        <f t="shared" si="118"/>
        <v>0</v>
      </c>
      <c r="Y120" s="78">
        <f t="shared" si="118"/>
        <v>0</v>
      </c>
      <c r="Z120" s="78">
        <f t="shared" si="118"/>
        <v>0</v>
      </c>
      <c r="AA120" s="78">
        <f t="shared" si="118"/>
        <v>0</v>
      </c>
      <c r="AB120" s="78">
        <f t="shared" si="113"/>
        <v>0</v>
      </c>
      <c r="AC120" s="78">
        <f t="shared" si="113"/>
        <v>0</v>
      </c>
      <c r="AD120" s="78">
        <f t="shared" si="113"/>
        <v>0</v>
      </c>
      <c r="AE120" s="78">
        <f t="shared" si="119"/>
        <v>0</v>
      </c>
      <c r="AF120" s="78">
        <f t="shared" si="119"/>
        <v>0</v>
      </c>
      <c r="AG120" s="78">
        <f t="shared" si="119"/>
        <v>0</v>
      </c>
      <c r="AH120" s="78">
        <f t="shared" si="119"/>
        <v>0</v>
      </c>
      <c r="AI120" s="78">
        <f t="shared" si="114"/>
        <v>0</v>
      </c>
      <c r="AJ120" s="78">
        <f t="shared" si="114"/>
        <v>0</v>
      </c>
      <c r="AK120" s="78">
        <f t="shared" si="114"/>
        <v>0</v>
      </c>
      <c r="AL120" s="78">
        <f t="shared" si="120"/>
        <v>0</v>
      </c>
      <c r="AM120" s="78">
        <f t="shared" si="120"/>
        <v>0</v>
      </c>
      <c r="AN120" s="78">
        <f t="shared" si="120"/>
        <v>0</v>
      </c>
      <c r="AO120" s="78">
        <f t="shared" si="120"/>
        <v>0</v>
      </c>
      <c r="AP120" s="78">
        <f t="shared" si="115"/>
        <v>0</v>
      </c>
      <c r="AQ120" s="78">
        <f t="shared" si="115"/>
        <v>0</v>
      </c>
      <c r="AR120" s="78">
        <f t="shared" si="115"/>
        <v>0</v>
      </c>
      <c r="AS120" s="78">
        <f t="shared" si="112"/>
        <v>0</v>
      </c>
      <c r="AT120" s="78">
        <f t="shared" si="112"/>
        <v>0</v>
      </c>
      <c r="AU120" s="78">
        <f t="shared" si="122"/>
        <v>0</v>
      </c>
      <c r="AV120" s="78">
        <f t="shared" si="121"/>
        <v>0</v>
      </c>
      <c r="AW120" s="78">
        <f t="shared" si="116"/>
        <v>0</v>
      </c>
      <c r="AX120" s="78">
        <f t="shared" si="116"/>
        <v>0</v>
      </c>
      <c r="AY120" s="78">
        <f t="shared" ref="AY120:AZ129" si="128">AX120</f>
        <v>0</v>
      </c>
      <c r="AZ120" s="78">
        <f t="shared" si="128"/>
        <v>0</v>
      </c>
      <c r="BA120" s="78"/>
      <c r="BB120" s="78">
        <f t="shared" si="123"/>
        <v>0</v>
      </c>
      <c r="BC120" s="78">
        <f t="shared" si="93"/>
        <v>0</v>
      </c>
      <c r="BD120" s="155">
        <f t="shared" si="88"/>
        <v>0</v>
      </c>
      <c r="BE120" s="78"/>
      <c r="BF120" s="23"/>
      <c r="BO120" s="80"/>
      <c r="BY120" s="72" t="s">
        <v>192</v>
      </c>
      <c r="DP120" s="72">
        <v>207</v>
      </c>
      <c r="DQ120" s="72" t="s">
        <v>399</v>
      </c>
      <c r="DR120" s="72">
        <v>563</v>
      </c>
      <c r="DS120" s="72" t="s">
        <v>399</v>
      </c>
      <c r="GI120" s="82"/>
      <c r="HH120" s="74"/>
      <c r="HJ120" s="74"/>
      <c r="HL120" s="23">
        <f t="shared" si="117"/>
        <v>770</v>
      </c>
      <c r="HM120" s="23"/>
    </row>
    <row r="121" spans="1:221" s="82" customFormat="1" ht="16.5">
      <c r="A121" s="82" t="s">
        <v>230</v>
      </c>
      <c r="B121" s="83">
        <v>29</v>
      </c>
      <c r="D121" s="82">
        <v>35</v>
      </c>
      <c r="E121" s="82">
        <v>8</v>
      </c>
      <c r="F121" s="82" t="s">
        <v>160</v>
      </c>
      <c r="G121" s="82" t="s">
        <v>189</v>
      </c>
      <c r="H121" s="84">
        <v>36516</v>
      </c>
      <c r="I121" s="82" t="s">
        <v>123</v>
      </c>
      <c r="J121" s="82" t="s">
        <v>124</v>
      </c>
      <c r="K121" s="83"/>
      <c r="L121" s="82" t="s">
        <v>132</v>
      </c>
      <c r="M121" s="56"/>
      <c r="N121" s="82" t="str">
        <f t="shared" si="124"/>
        <v>29R</v>
      </c>
      <c r="O121" s="82" t="str">
        <f t="shared" si="125"/>
        <v>29RBase</v>
      </c>
      <c r="Q121" s="15">
        <f t="shared" si="106"/>
        <v>0</v>
      </c>
      <c r="R121" s="85">
        <f t="shared" si="127"/>
        <v>0</v>
      </c>
      <c r="S121" s="85"/>
      <c r="T121" s="86">
        <v>39999</v>
      </c>
      <c r="U121" s="86"/>
      <c r="V121" s="87">
        <v>0</v>
      </c>
      <c r="W121" s="86">
        <f>V121</f>
        <v>0</v>
      </c>
      <c r="X121" s="86">
        <f t="shared" ref="X121:AD121" si="129">W121</f>
        <v>0</v>
      </c>
      <c r="Y121" s="86">
        <f t="shared" si="129"/>
        <v>0</v>
      </c>
      <c r="Z121" s="86">
        <f t="shared" si="129"/>
        <v>0</v>
      </c>
      <c r="AA121" s="86">
        <f t="shared" si="129"/>
        <v>0</v>
      </c>
      <c r="AB121" s="86">
        <f t="shared" si="129"/>
        <v>0</v>
      </c>
      <c r="AC121" s="86">
        <f t="shared" si="129"/>
        <v>0</v>
      </c>
      <c r="AD121" s="86">
        <f t="shared" si="129"/>
        <v>0</v>
      </c>
      <c r="AE121" s="86">
        <f t="shared" si="119"/>
        <v>0</v>
      </c>
      <c r="AF121" s="86">
        <f t="shared" si="119"/>
        <v>0</v>
      </c>
      <c r="AG121" s="86">
        <f t="shared" si="119"/>
        <v>0</v>
      </c>
      <c r="AH121" s="86">
        <f t="shared" si="119"/>
        <v>0</v>
      </c>
      <c r="AI121" s="86">
        <f t="shared" si="114"/>
        <v>0</v>
      </c>
      <c r="AJ121" s="86">
        <f t="shared" si="114"/>
        <v>0</v>
      </c>
      <c r="AK121" s="86">
        <f t="shared" si="114"/>
        <v>0</v>
      </c>
      <c r="AL121" s="86">
        <f t="shared" si="120"/>
        <v>0</v>
      </c>
      <c r="AM121" s="86">
        <f t="shared" si="120"/>
        <v>0</v>
      </c>
      <c r="AN121" s="86">
        <f t="shared" si="120"/>
        <v>0</v>
      </c>
      <c r="AO121" s="86">
        <f t="shared" si="120"/>
        <v>0</v>
      </c>
      <c r="AP121" s="86">
        <f t="shared" si="115"/>
        <v>0</v>
      </c>
      <c r="AQ121" s="86">
        <f t="shared" si="115"/>
        <v>0</v>
      </c>
      <c r="AR121" s="86">
        <f t="shared" si="115"/>
        <v>0</v>
      </c>
      <c r="AS121" s="86">
        <f t="shared" si="112"/>
        <v>0</v>
      </c>
      <c r="AT121" s="86">
        <f t="shared" si="112"/>
        <v>0</v>
      </c>
      <c r="AU121" s="86">
        <f t="shared" si="122"/>
        <v>0</v>
      </c>
      <c r="AV121" s="86">
        <f t="shared" si="121"/>
        <v>0</v>
      </c>
      <c r="AW121" s="86">
        <f t="shared" si="116"/>
        <v>0</v>
      </c>
      <c r="AX121" s="86">
        <f t="shared" si="116"/>
        <v>0</v>
      </c>
      <c r="AY121" s="86">
        <f t="shared" si="128"/>
        <v>0</v>
      </c>
      <c r="AZ121" s="86">
        <f t="shared" si="128"/>
        <v>0</v>
      </c>
      <c r="BA121" s="86"/>
      <c r="BB121" s="16">
        <f t="shared" si="123"/>
        <v>0</v>
      </c>
      <c r="BC121" s="78">
        <f t="shared" si="93"/>
        <v>0</v>
      </c>
      <c r="BD121" s="155">
        <f t="shared" si="88"/>
        <v>0</v>
      </c>
      <c r="BE121" s="86"/>
      <c r="BF121" s="85"/>
      <c r="BO121" s="88"/>
      <c r="BY121" s="82" t="s">
        <v>139</v>
      </c>
      <c r="DR121" s="82">
        <v>72</v>
      </c>
      <c r="DS121" s="82" t="s">
        <v>337</v>
      </c>
      <c r="GI121" s="72"/>
      <c r="HH121" s="89"/>
      <c r="HJ121" s="89"/>
      <c r="HL121" s="85">
        <f t="shared" si="117"/>
        <v>72</v>
      </c>
      <c r="HM121" s="85"/>
    </row>
    <row r="122" spans="1:221" s="72" customFormat="1" ht="15.75">
      <c r="A122" s="72" t="s">
        <v>182</v>
      </c>
      <c r="B122" s="73" t="s">
        <v>231</v>
      </c>
      <c r="D122" s="14">
        <v>36</v>
      </c>
      <c r="E122" s="72">
        <v>8</v>
      </c>
      <c r="F122" s="72" t="s">
        <v>182</v>
      </c>
      <c r="G122" s="72" t="s">
        <v>232</v>
      </c>
      <c r="H122" s="75">
        <v>36465</v>
      </c>
      <c r="I122" s="72" t="s">
        <v>123</v>
      </c>
      <c r="J122" s="72" t="s">
        <v>136</v>
      </c>
      <c r="K122" s="73"/>
      <c r="L122" s="72" t="s">
        <v>125</v>
      </c>
      <c r="M122" s="56"/>
      <c r="N122" s="72" t="str">
        <f t="shared" si="124"/>
        <v>56WW</v>
      </c>
      <c r="O122" s="72" t="str">
        <f t="shared" si="125"/>
        <v>56WWBase</v>
      </c>
      <c r="Q122" s="23">
        <f t="shared" si="106"/>
        <v>0</v>
      </c>
      <c r="R122" s="23">
        <f t="shared" si="127"/>
        <v>0</v>
      </c>
      <c r="S122" s="23"/>
      <c r="T122" s="78">
        <v>37147</v>
      </c>
      <c r="U122" s="78"/>
      <c r="V122" s="79">
        <v>0</v>
      </c>
      <c r="W122" s="78">
        <f t="shared" ref="W122:W140" si="130">V122</f>
        <v>0</v>
      </c>
      <c r="X122" s="78">
        <f t="shared" ref="X122:Z129" si="131">W122</f>
        <v>0</v>
      </c>
      <c r="Y122" s="78">
        <f t="shared" si="131"/>
        <v>0</v>
      </c>
      <c r="Z122" s="78">
        <f t="shared" si="131"/>
        <v>0</v>
      </c>
      <c r="AA122" s="78">
        <f t="shared" ref="AA122:AA129" si="132">Z122</f>
        <v>0</v>
      </c>
      <c r="AB122" s="78">
        <f t="shared" si="113"/>
        <v>0</v>
      </c>
      <c r="AC122" s="78">
        <f t="shared" si="113"/>
        <v>0</v>
      </c>
      <c r="AD122" s="78">
        <f t="shared" si="113"/>
        <v>0</v>
      </c>
      <c r="AE122" s="78">
        <f t="shared" si="119"/>
        <v>0</v>
      </c>
      <c r="AF122" s="78">
        <f t="shared" si="119"/>
        <v>0</v>
      </c>
      <c r="AG122" s="78">
        <f t="shared" si="119"/>
        <v>0</v>
      </c>
      <c r="AH122" s="78">
        <f t="shared" si="119"/>
        <v>0</v>
      </c>
      <c r="AI122" s="78">
        <f t="shared" si="114"/>
        <v>0</v>
      </c>
      <c r="AJ122" s="78">
        <f t="shared" si="114"/>
        <v>0</v>
      </c>
      <c r="AK122" s="78">
        <f t="shared" si="114"/>
        <v>0</v>
      </c>
      <c r="AL122" s="78">
        <f t="shared" si="120"/>
        <v>0</v>
      </c>
      <c r="AM122" s="78">
        <f t="shared" si="120"/>
        <v>0</v>
      </c>
      <c r="AN122" s="78">
        <f t="shared" si="120"/>
        <v>0</v>
      </c>
      <c r="AO122" s="78">
        <f t="shared" si="120"/>
        <v>0</v>
      </c>
      <c r="AP122" s="78">
        <f t="shared" si="115"/>
        <v>0</v>
      </c>
      <c r="AQ122" s="78">
        <f t="shared" si="115"/>
        <v>0</v>
      </c>
      <c r="AR122" s="78">
        <f t="shared" si="115"/>
        <v>0</v>
      </c>
      <c r="AS122" s="78">
        <f t="shared" si="112"/>
        <v>0</v>
      </c>
      <c r="AT122" s="78">
        <f t="shared" si="112"/>
        <v>0</v>
      </c>
      <c r="AU122" s="78">
        <f t="shared" si="122"/>
        <v>0</v>
      </c>
      <c r="AV122" s="78">
        <f t="shared" si="121"/>
        <v>0</v>
      </c>
      <c r="AW122" s="78">
        <f t="shared" si="116"/>
        <v>0</v>
      </c>
      <c r="AX122" s="78">
        <f t="shared" si="116"/>
        <v>0</v>
      </c>
      <c r="AY122" s="78">
        <f t="shared" si="128"/>
        <v>0</v>
      </c>
      <c r="AZ122" s="78">
        <f t="shared" si="128"/>
        <v>0</v>
      </c>
      <c r="BA122" s="78"/>
      <c r="BB122" s="78">
        <f t="shared" si="123"/>
        <v>0</v>
      </c>
      <c r="BC122" s="78">
        <f t="shared" si="93"/>
        <v>0</v>
      </c>
      <c r="BD122" s="155">
        <f t="shared" si="88"/>
        <v>0</v>
      </c>
      <c r="BE122" s="78"/>
      <c r="BF122" s="23"/>
      <c r="BO122" s="80"/>
      <c r="GB122" s="72">
        <v>500</v>
      </c>
      <c r="GC122" s="72" t="s">
        <v>192</v>
      </c>
      <c r="GI122" s="115"/>
      <c r="HH122" s="74"/>
      <c r="HJ122" s="74"/>
      <c r="HL122" s="23">
        <f t="shared" si="117"/>
        <v>500</v>
      </c>
      <c r="HM122" s="23"/>
    </row>
    <row r="123" spans="1:221" s="72" customFormat="1" ht="15.75">
      <c r="A123" s="72" t="s">
        <v>182</v>
      </c>
      <c r="B123" s="73" t="s">
        <v>231</v>
      </c>
      <c r="D123" s="14">
        <v>36</v>
      </c>
      <c r="E123" s="72">
        <v>8</v>
      </c>
      <c r="F123" s="72" t="s">
        <v>127</v>
      </c>
      <c r="G123" s="72" t="s">
        <v>189</v>
      </c>
      <c r="H123" s="75">
        <v>36517</v>
      </c>
      <c r="I123" s="72" t="s">
        <v>123</v>
      </c>
      <c r="J123" s="72" t="s">
        <v>124</v>
      </c>
      <c r="K123" s="73"/>
      <c r="L123" s="72" t="s">
        <v>125</v>
      </c>
      <c r="M123" s="56"/>
      <c r="N123" s="72" t="str">
        <f t="shared" si="124"/>
        <v>56WR</v>
      </c>
      <c r="O123" s="72" t="str">
        <f t="shared" si="125"/>
        <v>56WRBase</v>
      </c>
      <c r="Q123" s="23">
        <f t="shared" si="106"/>
        <v>0</v>
      </c>
      <c r="R123" s="23">
        <f t="shared" si="127"/>
        <v>0</v>
      </c>
      <c r="S123" s="23"/>
      <c r="T123" s="78">
        <v>37147</v>
      </c>
      <c r="U123" s="78"/>
      <c r="V123" s="79">
        <v>0</v>
      </c>
      <c r="W123" s="78">
        <f t="shared" si="130"/>
        <v>0</v>
      </c>
      <c r="X123" s="78">
        <f t="shared" si="131"/>
        <v>0</v>
      </c>
      <c r="Y123" s="78">
        <f t="shared" si="131"/>
        <v>0</v>
      </c>
      <c r="Z123" s="78">
        <f t="shared" si="131"/>
        <v>0</v>
      </c>
      <c r="AA123" s="78">
        <f t="shared" si="132"/>
        <v>0</v>
      </c>
      <c r="AB123" s="78">
        <f t="shared" si="113"/>
        <v>0</v>
      </c>
      <c r="AC123" s="78">
        <f t="shared" si="113"/>
        <v>0</v>
      </c>
      <c r="AD123" s="78">
        <f t="shared" si="113"/>
        <v>0</v>
      </c>
      <c r="AE123" s="78">
        <f t="shared" si="119"/>
        <v>0</v>
      </c>
      <c r="AF123" s="78">
        <f t="shared" si="119"/>
        <v>0</v>
      </c>
      <c r="AG123" s="78">
        <f t="shared" si="119"/>
        <v>0</v>
      </c>
      <c r="AH123" s="78">
        <f t="shared" si="119"/>
        <v>0</v>
      </c>
      <c r="AI123" s="78">
        <f t="shared" si="114"/>
        <v>0</v>
      </c>
      <c r="AJ123" s="78">
        <f t="shared" si="114"/>
        <v>0</v>
      </c>
      <c r="AK123" s="78">
        <f t="shared" si="114"/>
        <v>0</v>
      </c>
      <c r="AL123" s="78">
        <f t="shared" si="120"/>
        <v>0</v>
      </c>
      <c r="AM123" s="78">
        <f t="shared" si="120"/>
        <v>0</v>
      </c>
      <c r="AN123" s="78">
        <f t="shared" si="120"/>
        <v>0</v>
      </c>
      <c r="AO123" s="78">
        <f t="shared" si="120"/>
        <v>0</v>
      </c>
      <c r="AP123" s="78">
        <f t="shared" si="115"/>
        <v>0</v>
      </c>
      <c r="AQ123" s="78">
        <f t="shared" si="115"/>
        <v>0</v>
      </c>
      <c r="AR123" s="78">
        <f t="shared" si="115"/>
        <v>0</v>
      </c>
      <c r="AS123" s="78">
        <f t="shared" ref="AS123:AT140" si="133">AR123</f>
        <v>0</v>
      </c>
      <c r="AT123" s="78">
        <f t="shared" si="133"/>
        <v>0</v>
      </c>
      <c r="AU123" s="78">
        <f t="shared" si="122"/>
        <v>0</v>
      </c>
      <c r="AV123" s="78">
        <f t="shared" si="121"/>
        <v>0</v>
      </c>
      <c r="AW123" s="78">
        <f t="shared" si="116"/>
        <v>0</v>
      </c>
      <c r="AX123" s="78">
        <f t="shared" si="116"/>
        <v>0</v>
      </c>
      <c r="AY123" s="78">
        <f t="shared" si="128"/>
        <v>0</v>
      </c>
      <c r="AZ123" s="78">
        <f t="shared" si="128"/>
        <v>0</v>
      </c>
      <c r="BA123" s="78"/>
      <c r="BB123" s="78">
        <f t="shared" si="123"/>
        <v>0</v>
      </c>
      <c r="BC123" s="78">
        <f t="shared" si="93"/>
        <v>0</v>
      </c>
      <c r="BD123" s="155">
        <f t="shared" si="88"/>
        <v>0</v>
      </c>
      <c r="BE123" s="78"/>
      <c r="BF123" s="23"/>
      <c r="BO123" s="80"/>
      <c r="GB123" s="72">
        <v>470</v>
      </c>
      <c r="GC123" s="72" t="s">
        <v>408</v>
      </c>
      <c r="GI123" s="115"/>
      <c r="HH123" s="74"/>
      <c r="HJ123" s="74"/>
      <c r="HL123" s="23">
        <f t="shared" si="117"/>
        <v>470</v>
      </c>
      <c r="HM123" s="23"/>
    </row>
    <row r="124" spans="1:221" s="72" customFormat="1" ht="15.75">
      <c r="A124" s="72" t="s">
        <v>140</v>
      </c>
      <c r="B124" s="73">
        <v>52</v>
      </c>
      <c r="D124" s="14">
        <v>36</v>
      </c>
      <c r="E124" s="72">
        <v>8</v>
      </c>
      <c r="F124" s="72" t="s">
        <v>127</v>
      </c>
      <c r="G124" s="74" t="s">
        <v>151</v>
      </c>
      <c r="H124" s="75">
        <v>36336</v>
      </c>
      <c r="I124" s="72" t="s">
        <v>123</v>
      </c>
      <c r="J124" s="72" t="s">
        <v>124</v>
      </c>
      <c r="K124" s="76"/>
      <c r="L124" s="72" t="s">
        <v>132</v>
      </c>
      <c r="M124" s="77" t="s">
        <v>346</v>
      </c>
      <c r="N124" s="72" t="str">
        <f>CONCATENATE(B124,J124)</f>
        <v>52R</v>
      </c>
      <c r="O124" s="72" t="str">
        <f>CONCATENATE(B124,J124,I124)</f>
        <v>52RBase</v>
      </c>
      <c r="Q124" s="23">
        <f>+BC124</f>
        <v>0</v>
      </c>
      <c r="R124" s="23">
        <f>+Q124</f>
        <v>0</v>
      </c>
      <c r="S124" s="23"/>
      <c r="T124" s="78">
        <v>37147</v>
      </c>
      <c r="U124" s="78"/>
      <c r="V124" s="79">
        <v>0</v>
      </c>
      <c r="W124" s="78">
        <f t="shared" ref="W124:AX124" si="134">V124</f>
        <v>0</v>
      </c>
      <c r="X124" s="78">
        <f t="shared" si="134"/>
        <v>0</v>
      </c>
      <c r="Y124" s="78">
        <f t="shared" si="134"/>
        <v>0</v>
      </c>
      <c r="Z124" s="78">
        <f t="shared" si="134"/>
        <v>0</v>
      </c>
      <c r="AA124" s="78">
        <f t="shared" si="134"/>
        <v>0</v>
      </c>
      <c r="AB124" s="78">
        <f t="shared" si="134"/>
        <v>0</v>
      </c>
      <c r="AC124" s="78">
        <f t="shared" si="134"/>
        <v>0</v>
      </c>
      <c r="AD124" s="78">
        <f t="shared" si="134"/>
        <v>0</v>
      </c>
      <c r="AE124" s="78">
        <f t="shared" si="134"/>
        <v>0</v>
      </c>
      <c r="AF124" s="78">
        <f t="shared" si="134"/>
        <v>0</v>
      </c>
      <c r="AG124" s="78">
        <f t="shared" si="134"/>
        <v>0</v>
      </c>
      <c r="AH124" s="78">
        <f t="shared" si="134"/>
        <v>0</v>
      </c>
      <c r="AI124" s="78">
        <f t="shared" si="134"/>
        <v>0</v>
      </c>
      <c r="AJ124" s="78">
        <f t="shared" si="134"/>
        <v>0</v>
      </c>
      <c r="AK124" s="78">
        <f t="shared" si="134"/>
        <v>0</v>
      </c>
      <c r="AL124" s="78">
        <f t="shared" si="134"/>
        <v>0</v>
      </c>
      <c r="AM124" s="78">
        <f t="shared" si="134"/>
        <v>0</v>
      </c>
      <c r="AN124" s="78">
        <f t="shared" si="134"/>
        <v>0</v>
      </c>
      <c r="AO124" s="78">
        <f t="shared" si="134"/>
        <v>0</v>
      </c>
      <c r="AP124" s="78">
        <f t="shared" si="134"/>
        <v>0</v>
      </c>
      <c r="AQ124" s="78">
        <f t="shared" si="134"/>
        <v>0</v>
      </c>
      <c r="AR124" s="78">
        <f t="shared" si="134"/>
        <v>0</v>
      </c>
      <c r="AS124" s="78">
        <f t="shared" si="134"/>
        <v>0</v>
      </c>
      <c r="AT124" s="78">
        <f t="shared" si="134"/>
        <v>0</v>
      </c>
      <c r="AU124" s="78">
        <f t="shared" si="134"/>
        <v>0</v>
      </c>
      <c r="AV124" s="78">
        <f t="shared" si="134"/>
        <v>0</v>
      </c>
      <c r="AW124" s="78">
        <f t="shared" si="134"/>
        <v>0</v>
      </c>
      <c r="AX124" s="78">
        <f t="shared" si="134"/>
        <v>0</v>
      </c>
      <c r="AY124" s="78">
        <f t="shared" si="128"/>
        <v>0</v>
      </c>
      <c r="AZ124" s="78">
        <f t="shared" si="128"/>
        <v>0</v>
      </c>
      <c r="BA124" s="78"/>
      <c r="BB124" s="78">
        <f t="shared" si="123"/>
        <v>0</v>
      </c>
      <c r="BC124" s="78">
        <f t="shared" si="93"/>
        <v>0</v>
      </c>
      <c r="BD124" s="155">
        <f t="shared" si="88"/>
        <v>0</v>
      </c>
      <c r="BE124" s="78"/>
      <c r="BF124" s="23"/>
      <c r="BG124" s="23"/>
      <c r="BH124" s="23"/>
      <c r="BI124" s="23"/>
      <c r="BJ124" s="23"/>
      <c r="BK124" s="23"/>
      <c r="BL124" s="23"/>
      <c r="BM124" s="23"/>
      <c r="BO124" s="80" t="s">
        <v>141</v>
      </c>
      <c r="GB124" s="72">
        <v>23</v>
      </c>
      <c r="GC124" s="72" t="s">
        <v>409</v>
      </c>
      <c r="HH124" s="74"/>
      <c r="HJ124" s="74"/>
      <c r="HL124" s="23">
        <f t="shared" si="117"/>
        <v>23</v>
      </c>
      <c r="HM124" s="23"/>
    </row>
    <row r="125" spans="1:221" s="115" customFormat="1" ht="15.75">
      <c r="A125" s="115" t="s">
        <v>233</v>
      </c>
      <c r="B125" s="116">
        <v>4</v>
      </c>
      <c r="C125" s="115">
        <v>116</v>
      </c>
      <c r="D125" s="117"/>
      <c r="E125" s="115">
        <v>10</v>
      </c>
      <c r="F125" s="115" t="s">
        <v>234</v>
      </c>
      <c r="G125" s="115" t="s">
        <v>143</v>
      </c>
      <c r="H125" s="118">
        <v>36336</v>
      </c>
      <c r="I125" s="115" t="s">
        <v>123</v>
      </c>
      <c r="J125" s="115" t="s">
        <v>124</v>
      </c>
      <c r="K125" s="76"/>
      <c r="L125" s="115" t="s">
        <v>125</v>
      </c>
      <c r="M125" s="56"/>
      <c r="N125" s="115" t="str">
        <f t="shared" si="124"/>
        <v>4R</v>
      </c>
      <c r="O125" s="115" t="str">
        <f t="shared" si="125"/>
        <v>4RBase</v>
      </c>
      <c r="Q125" s="119">
        <f t="shared" ref="Q125:Q143" si="135">+BC125</f>
        <v>0</v>
      </c>
      <c r="R125" s="119">
        <f t="shared" si="127"/>
        <v>0</v>
      </c>
      <c r="S125" s="119"/>
      <c r="T125" s="120">
        <v>37147</v>
      </c>
      <c r="U125" s="120"/>
      <c r="V125" s="121">
        <v>0</v>
      </c>
      <c r="W125" s="122">
        <f t="shared" si="130"/>
        <v>0</v>
      </c>
      <c r="X125" s="122">
        <f t="shared" si="131"/>
        <v>0</v>
      </c>
      <c r="Y125" s="122">
        <f t="shared" si="131"/>
        <v>0</v>
      </c>
      <c r="Z125" s="122">
        <f t="shared" si="131"/>
        <v>0</v>
      </c>
      <c r="AA125" s="122">
        <f t="shared" si="132"/>
        <v>0</v>
      </c>
      <c r="AB125" s="122">
        <f t="shared" ref="AB125:AD140" si="136">AA125</f>
        <v>0</v>
      </c>
      <c r="AC125" s="122">
        <f t="shared" si="136"/>
        <v>0</v>
      </c>
      <c r="AD125" s="122">
        <f t="shared" si="136"/>
        <v>0</v>
      </c>
      <c r="AE125" s="122">
        <f t="shared" si="119"/>
        <v>0</v>
      </c>
      <c r="AF125" s="122">
        <f t="shared" si="119"/>
        <v>0</v>
      </c>
      <c r="AG125" s="122">
        <f t="shared" si="119"/>
        <v>0</v>
      </c>
      <c r="AH125" s="122">
        <f t="shared" si="119"/>
        <v>0</v>
      </c>
      <c r="AI125" s="122">
        <f t="shared" ref="AI125:AK140" si="137">AH125</f>
        <v>0</v>
      </c>
      <c r="AJ125" s="122">
        <f t="shared" si="137"/>
        <v>0</v>
      </c>
      <c r="AK125" s="122">
        <f t="shared" si="137"/>
        <v>0</v>
      </c>
      <c r="AL125" s="122">
        <f t="shared" si="120"/>
        <v>0</v>
      </c>
      <c r="AM125" s="122">
        <f t="shared" si="120"/>
        <v>0</v>
      </c>
      <c r="AN125" s="122">
        <f t="shared" si="120"/>
        <v>0</v>
      </c>
      <c r="AO125" s="122">
        <f t="shared" si="120"/>
        <v>0</v>
      </c>
      <c r="AP125" s="122">
        <f t="shared" ref="AP125:AR129" si="138">AO125</f>
        <v>0</v>
      </c>
      <c r="AQ125" s="122">
        <f t="shared" si="138"/>
        <v>0</v>
      </c>
      <c r="AR125" s="122">
        <f t="shared" si="138"/>
        <v>0</v>
      </c>
      <c r="AS125" s="122">
        <f t="shared" si="133"/>
        <v>0</v>
      </c>
      <c r="AT125" s="122">
        <f t="shared" si="133"/>
        <v>0</v>
      </c>
      <c r="AU125" s="122">
        <f t="shared" si="122"/>
        <v>0</v>
      </c>
      <c r="AV125" s="122">
        <f t="shared" si="121"/>
        <v>0</v>
      </c>
      <c r="AW125" s="122">
        <f t="shared" ref="AW125:AX129" si="139">AV125</f>
        <v>0</v>
      </c>
      <c r="AX125" s="122">
        <f t="shared" si="139"/>
        <v>0</v>
      </c>
      <c r="AY125" s="122">
        <f t="shared" si="128"/>
        <v>0</v>
      </c>
      <c r="AZ125" s="122">
        <f t="shared" si="128"/>
        <v>0</v>
      </c>
      <c r="BA125" s="120"/>
      <c r="BB125" s="120">
        <f>SUM(V125:AZ125)</f>
        <v>0</v>
      </c>
      <c r="BC125" s="122">
        <f t="shared" si="93"/>
        <v>0</v>
      </c>
      <c r="BD125" s="122">
        <f t="shared" si="88"/>
        <v>0</v>
      </c>
      <c r="BE125" s="120"/>
      <c r="BF125" s="119"/>
      <c r="BO125" s="123"/>
      <c r="GH125" s="115">
        <v>769</v>
      </c>
      <c r="GI125" s="115" t="s">
        <v>126</v>
      </c>
      <c r="HH125" s="124"/>
      <c r="HJ125" s="124"/>
      <c r="HL125" s="119">
        <f t="shared" si="117"/>
        <v>769</v>
      </c>
      <c r="HM125" s="119"/>
    </row>
    <row r="126" spans="1:221" s="115" customFormat="1" ht="15.75">
      <c r="A126" s="115" t="s">
        <v>233</v>
      </c>
      <c r="B126" s="116">
        <v>4</v>
      </c>
      <c r="C126" s="115">
        <v>116</v>
      </c>
      <c r="D126" s="117"/>
      <c r="E126" s="115">
        <v>10</v>
      </c>
      <c r="F126" s="115" t="s">
        <v>235</v>
      </c>
      <c r="G126" s="115" t="s">
        <v>143</v>
      </c>
      <c r="H126" s="118">
        <v>36336</v>
      </c>
      <c r="I126" s="115" t="s">
        <v>123</v>
      </c>
      <c r="J126" s="115" t="s">
        <v>124</v>
      </c>
      <c r="K126" s="76"/>
      <c r="L126" s="115" t="s">
        <v>132</v>
      </c>
      <c r="M126" s="72"/>
      <c r="N126" s="115" t="str">
        <f t="shared" si="124"/>
        <v>4R</v>
      </c>
      <c r="O126" s="115" t="str">
        <f t="shared" si="125"/>
        <v>4RBase</v>
      </c>
      <c r="Q126" s="119">
        <f t="shared" si="135"/>
        <v>0</v>
      </c>
      <c r="R126" s="119">
        <f t="shared" si="127"/>
        <v>0</v>
      </c>
      <c r="S126" s="119"/>
      <c r="T126" s="120">
        <v>37147</v>
      </c>
      <c r="U126" s="120"/>
      <c r="V126" s="121">
        <v>0</v>
      </c>
      <c r="W126" s="122">
        <f t="shared" si="130"/>
        <v>0</v>
      </c>
      <c r="X126" s="122">
        <f t="shared" si="131"/>
        <v>0</v>
      </c>
      <c r="Y126" s="122">
        <f t="shared" si="131"/>
        <v>0</v>
      </c>
      <c r="Z126" s="122">
        <f t="shared" si="131"/>
        <v>0</v>
      </c>
      <c r="AA126" s="122">
        <f t="shared" si="132"/>
        <v>0</v>
      </c>
      <c r="AB126" s="122">
        <f t="shared" si="136"/>
        <v>0</v>
      </c>
      <c r="AC126" s="122">
        <f t="shared" si="136"/>
        <v>0</v>
      </c>
      <c r="AD126" s="122">
        <f t="shared" si="136"/>
        <v>0</v>
      </c>
      <c r="AE126" s="122">
        <f t="shared" ref="AE126:AH129" si="140">AD126</f>
        <v>0</v>
      </c>
      <c r="AF126" s="122">
        <f t="shared" si="140"/>
        <v>0</v>
      </c>
      <c r="AG126" s="122">
        <f t="shared" si="140"/>
        <v>0</v>
      </c>
      <c r="AH126" s="122">
        <f t="shared" si="140"/>
        <v>0</v>
      </c>
      <c r="AI126" s="122">
        <f t="shared" si="137"/>
        <v>0</v>
      </c>
      <c r="AJ126" s="122">
        <f t="shared" si="137"/>
        <v>0</v>
      </c>
      <c r="AK126" s="122">
        <f t="shared" si="137"/>
        <v>0</v>
      </c>
      <c r="AL126" s="122">
        <f t="shared" ref="AL126:AO129" si="141">AK126</f>
        <v>0</v>
      </c>
      <c r="AM126" s="122">
        <f t="shared" si="141"/>
        <v>0</v>
      </c>
      <c r="AN126" s="122">
        <f t="shared" si="141"/>
        <v>0</v>
      </c>
      <c r="AO126" s="122">
        <f t="shared" si="141"/>
        <v>0</v>
      </c>
      <c r="AP126" s="122">
        <f t="shared" si="138"/>
        <v>0</v>
      </c>
      <c r="AQ126" s="122">
        <f t="shared" si="138"/>
        <v>0</v>
      </c>
      <c r="AR126" s="122">
        <f t="shared" si="138"/>
        <v>0</v>
      </c>
      <c r="AS126" s="122">
        <f t="shared" si="133"/>
        <v>0</v>
      </c>
      <c r="AT126" s="122">
        <f t="shared" si="133"/>
        <v>0</v>
      </c>
      <c r="AU126" s="122">
        <f t="shared" si="122"/>
        <v>0</v>
      </c>
      <c r="AV126" s="122">
        <f t="shared" si="121"/>
        <v>0</v>
      </c>
      <c r="AW126" s="122">
        <f t="shared" si="139"/>
        <v>0</v>
      </c>
      <c r="AX126" s="122">
        <f t="shared" si="139"/>
        <v>0</v>
      </c>
      <c r="AY126" s="122">
        <f t="shared" si="128"/>
        <v>0</v>
      </c>
      <c r="AZ126" s="122">
        <f t="shared" si="128"/>
        <v>0</v>
      </c>
      <c r="BA126" s="120"/>
      <c r="BB126" s="120">
        <f t="shared" ref="BB126:BB140" si="142">SUM(V126:AZ126)</f>
        <v>0</v>
      </c>
      <c r="BC126" s="122">
        <f t="shared" si="93"/>
        <v>0</v>
      </c>
      <c r="BD126" s="122">
        <f t="shared" si="88"/>
        <v>0</v>
      </c>
      <c r="BE126" s="120"/>
      <c r="BF126" s="119"/>
      <c r="BO126" s="123"/>
      <c r="GI126" s="125"/>
      <c r="GL126" s="115">
        <v>911</v>
      </c>
      <c r="GM126" s="115" t="s">
        <v>201</v>
      </c>
      <c r="HH126" s="124"/>
      <c r="HJ126" s="124"/>
      <c r="HL126" s="119">
        <f t="shared" si="117"/>
        <v>911</v>
      </c>
      <c r="HM126" s="119"/>
    </row>
    <row r="127" spans="1:221" s="125" customFormat="1" ht="15.75">
      <c r="A127" s="125" t="s">
        <v>233</v>
      </c>
      <c r="B127" s="126">
        <v>4</v>
      </c>
      <c r="C127" s="125">
        <v>116</v>
      </c>
      <c r="D127" s="26"/>
      <c r="E127" s="125">
        <v>10</v>
      </c>
      <c r="F127" s="125" t="s">
        <v>127</v>
      </c>
      <c r="G127" s="125" t="s">
        <v>143</v>
      </c>
      <c r="H127" s="118">
        <v>36336</v>
      </c>
      <c r="I127" s="125" t="s">
        <v>123</v>
      </c>
      <c r="J127" s="125" t="s">
        <v>124</v>
      </c>
      <c r="K127" s="126"/>
      <c r="L127" s="125" t="s">
        <v>132</v>
      </c>
      <c r="M127" s="72"/>
      <c r="N127" s="125" t="str">
        <f t="shared" si="124"/>
        <v>4R</v>
      </c>
      <c r="O127" s="125" t="str">
        <f t="shared" si="125"/>
        <v>4RBase</v>
      </c>
      <c r="Q127" s="119">
        <f t="shared" si="135"/>
        <v>0</v>
      </c>
      <c r="R127" s="127">
        <f t="shared" si="127"/>
        <v>0</v>
      </c>
      <c r="S127" s="127"/>
      <c r="T127" s="122">
        <v>37147</v>
      </c>
      <c r="U127" s="122"/>
      <c r="V127" s="121">
        <v>0</v>
      </c>
      <c r="W127" s="122">
        <f t="shared" si="130"/>
        <v>0</v>
      </c>
      <c r="X127" s="122">
        <f t="shared" si="131"/>
        <v>0</v>
      </c>
      <c r="Y127" s="122">
        <f t="shared" si="131"/>
        <v>0</v>
      </c>
      <c r="Z127" s="122">
        <f t="shared" si="131"/>
        <v>0</v>
      </c>
      <c r="AA127" s="122">
        <f t="shared" si="132"/>
        <v>0</v>
      </c>
      <c r="AB127" s="122">
        <f t="shared" si="136"/>
        <v>0</v>
      </c>
      <c r="AC127" s="122">
        <f t="shared" si="136"/>
        <v>0</v>
      </c>
      <c r="AD127" s="122">
        <f t="shared" si="136"/>
        <v>0</v>
      </c>
      <c r="AE127" s="122">
        <f t="shared" si="140"/>
        <v>0</v>
      </c>
      <c r="AF127" s="122">
        <f t="shared" si="140"/>
        <v>0</v>
      </c>
      <c r="AG127" s="122">
        <f t="shared" si="140"/>
        <v>0</v>
      </c>
      <c r="AH127" s="122">
        <f t="shared" si="140"/>
        <v>0</v>
      </c>
      <c r="AI127" s="122">
        <f t="shared" si="137"/>
        <v>0</v>
      </c>
      <c r="AJ127" s="122">
        <f t="shared" si="137"/>
        <v>0</v>
      </c>
      <c r="AK127" s="122">
        <f t="shared" si="137"/>
        <v>0</v>
      </c>
      <c r="AL127" s="122">
        <f t="shared" si="141"/>
        <v>0</v>
      </c>
      <c r="AM127" s="122">
        <f t="shared" si="141"/>
        <v>0</v>
      </c>
      <c r="AN127" s="122">
        <f t="shared" si="141"/>
        <v>0</v>
      </c>
      <c r="AO127" s="122">
        <f t="shared" si="141"/>
        <v>0</v>
      </c>
      <c r="AP127" s="122">
        <f t="shared" si="138"/>
        <v>0</v>
      </c>
      <c r="AQ127" s="122">
        <f t="shared" si="138"/>
        <v>0</v>
      </c>
      <c r="AR127" s="122">
        <f t="shared" si="138"/>
        <v>0</v>
      </c>
      <c r="AS127" s="122">
        <f t="shared" si="133"/>
        <v>0</v>
      </c>
      <c r="AT127" s="122">
        <f t="shared" si="133"/>
        <v>0</v>
      </c>
      <c r="AU127" s="122">
        <f t="shared" si="122"/>
        <v>0</v>
      </c>
      <c r="AV127" s="122">
        <f t="shared" si="121"/>
        <v>0</v>
      </c>
      <c r="AW127" s="122">
        <f t="shared" si="139"/>
        <v>0</v>
      </c>
      <c r="AX127" s="122">
        <f t="shared" si="139"/>
        <v>0</v>
      </c>
      <c r="AY127" s="122">
        <f t="shared" si="128"/>
        <v>0</v>
      </c>
      <c r="AZ127" s="122">
        <f t="shared" si="128"/>
        <v>0</v>
      </c>
      <c r="BA127" s="122"/>
      <c r="BB127" s="120">
        <f t="shared" si="142"/>
        <v>0</v>
      </c>
      <c r="BC127" s="122">
        <f t="shared" si="93"/>
        <v>0</v>
      </c>
      <c r="BD127" s="122">
        <f t="shared" si="88"/>
        <v>0</v>
      </c>
      <c r="BE127" s="122"/>
      <c r="BF127" s="127"/>
      <c r="BO127" s="128"/>
      <c r="GH127" s="125">
        <v>3831</v>
      </c>
      <c r="GI127" s="125" t="s">
        <v>204</v>
      </c>
      <c r="GL127" s="125">
        <v>3535</v>
      </c>
      <c r="GM127" s="125" t="s">
        <v>128</v>
      </c>
      <c r="HH127" s="129"/>
      <c r="HJ127" s="129"/>
      <c r="HL127" s="119">
        <f t="shared" si="117"/>
        <v>7366</v>
      </c>
      <c r="HM127" s="127"/>
    </row>
    <row r="128" spans="1:221" s="125" customFormat="1" ht="15.75">
      <c r="A128" s="125" t="s">
        <v>233</v>
      </c>
      <c r="B128" s="126">
        <v>4</v>
      </c>
      <c r="C128" s="125">
        <v>150</v>
      </c>
      <c r="D128" s="26"/>
      <c r="E128" s="125">
        <v>10</v>
      </c>
      <c r="F128" s="125" t="s">
        <v>236</v>
      </c>
      <c r="G128" s="125" t="s">
        <v>143</v>
      </c>
      <c r="H128" s="118">
        <v>36336</v>
      </c>
      <c r="I128" s="125" t="s">
        <v>123</v>
      </c>
      <c r="J128" s="125" t="s">
        <v>136</v>
      </c>
      <c r="K128" s="126"/>
      <c r="L128" s="125" t="s">
        <v>125</v>
      </c>
      <c r="M128" s="56"/>
      <c r="N128" s="125" t="str">
        <f t="shared" si="124"/>
        <v>4W</v>
      </c>
      <c r="O128" s="125" t="str">
        <f t="shared" si="125"/>
        <v>4WBase</v>
      </c>
      <c r="Q128" s="119">
        <f t="shared" si="135"/>
        <v>0</v>
      </c>
      <c r="R128" s="127">
        <f t="shared" si="127"/>
        <v>0</v>
      </c>
      <c r="S128" s="127"/>
      <c r="T128" s="122">
        <v>37147</v>
      </c>
      <c r="U128" s="122"/>
      <c r="V128" s="121">
        <v>0</v>
      </c>
      <c r="W128" s="122">
        <f t="shared" si="130"/>
        <v>0</v>
      </c>
      <c r="X128" s="122">
        <f t="shared" si="131"/>
        <v>0</v>
      </c>
      <c r="Y128" s="122">
        <f t="shared" si="131"/>
        <v>0</v>
      </c>
      <c r="Z128" s="122">
        <f t="shared" si="131"/>
        <v>0</v>
      </c>
      <c r="AA128" s="122">
        <f t="shared" si="132"/>
        <v>0</v>
      </c>
      <c r="AB128" s="122">
        <f t="shared" si="136"/>
        <v>0</v>
      </c>
      <c r="AC128" s="122">
        <f t="shared" si="136"/>
        <v>0</v>
      </c>
      <c r="AD128" s="122">
        <f t="shared" si="136"/>
        <v>0</v>
      </c>
      <c r="AE128" s="122">
        <f t="shared" si="140"/>
        <v>0</v>
      </c>
      <c r="AF128" s="122">
        <f t="shared" si="140"/>
        <v>0</v>
      </c>
      <c r="AG128" s="122">
        <f t="shared" si="140"/>
        <v>0</v>
      </c>
      <c r="AH128" s="122">
        <f t="shared" si="140"/>
        <v>0</v>
      </c>
      <c r="AI128" s="122">
        <f t="shared" si="137"/>
        <v>0</v>
      </c>
      <c r="AJ128" s="122">
        <f t="shared" si="137"/>
        <v>0</v>
      </c>
      <c r="AK128" s="122">
        <f t="shared" si="137"/>
        <v>0</v>
      </c>
      <c r="AL128" s="122">
        <f t="shared" si="141"/>
        <v>0</v>
      </c>
      <c r="AM128" s="122">
        <f t="shared" si="141"/>
        <v>0</v>
      </c>
      <c r="AN128" s="122">
        <f t="shared" si="141"/>
        <v>0</v>
      </c>
      <c r="AO128" s="122">
        <f t="shared" si="141"/>
        <v>0</v>
      </c>
      <c r="AP128" s="122">
        <f t="shared" si="138"/>
        <v>0</v>
      </c>
      <c r="AQ128" s="122">
        <f t="shared" si="138"/>
        <v>0</v>
      </c>
      <c r="AR128" s="122">
        <f t="shared" si="138"/>
        <v>0</v>
      </c>
      <c r="AS128" s="122">
        <f t="shared" si="133"/>
        <v>0</v>
      </c>
      <c r="AT128" s="122">
        <f t="shared" si="133"/>
        <v>0</v>
      </c>
      <c r="AU128" s="122">
        <f t="shared" si="122"/>
        <v>0</v>
      </c>
      <c r="AV128" s="122">
        <f t="shared" si="121"/>
        <v>0</v>
      </c>
      <c r="AW128" s="122">
        <f t="shared" si="139"/>
        <v>0</v>
      </c>
      <c r="AX128" s="122">
        <f t="shared" si="139"/>
        <v>0</v>
      </c>
      <c r="AY128" s="122">
        <f t="shared" si="128"/>
        <v>0</v>
      </c>
      <c r="AZ128" s="122">
        <f t="shared" si="128"/>
        <v>0</v>
      </c>
      <c r="BA128" s="122"/>
      <c r="BB128" s="120">
        <f t="shared" si="142"/>
        <v>0</v>
      </c>
      <c r="BC128" s="122">
        <f t="shared" si="93"/>
        <v>0</v>
      </c>
      <c r="BD128" s="122">
        <f t="shared" si="88"/>
        <v>0</v>
      </c>
      <c r="BE128" s="122"/>
      <c r="BF128" s="127"/>
      <c r="BO128" s="128"/>
      <c r="HH128" s="129"/>
      <c r="HJ128" s="129"/>
      <c r="HL128" s="119">
        <f t="shared" si="117"/>
        <v>0</v>
      </c>
      <c r="HM128" s="127"/>
    </row>
    <row r="129" spans="1:221" s="125" customFormat="1" ht="15.75">
      <c r="A129" s="125" t="s">
        <v>233</v>
      </c>
      <c r="B129" s="126">
        <v>4</v>
      </c>
      <c r="C129" s="125">
        <v>172</v>
      </c>
      <c r="D129" s="26"/>
      <c r="E129" s="125">
        <v>10</v>
      </c>
      <c r="F129" s="125" t="s">
        <v>237</v>
      </c>
      <c r="G129" s="125" t="s">
        <v>143</v>
      </c>
      <c r="H129" s="118">
        <v>36336</v>
      </c>
      <c r="I129" s="125" t="s">
        <v>123</v>
      </c>
      <c r="J129" s="125" t="s">
        <v>124</v>
      </c>
      <c r="K129" s="126"/>
      <c r="L129" s="125" t="s">
        <v>125</v>
      </c>
      <c r="M129" s="56"/>
      <c r="N129" s="129" t="str">
        <f t="shared" si="124"/>
        <v>4R</v>
      </c>
      <c r="O129" s="125" t="str">
        <f t="shared" si="125"/>
        <v>4RBase</v>
      </c>
      <c r="Q129" s="119">
        <f t="shared" si="135"/>
        <v>0</v>
      </c>
      <c r="R129" s="127">
        <f t="shared" si="127"/>
        <v>0</v>
      </c>
      <c r="S129" s="127"/>
      <c r="T129" s="122">
        <v>37147</v>
      </c>
      <c r="U129" s="122"/>
      <c r="V129" s="121">
        <v>0</v>
      </c>
      <c r="W129" s="122">
        <f t="shared" si="130"/>
        <v>0</v>
      </c>
      <c r="X129" s="122">
        <f t="shared" si="131"/>
        <v>0</v>
      </c>
      <c r="Y129" s="122">
        <f t="shared" si="131"/>
        <v>0</v>
      </c>
      <c r="Z129" s="122">
        <f t="shared" si="131"/>
        <v>0</v>
      </c>
      <c r="AA129" s="122">
        <f t="shared" si="132"/>
        <v>0</v>
      </c>
      <c r="AB129" s="122">
        <f t="shared" si="136"/>
        <v>0</v>
      </c>
      <c r="AC129" s="122">
        <f t="shared" si="136"/>
        <v>0</v>
      </c>
      <c r="AD129" s="122">
        <f t="shared" si="136"/>
        <v>0</v>
      </c>
      <c r="AE129" s="122">
        <f t="shared" si="140"/>
        <v>0</v>
      </c>
      <c r="AF129" s="122">
        <f t="shared" si="140"/>
        <v>0</v>
      </c>
      <c r="AG129" s="122">
        <f t="shared" si="140"/>
        <v>0</v>
      </c>
      <c r="AH129" s="122">
        <f t="shared" si="140"/>
        <v>0</v>
      </c>
      <c r="AI129" s="122">
        <f t="shared" si="137"/>
        <v>0</v>
      </c>
      <c r="AJ129" s="122">
        <f t="shared" si="137"/>
        <v>0</v>
      </c>
      <c r="AK129" s="122">
        <f t="shared" si="137"/>
        <v>0</v>
      </c>
      <c r="AL129" s="122">
        <f t="shared" si="141"/>
        <v>0</v>
      </c>
      <c r="AM129" s="122">
        <f t="shared" si="141"/>
        <v>0</v>
      </c>
      <c r="AN129" s="122">
        <f t="shared" si="141"/>
        <v>0</v>
      </c>
      <c r="AO129" s="122">
        <f t="shared" si="141"/>
        <v>0</v>
      </c>
      <c r="AP129" s="122">
        <f t="shared" si="138"/>
        <v>0</v>
      </c>
      <c r="AQ129" s="122">
        <f t="shared" si="138"/>
        <v>0</v>
      </c>
      <c r="AR129" s="122">
        <f t="shared" si="138"/>
        <v>0</v>
      </c>
      <c r="AS129" s="122">
        <f t="shared" si="133"/>
        <v>0</v>
      </c>
      <c r="AT129" s="122">
        <f t="shared" si="133"/>
        <v>0</v>
      </c>
      <c r="AU129" s="122">
        <f t="shared" si="122"/>
        <v>0</v>
      </c>
      <c r="AV129" s="122">
        <f t="shared" si="121"/>
        <v>0</v>
      </c>
      <c r="AW129" s="122">
        <f t="shared" si="139"/>
        <v>0</v>
      </c>
      <c r="AX129" s="122">
        <f t="shared" si="139"/>
        <v>0</v>
      </c>
      <c r="AY129" s="122">
        <f t="shared" si="128"/>
        <v>0</v>
      </c>
      <c r="AZ129" s="122">
        <f t="shared" si="128"/>
        <v>0</v>
      </c>
      <c r="BA129" s="122"/>
      <c r="BB129" s="120">
        <f t="shared" si="142"/>
        <v>0</v>
      </c>
      <c r="BC129" s="122">
        <f t="shared" si="93"/>
        <v>0</v>
      </c>
      <c r="BD129" s="122">
        <f t="shared" si="88"/>
        <v>0</v>
      </c>
      <c r="BE129" s="122"/>
      <c r="BF129" s="127"/>
      <c r="BO129" s="128"/>
      <c r="GH129" s="125">
        <v>400</v>
      </c>
      <c r="GI129" s="24" t="s">
        <v>229</v>
      </c>
      <c r="HH129" s="129"/>
      <c r="HJ129" s="129"/>
      <c r="HL129" s="119">
        <f t="shared" si="117"/>
        <v>400</v>
      </c>
      <c r="HM129" s="127"/>
    </row>
    <row r="130" spans="1:221" s="130" customFormat="1" ht="16.5">
      <c r="A130" s="130" t="s">
        <v>233</v>
      </c>
      <c r="B130" s="131">
        <v>4</v>
      </c>
      <c r="C130" s="130">
        <v>116</v>
      </c>
      <c r="E130" s="130">
        <v>10</v>
      </c>
      <c r="F130" s="130" t="s">
        <v>238</v>
      </c>
      <c r="G130" s="130" t="s">
        <v>143</v>
      </c>
      <c r="H130" s="132">
        <v>36336</v>
      </c>
      <c r="I130" s="130" t="s">
        <v>123</v>
      </c>
      <c r="J130" s="130" t="s">
        <v>124</v>
      </c>
      <c r="K130" s="131"/>
      <c r="L130" s="130" t="s">
        <v>132</v>
      </c>
      <c r="M130" s="56"/>
      <c r="N130" s="130" t="str">
        <f t="shared" si="124"/>
        <v>4R</v>
      </c>
      <c r="O130" s="130" t="str">
        <f t="shared" si="125"/>
        <v>4RBase</v>
      </c>
      <c r="Q130" s="119">
        <f t="shared" si="135"/>
        <v>0</v>
      </c>
      <c r="R130" s="133">
        <f t="shared" si="127"/>
        <v>0</v>
      </c>
      <c r="S130" s="133"/>
      <c r="T130" s="134">
        <v>37147</v>
      </c>
      <c r="U130" s="134"/>
      <c r="V130" s="206">
        <v>0</v>
      </c>
      <c r="W130" s="134">
        <f t="shared" si="130"/>
        <v>0</v>
      </c>
      <c r="X130" s="134">
        <f>W130</f>
        <v>0</v>
      </c>
      <c r="Y130" s="134">
        <f t="shared" ref="Y130:AZ130" si="143">X130</f>
        <v>0</v>
      </c>
      <c r="Z130" s="134">
        <f t="shared" si="143"/>
        <v>0</v>
      </c>
      <c r="AA130" s="134">
        <f t="shared" si="143"/>
        <v>0</v>
      </c>
      <c r="AB130" s="134">
        <f t="shared" si="143"/>
        <v>0</v>
      </c>
      <c r="AC130" s="134">
        <f t="shared" si="143"/>
        <v>0</v>
      </c>
      <c r="AD130" s="134">
        <f t="shared" si="143"/>
        <v>0</v>
      </c>
      <c r="AE130" s="134">
        <f t="shared" si="143"/>
        <v>0</v>
      </c>
      <c r="AF130" s="134">
        <f t="shared" si="143"/>
        <v>0</v>
      </c>
      <c r="AG130" s="134">
        <f t="shared" si="143"/>
        <v>0</v>
      </c>
      <c r="AH130" s="134">
        <f t="shared" si="143"/>
        <v>0</v>
      </c>
      <c r="AI130" s="134">
        <f t="shared" si="143"/>
        <v>0</v>
      </c>
      <c r="AJ130" s="134">
        <f t="shared" si="143"/>
        <v>0</v>
      </c>
      <c r="AK130" s="134">
        <f t="shared" si="143"/>
        <v>0</v>
      </c>
      <c r="AL130" s="134">
        <f t="shared" si="143"/>
        <v>0</v>
      </c>
      <c r="AM130" s="134">
        <f t="shared" si="143"/>
        <v>0</v>
      </c>
      <c r="AN130" s="134">
        <f t="shared" si="143"/>
        <v>0</v>
      </c>
      <c r="AO130" s="134">
        <f t="shared" si="143"/>
        <v>0</v>
      </c>
      <c r="AP130" s="134">
        <f t="shared" si="143"/>
        <v>0</v>
      </c>
      <c r="AQ130" s="134">
        <f t="shared" si="143"/>
        <v>0</v>
      </c>
      <c r="AR130" s="134">
        <f t="shared" si="143"/>
        <v>0</v>
      </c>
      <c r="AS130" s="134">
        <f t="shared" si="143"/>
        <v>0</v>
      </c>
      <c r="AT130" s="134">
        <f t="shared" si="143"/>
        <v>0</v>
      </c>
      <c r="AU130" s="134">
        <f t="shared" si="143"/>
        <v>0</v>
      </c>
      <c r="AV130" s="134">
        <f t="shared" si="143"/>
        <v>0</v>
      </c>
      <c r="AW130" s="134">
        <f t="shared" si="143"/>
        <v>0</v>
      </c>
      <c r="AX130" s="134">
        <f t="shared" si="143"/>
        <v>0</v>
      </c>
      <c r="AY130" s="134">
        <f t="shared" si="143"/>
        <v>0</v>
      </c>
      <c r="AZ130" s="134">
        <f t="shared" si="143"/>
        <v>0</v>
      </c>
      <c r="BA130" s="134"/>
      <c r="BB130" s="209">
        <f t="shared" si="142"/>
        <v>0</v>
      </c>
      <c r="BC130" s="122">
        <f t="shared" si="93"/>
        <v>0</v>
      </c>
      <c r="BD130" s="122">
        <f t="shared" si="88"/>
        <v>0</v>
      </c>
      <c r="BE130" s="134"/>
      <c r="BF130" s="133"/>
      <c r="BO130" s="135"/>
      <c r="GI130" s="125"/>
      <c r="GL130" s="130">
        <v>417</v>
      </c>
      <c r="GM130" s="130" t="s">
        <v>133</v>
      </c>
      <c r="HH130" s="136"/>
      <c r="HJ130" s="136"/>
      <c r="HL130" s="137">
        <f t="shared" si="117"/>
        <v>417</v>
      </c>
      <c r="HM130" s="133"/>
    </row>
    <row r="131" spans="1:221" s="125" customFormat="1" ht="15.75">
      <c r="A131" s="125" t="s">
        <v>239</v>
      </c>
      <c r="B131" s="126" t="s">
        <v>240</v>
      </c>
      <c r="D131" s="26"/>
      <c r="E131" s="125">
        <v>10</v>
      </c>
      <c r="F131" s="125" t="s">
        <v>241</v>
      </c>
      <c r="G131" s="125" t="s">
        <v>242</v>
      </c>
      <c r="H131" s="118">
        <v>36336</v>
      </c>
      <c r="I131" s="125" t="s">
        <v>123</v>
      </c>
      <c r="J131" s="125" t="s">
        <v>136</v>
      </c>
      <c r="K131" s="126"/>
      <c r="L131" s="125" t="s">
        <v>125</v>
      </c>
      <c r="M131" s="72"/>
      <c r="N131" s="125" t="str">
        <f t="shared" si="124"/>
        <v>loudounW</v>
      </c>
      <c r="O131" s="125" t="str">
        <f t="shared" si="125"/>
        <v>loudounWBase</v>
      </c>
      <c r="Q131" s="119">
        <f t="shared" si="135"/>
        <v>0</v>
      </c>
      <c r="R131" s="127">
        <f t="shared" si="127"/>
        <v>0</v>
      </c>
      <c r="S131" s="127"/>
      <c r="T131" s="122">
        <v>37147</v>
      </c>
      <c r="U131" s="122"/>
      <c r="V131" s="121">
        <v>0</v>
      </c>
      <c r="W131" s="122">
        <f t="shared" si="130"/>
        <v>0</v>
      </c>
      <c r="X131" s="122">
        <f t="shared" ref="X131:X140" si="144">W131</f>
        <v>0</v>
      </c>
      <c r="Y131" s="122">
        <f t="shared" ref="Y131:Y140" si="145">X131</f>
        <v>0</v>
      </c>
      <c r="Z131" s="122">
        <f t="shared" ref="Z131:Z140" si="146">Y131</f>
        <v>0</v>
      </c>
      <c r="AA131" s="122">
        <f t="shared" ref="AA131:AA140" si="147">Z131</f>
        <v>0</v>
      </c>
      <c r="AB131" s="122">
        <f t="shared" si="136"/>
        <v>0</v>
      </c>
      <c r="AC131" s="122">
        <f t="shared" si="136"/>
        <v>0</v>
      </c>
      <c r="AD131" s="122">
        <f t="shared" si="136"/>
        <v>0</v>
      </c>
      <c r="AE131" s="122">
        <f t="shared" ref="AE131:AF140" si="148">AD131</f>
        <v>0</v>
      </c>
      <c r="AF131" s="122">
        <f t="shared" si="148"/>
        <v>0</v>
      </c>
      <c r="AG131" s="122">
        <f t="shared" ref="AG131:AH140" si="149">AF131</f>
        <v>0</v>
      </c>
      <c r="AH131" s="122">
        <f t="shared" si="149"/>
        <v>0</v>
      </c>
      <c r="AI131" s="122">
        <f t="shared" si="137"/>
        <v>0</v>
      </c>
      <c r="AJ131" s="122">
        <f t="shared" si="137"/>
        <v>0</v>
      </c>
      <c r="AK131" s="122">
        <f t="shared" si="137"/>
        <v>0</v>
      </c>
      <c r="AL131" s="122">
        <f t="shared" ref="AL131:AL140" si="150">AK131</f>
        <v>0</v>
      </c>
      <c r="AM131" s="122">
        <f t="shared" ref="AM131:AM140" si="151">AL131</f>
        <v>0</v>
      </c>
      <c r="AN131" s="122">
        <f t="shared" ref="AN131:AN140" si="152">AM131</f>
        <v>0</v>
      </c>
      <c r="AO131" s="122">
        <f t="shared" ref="AO131:AO140" si="153">AN131</f>
        <v>0</v>
      </c>
      <c r="AP131" s="122">
        <f t="shared" ref="AP131:AQ140" si="154">AO131</f>
        <v>0</v>
      </c>
      <c r="AQ131" s="122">
        <f t="shared" si="154"/>
        <v>0</v>
      </c>
      <c r="AR131" s="122">
        <f t="shared" ref="AR131:AR140" si="155">AQ131</f>
        <v>0</v>
      </c>
      <c r="AS131" s="122">
        <f t="shared" si="133"/>
        <v>0</v>
      </c>
      <c r="AT131" s="122">
        <f t="shared" si="133"/>
        <v>0</v>
      </c>
      <c r="AU131" s="122">
        <f t="shared" si="122"/>
        <v>0</v>
      </c>
      <c r="AV131" s="122">
        <f t="shared" ref="AV131:AV140" si="156">AU131</f>
        <v>0</v>
      </c>
      <c r="AW131" s="122">
        <f t="shared" ref="AW131:AX140" si="157">AV131</f>
        <v>0</v>
      </c>
      <c r="AX131" s="122">
        <f t="shared" si="157"/>
        <v>0</v>
      </c>
      <c r="AY131" s="122">
        <f t="shared" ref="AY131:AZ140" si="158">AX131</f>
        <v>0</v>
      </c>
      <c r="AZ131" s="122">
        <f t="shared" si="158"/>
        <v>0</v>
      </c>
      <c r="BA131" s="122"/>
      <c r="BB131" s="120">
        <f t="shared" si="142"/>
        <v>0</v>
      </c>
      <c r="BC131" s="122">
        <f t="shared" si="93"/>
        <v>0</v>
      </c>
      <c r="BD131" s="122">
        <f t="shared" si="88"/>
        <v>0</v>
      </c>
      <c r="BE131" s="122"/>
      <c r="BF131" s="127"/>
      <c r="BO131" s="128"/>
      <c r="BU131" s="125" t="s">
        <v>243</v>
      </c>
      <c r="CO131" s="125" t="s">
        <v>244</v>
      </c>
      <c r="HH131" s="129"/>
      <c r="HJ131" s="129"/>
      <c r="HL131" s="119">
        <f t="shared" si="117"/>
        <v>0</v>
      </c>
      <c r="HM131" s="127"/>
    </row>
    <row r="132" spans="1:221" s="125" customFormat="1" ht="15.75">
      <c r="A132" s="125" t="s">
        <v>28</v>
      </c>
      <c r="B132" s="126">
        <v>46</v>
      </c>
      <c r="D132" s="26">
        <v>30</v>
      </c>
      <c r="E132" s="125">
        <v>10</v>
      </c>
      <c r="F132" s="125" t="s">
        <v>127</v>
      </c>
      <c r="G132" s="125" t="s">
        <v>151</v>
      </c>
      <c r="H132" s="118">
        <v>36336</v>
      </c>
      <c r="I132" s="125" t="s">
        <v>123</v>
      </c>
      <c r="J132" s="125" t="s">
        <v>124</v>
      </c>
      <c r="K132" s="126"/>
      <c r="L132" s="125" t="s">
        <v>132</v>
      </c>
      <c r="M132" s="72"/>
      <c r="N132" s="125" t="str">
        <f t="shared" si="124"/>
        <v>46R</v>
      </c>
      <c r="O132" s="125" t="str">
        <f t="shared" si="125"/>
        <v>46RBase</v>
      </c>
      <c r="Q132" s="119">
        <f t="shared" si="135"/>
        <v>0</v>
      </c>
      <c r="R132" s="127">
        <f t="shared" si="127"/>
        <v>0</v>
      </c>
      <c r="S132" s="127"/>
      <c r="T132" s="122">
        <v>37147</v>
      </c>
      <c r="U132" s="122"/>
      <c r="V132" s="121">
        <v>0</v>
      </c>
      <c r="W132" s="122">
        <f t="shared" si="130"/>
        <v>0</v>
      </c>
      <c r="X132" s="122">
        <f t="shared" si="144"/>
        <v>0</v>
      </c>
      <c r="Y132" s="122">
        <f t="shared" si="145"/>
        <v>0</v>
      </c>
      <c r="Z132" s="122">
        <f t="shared" si="146"/>
        <v>0</v>
      </c>
      <c r="AA132" s="122">
        <f t="shared" si="147"/>
        <v>0</v>
      </c>
      <c r="AB132" s="122">
        <f t="shared" si="136"/>
        <v>0</v>
      </c>
      <c r="AC132" s="122">
        <f t="shared" si="136"/>
        <v>0</v>
      </c>
      <c r="AD132" s="122">
        <f t="shared" si="136"/>
        <v>0</v>
      </c>
      <c r="AE132" s="122">
        <f t="shared" si="148"/>
        <v>0</v>
      </c>
      <c r="AF132" s="122">
        <f t="shared" si="148"/>
        <v>0</v>
      </c>
      <c r="AG132" s="122">
        <f t="shared" si="149"/>
        <v>0</v>
      </c>
      <c r="AH132" s="122">
        <f t="shared" si="149"/>
        <v>0</v>
      </c>
      <c r="AI132" s="122">
        <f t="shared" si="137"/>
        <v>0</v>
      </c>
      <c r="AJ132" s="122">
        <f t="shared" si="137"/>
        <v>0</v>
      </c>
      <c r="AK132" s="122">
        <f t="shared" si="137"/>
        <v>0</v>
      </c>
      <c r="AL132" s="122">
        <f t="shared" si="150"/>
        <v>0</v>
      </c>
      <c r="AM132" s="122">
        <f t="shared" si="151"/>
        <v>0</v>
      </c>
      <c r="AN132" s="122">
        <f t="shared" si="152"/>
        <v>0</v>
      </c>
      <c r="AO132" s="122">
        <f t="shared" si="153"/>
        <v>0</v>
      </c>
      <c r="AP132" s="122">
        <f t="shared" si="154"/>
        <v>0</v>
      </c>
      <c r="AQ132" s="122">
        <f t="shared" si="154"/>
        <v>0</v>
      </c>
      <c r="AR132" s="122">
        <f t="shared" si="155"/>
        <v>0</v>
      </c>
      <c r="AS132" s="122">
        <f t="shared" si="133"/>
        <v>0</v>
      </c>
      <c r="AT132" s="122">
        <f t="shared" si="133"/>
        <v>0</v>
      </c>
      <c r="AU132" s="122">
        <f t="shared" si="122"/>
        <v>0</v>
      </c>
      <c r="AV132" s="122">
        <f t="shared" si="156"/>
        <v>0</v>
      </c>
      <c r="AW132" s="122">
        <f t="shared" si="157"/>
        <v>0</v>
      </c>
      <c r="AX132" s="122">
        <f t="shared" si="157"/>
        <v>0</v>
      </c>
      <c r="AY132" s="122">
        <f t="shared" si="158"/>
        <v>0</v>
      </c>
      <c r="AZ132" s="122">
        <f t="shared" si="158"/>
        <v>0</v>
      </c>
      <c r="BA132" s="122"/>
      <c r="BB132" s="120">
        <f t="shared" si="142"/>
        <v>0</v>
      </c>
      <c r="BC132" s="122">
        <f t="shared" si="93"/>
        <v>0</v>
      </c>
      <c r="BD132" s="122">
        <f t="shared" si="88"/>
        <v>0</v>
      </c>
      <c r="BE132" s="122"/>
      <c r="BF132" s="127"/>
      <c r="BO132" s="128"/>
      <c r="GL132" s="197">
        <v>971</v>
      </c>
      <c r="GM132" s="197" t="s">
        <v>158</v>
      </c>
      <c r="GN132" s="197"/>
      <c r="HH132" s="129"/>
      <c r="HJ132" s="129"/>
      <c r="HL132" s="119">
        <f t="shared" si="117"/>
        <v>971</v>
      </c>
      <c r="HM132" s="127"/>
    </row>
    <row r="133" spans="1:221" s="125" customFormat="1" ht="15.75">
      <c r="A133" s="125" t="s">
        <v>28</v>
      </c>
      <c r="B133" s="126">
        <v>46</v>
      </c>
      <c r="D133" s="26">
        <v>30</v>
      </c>
      <c r="E133" s="125">
        <v>10</v>
      </c>
      <c r="F133" s="125" t="s">
        <v>127</v>
      </c>
      <c r="G133" s="125" t="s">
        <v>151</v>
      </c>
      <c r="H133" s="118">
        <v>36336</v>
      </c>
      <c r="I133" s="125" t="s">
        <v>123</v>
      </c>
      <c r="J133" s="125" t="s">
        <v>124</v>
      </c>
      <c r="K133" s="126"/>
      <c r="L133" s="125" t="s">
        <v>125</v>
      </c>
      <c r="M133" s="182" t="s">
        <v>349</v>
      </c>
      <c r="N133" s="125" t="str">
        <f>CONCATENATE(B133,J133)</f>
        <v>46R</v>
      </c>
      <c r="O133" s="125" t="str">
        <f>CONCATENATE(B133,J133,I133)</f>
        <v>46RBase</v>
      </c>
      <c r="Q133" s="119">
        <f t="shared" si="135"/>
        <v>0</v>
      </c>
      <c r="R133" s="127">
        <f t="shared" si="127"/>
        <v>0</v>
      </c>
      <c r="S133" s="127"/>
      <c r="T133" s="122">
        <v>37147</v>
      </c>
      <c r="U133" s="122"/>
      <c r="V133" s="121">
        <v>0</v>
      </c>
      <c r="W133" s="122">
        <f t="shared" si="130"/>
        <v>0</v>
      </c>
      <c r="X133" s="122">
        <f t="shared" si="144"/>
        <v>0</v>
      </c>
      <c r="Y133" s="122">
        <f t="shared" si="145"/>
        <v>0</v>
      </c>
      <c r="Z133" s="122">
        <f t="shared" si="146"/>
        <v>0</v>
      </c>
      <c r="AA133" s="122">
        <f t="shared" si="147"/>
        <v>0</v>
      </c>
      <c r="AB133" s="122">
        <f t="shared" si="136"/>
        <v>0</v>
      </c>
      <c r="AC133" s="122">
        <f t="shared" si="136"/>
        <v>0</v>
      </c>
      <c r="AD133" s="122">
        <f t="shared" si="136"/>
        <v>0</v>
      </c>
      <c r="AE133" s="122">
        <f t="shared" si="148"/>
        <v>0</v>
      </c>
      <c r="AF133" s="122">
        <f t="shared" si="148"/>
        <v>0</v>
      </c>
      <c r="AG133" s="122">
        <f t="shared" si="149"/>
        <v>0</v>
      </c>
      <c r="AH133" s="122">
        <f t="shared" si="149"/>
        <v>0</v>
      </c>
      <c r="AI133" s="122">
        <f t="shared" si="137"/>
        <v>0</v>
      </c>
      <c r="AJ133" s="122">
        <f t="shared" si="137"/>
        <v>0</v>
      </c>
      <c r="AK133" s="122">
        <f t="shared" si="137"/>
        <v>0</v>
      </c>
      <c r="AL133" s="122">
        <f t="shared" si="150"/>
        <v>0</v>
      </c>
      <c r="AM133" s="122">
        <f t="shared" si="151"/>
        <v>0</v>
      </c>
      <c r="AN133" s="122">
        <f t="shared" si="152"/>
        <v>0</v>
      </c>
      <c r="AO133" s="122">
        <f t="shared" si="153"/>
        <v>0</v>
      </c>
      <c r="AP133" s="122">
        <f t="shared" si="154"/>
        <v>0</v>
      </c>
      <c r="AQ133" s="122">
        <f t="shared" si="154"/>
        <v>0</v>
      </c>
      <c r="AR133" s="122">
        <f t="shared" si="155"/>
        <v>0</v>
      </c>
      <c r="AS133" s="122">
        <f t="shared" si="133"/>
        <v>0</v>
      </c>
      <c r="AT133" s="122">
        <f t="shared" si="133"/>
        <v>0</v>
      </c>
      <c r="AU133" s="122">
        <f t="shared" si="122"/>
        <v>0</v>
      </c>
      <c r="AV133" s="122">
        <f t="shared" si="156"/>
        <v>0</v>
      </c>
      <c r="AW133" s="122">
        <f t="shared" si="157"/>
        <v>0</v>
      </c>
      <c r="AX133" s="122">
        <f t="shared" si="157"/>
        <v>0</v>
      </c>
      <c r="AY133" s="122">
        <f t="shared" si="158"/>
        <v>0</v>
      </c>
      <c r="AZ133" s="122">
        <f t="shared" si="158"/>
        <v>0</v>
      </c>
      <c r="BA133" s="122"/>
      <c r="BB133" s="120">
        <f t="shared" si="142"/>
        <v>0</v>
      </c>
      <c r="BC133" s="122">
        <f t="shared" si="93"/>
        <v>0</v>
      </c>
      <c r="BD133" s="122">
        <f t="shared" si="88"/>
        <v>0</v>
      </c>
      <c r="BE133" s="122"/>
      <c r="BF133" s="127"/>
      <c r="BO133" s="128"/>
      <c r="GL133" s="197">
        <v>120</v>
      </c>
      <c r="GM133" s="197" t="s">
        <v>158</v>
      </c>
      <c r="GN133" s="197"/>
      <c r="HH133" s="129"/>
      <c r="HJ133" s="129"/>
      <c r="HL133" s="119">
        <f t="shared" si="117"/>
        <v>120</v>
      </c>
      <c r="HM133" s="127"/>
    </row>
    <row r="134" spans="1:221" s="125" customFormat="1" ht="15.75">
      <c r="A134" s="125" t="s">
        <v>28</v>
      </c>
      <c r="B134" s="126">
        <v>46</v>
      </c>
      <c r="D134" s="26">
        <v>31</v>
      </c>
      <c r="E134" s="125">
        <v>10</v>
      </c>
      <c r="F134" s="125" t="s">
        <v>127</v>
      </c>
      <c r="G134" s="125" t="s">
        <v>151</v>
      </c>
      <c r="H134" s="118">
        <v>36336</v>
      </c>
      <c r="I134" s="125" t="s">
        <v>123</v>
      </c>
      <c r="J134" s="125" t="s">
        <v>124</v>
      </c>
      <c r="K134" s="126"/>
      <c r="L134" s="125" t="s">
        <v>132</v>
      </c>
      <c r="M134" s="56"/>
      <c r="N134" s="125" t="str">
        <f t="shared" si="124"/>
        <v>46R</v>
      </c>
      <c r="O134" s="125" t="str">
        <f t="shared" si="125"/>
        <v>46RBase</v>
      </c>
      <c r="Q134" s="119">
        <f t="shared" si="135"/>
        <v>0</v>
      </c>
      <c r="R134" s="127">
        <f t="shared" si="127"/>
        <v>0</v>
      </c>
      <c r="S134" s="127"/>
      <c r="T134" s="122">
        <v>37147</v>
      </c>
      <c r="U134" s="122"/>
      <c r="V134" s="121">
        <v>0</v>
      </c>
      <c r="W134" s="122">
        <f t="shared" si="130"/>
        <v>0</v>
      </c>
      <c r="X134" s="122">
        <f t="shared" si="144"/>
        <v>0</v>
      </c>
      <c r="Y134" s="122">
        <f t="shared" si="145"/>
        <v>0</v>
      </c>
      <c r="Z134" s="122">
        <f t="shared" si="146"/>
        <v>0</v>
      </c>
      <c r="AA134" s="122">
        <f t="shared" si="147"/>
        <v>0</v>
      </c>
      <c r="AB134" s="122">
        <f t="shared" si="136"/>
        <v>0</v>
      </c>
      <c r="AC134" s="122">
        <f t="shared" si="136"/>
        <v>0</v>
      </c>
      <c r="AD134" s="122">
        <f t="shared" si="136"/>
        <v>0</v>
      </c>
      <c r="AE134" s="122">
        <f t="shared" si="148"/>
        <v>0</v>
      </c>
      <c r="AF134" s="122">
        <f t="shared" si="148"/>
        <v>0</v>
      </c>
      <c r="AG134" s="122">
        <f t="shared" si="149"/>
        <v>0</v>
      </c>
      <c r="AH134" s="122">
        <f t="shared" si="149"/>
        <v>0</v>
      </c>
      <c r="AI134" s="122">
        <f t="shared" si="137"/>
        <v>0</v>
      </c>
      <c r="AJ134" s="122">
        <f t="shared" si="137"/>
        <v>0</v>
      </c>
      <c r="AK134" s="122">
        <f t="shared" si="137"/>
        <v>0</v>
      </c>
      <c r="AL134" s="122">
        <f t="shared" si="150"/>
        <v>0</v>
      </c>
      <c r="AM134" s="122">
        <f t="shared" si="151"/>
        <v>0</v>
      </c>
      <c r="AN134" s="122">
        <f t="shared" si="152"/>
        <v>0</v>
      </c>
      <c r="AO134" s="122">
        <f t="shared" si="153"/>
        <v>0</v>
      </c>
      <c r="AP134" s="122">
        <f t="shared" si="154"/>
        <v>0</v>
      </c>
      <c r="AQ134" s="122">
        <f t="shared" si="154"/>
        <v>0</v>
      </c>
      <c r="AR134" s="122">
        <f t="shared" si="155"/>
        <v>0</v>
      </c>
      <c r="AS134" s="122">
        <f t="shared" si="133"/>
        <v>0</v>
      </c>
      <c r="AT134" s="122">
        <f t="shared" si="133"/>
        <v>0</v>
      </c>
      <c r="AU134" s="122">
        <f t="shared" si="122"/>
        <v>0</v>
      </c>
      <c r="AV134" s="122">
        <f t="shared" si="156"/>
        <v>0</v>
      </c>
      <c r="AW134" s="122">
        <f t="shared" si="157"/>
        <v>0</v>
      </c>
      <c r="AX134" s="122">
        <f t="shared" si="157"/>
        <v>0</v>
      </c>
      <c r="AY134" s="122">
        <f t="shared" si="158"/>
        <v>0</v>
      </c>
      <c r="AZ134" s="122">
        <f t="shared" si="158"/>
        <v>0</v>
      </c>
      <c r="BA134" s="122"/>
      <c r="BB134" s="120">
        <f t="shared" si="142"/>
        <v>0</v>
      </c>
      <c r="BC134" s="122">
        <f t="shared" si="93"/>
        <v>0</v>
      </c>
      <c r="BD134" s="122">
        <f t="shared" si="88"/>
        <v>0</v>
      </c>
      <c r="BE134" s="122"/>
      <c r="BF134" s="127"/>
      <c r="BO134" s="128"/>
      <c r="ED134" s="125">
        <v>911</v>
      </c>
      <c r="EE134" s="125" t="s">
        <v>229</v>
      </c>
      <c r="GL134" s="125">
        <v>709</v>
      </c>
      <c r="GM134" s="125" t="s">
        <v>403</v>
      </c>
      <c r="HH134" s="129"/>
      <c r="HJ134" s="129"/>
      <c r="HL134" s="119">
        <f t="shared" si="117"/>
        <v>1620</v>
      </c>
      <c r="HM134" s="127"/>
    </row>
    <row r="135" spans="1:221" s="125" customFormat="1" ht="15.75">
      <c r="A135" s="125" t="s">
        <v>28</v>
      </c>
      <c r="B135" s="126">
        <v>46</v>
      </c>
      <c r="D135" s="26">
        <v>30</v>
      </c>
      <c r="E135" s="125">
        <v>10</v>
      </c>
      <c r="F135" s="125" t="s">
        <v>166</v>
      </c>
      <c r="G135" s="125" t="s">
        <v>151</v>
      </c>
      <c r="H135" s="118">
        <v>36336</v>
      </c>
      <c r="I135" s="125" t="s">
        <v>123</v>
      </c>
      <c r="J135" s="125" t="s">
        <v>124</v>
      </c>
      <c r="K135" s="126"/>
      <c r="L135" s="125" t="s">
        <v>125</v>
      </c>
      <c r="M135" s="56" t="s">
        <v>348</v>
      </c>
      <c r="N135" s="125" t="str">
        <f t="shared" si="124"/>
        <v>46R</v>
      </c>
      <c r="O135" s="125" t="str">
        <f t="shared" si="125"/>
        <v>46RBase</v>
      </c>
      <c r="Q135" s="119">
        <f t="shared" si="135"/>
        <v>0</v>
      </c>
      <c r="R135" s="127">
        <f t="shared" si="127"/>
        <v>0</v>
      </c>
      <c r="S135" s="127"/>
      <c r="T135" s="122">
        <v>37147</v>
      </c>
      <c r="U135" s="122"/>
      <c r="V135" s="121">
        <v>0</v>
      </c>
      <c r="W135" s="122">
        <f t="shared" si="130"/>
        <v>0</v>
      </c>
      <c r="X135" s="122">
        <f t="shared" si="144"/>
        <v>0</v>
      </c>
      <c r="Y135" s="122">
        <f t="shared" si="145"/>
        <v>0</v>
      </c>
      <c r="Z135" s="122">
        <f t="shared" si="146"/>
        <v>0</v>
      </c>
      <c r="AA135" s="122">
        <f t="shared" si="147"/>
        <v>0</v>
      </c>
      <c r="AB135" s="122">
        <f t="shared" si="136"/>
        <v>0</v>
      </c>
      <c r="AC135" s="122">
        <f t="shared" si="136"/>
        <v>0</v>
      </c>
      <c r="AD135" s="122">
        <f t="shared" si="136"/>
        <v>0</v>
      </c>
      <c r="AE135" s="122">
        <f t="shared" si="148"/>
        <v>0</v>
      </c>
      <c r="AF135" s="122">
        <f t="shared" si="148"/>
        <v>0</v>
      </c>
      <c r="AG135" s="122">
        <f t="shared" si="149"/>
        <v>0</v>
      </c>
      <c r="AH135" s="122">
        <f t="shared" si="149"/>
        <v>0</v>
      </c>
      <c r="AI135" s="122">
        <f t="shared" si="137"/>
        <v>0</v>
      </c>
      <c r="AJ135" s="122">
        <f t="shared" si="137"/>
        <v>0</v>
      </c>
      <c r="AK135" s="122">
        <f t="shared" si="137"/>
        <v>0</v>
      </c>
      <c r="AL135" s="122">
        <f t="shared" si="150"/>
        <v>0</v>
      </c>
      <c r="AM135" s="122">
        <f t="shared" si="151"/>
        <v>0</v>
      </c>
      <c r="AN135" s="122">
        <f t="shared" si="152"/>
        <v>0</v>
      </c>
      <c r="AO135" s="122">
        <f t="shared" si="153"/>
        <v>0</v>
      </c>
      <c r="AP135" s="122">
        <f t="shared" si="154"/>
        <v>0</v>
      </c>
      <c r="AQ135" s="122">
        <f t="shared" si="154"/>
        <v>0</v>
      </c>
      <c r="AR135" s="122">
        <f t="shared" si="155"/>
        <v>0</v>
      </c>
      <c r="AS135" s="122">
        <f t="shared" si="133"/>
        <v>0</v>
      </c>
      <c r="AT135" s="122">
        <f t="shared" si="133"/>
        <v>0</v>
      </c>
      <c r="AU135" s="122">
        <f t="shared" si="122"/>
        <v>0</v>
      </c>
      <c r="AV135" s="122">
        <f t="shared" si="156"/>
        <v>0</v>
      </c>
      <c r="AW135" s="122">
        <f t="shared" si="157"/>
        <v>0</v>
      </c>
      <c r="AX135" s="122">
        <f t="shared" si="157"/>
        <v>0</v>
      </c>
      <c r="AY135" s="122">
        <f t="shared" si="158"/>
        <v>0</v>
      </c>
      <c r="AZ135" s="122">
        <f t="shared" si="158"/>
        <v>0</v>
      </c>
      <c r="BA135" s="122"/>
      <c r="BB135" s="120">
        <f t="shared" si="142"/>
        <v>0</v>
      </c>
      <c r="BC135" s="122">
        <f t="shared" si="93"/>
        <v>0</v>
      </c>
      <c r="BD135" s="122">
        <f t="shared" si="88"/>
        <v>0</v>
      </c>
      <c r="BE135" s="122"/>
      <c r="BF135" s="127"/>
      <c r="BO135" s="128"/>
      <c r="BZ135" s="125">
        <v>2</v>
      </c>
      <c r="CA135" s="125" t="s">
        <v>145</v>
      </c>
      <c r="DD135" s="125">
        <v>6</v>
      </c>
      <c r="DE135" s="125" t="s">
        <v>167</v>
      </c>
      <c r="DN135" s="125">
        <v>33</v>
      </c>
      <c r="DO135" s="125" t="s">
        <v>167</v>
      </c>
      <c r="DT135" s="125">
        <v>303</v>
      </c>
      <c r="DU135" s="125" t="s">
        <v>147</v>
      </c>
      <c r="EJ135" s="125">
        <v>51</v>
      </c>
      <c r="EK135" s="125" t="s">
        <v>145</v>
      </c>
      <c r="GL135" s="125">
        <v>849</v>
      </c>
      <c r="GM135" s="125" t="s">
        <v>162</v>
      </c>
      <c r="HH135" s="129"/>
      <c r="HJ135" s="129"/>
      <c r="HL135" s="119">
        <f t="shared" si="117"/>
        <v>1244</v>
      </c>
      <c r="HM135" s="127"/>
    </row>
    <row r="136" spans="1:221" s="125" customFormat="1" ht="15.75">
      <c r="A136" s="125" t="s">
        <v>245</v>
      </c>
      <c r="B136" s="126">
        <v>62</v>
      </c>
      <c r="D136" s="26"/>
      <c r="E136" s="125">
        <v>10</v>
      </c>
      <c r="F136" s="125" t="s">
        <v>127</v>
      </c>
      <c r="G136" s="125" t="s">
        <v>331</v>
      </c>
      <c r="H136" s="118">
        <v>36336</v>
      </c>
      <c r="I136" s="125" t="s">
        <v>123</v>
      </c>
      <c r="J136" s="125" t="s">
        <v>124</v>
      </c>
      <c r="K136" s="126"/>
      <c r="L136" s="125" t="s">
        <v>125</v>
      </c>
      <c r="M136" s="56"/>
      <c r="N136" s="125" t="str">
        <f t="shared" si="124"/>
        <v>62R</v>
      </c>
      <c r="O136" s="125" t="str">
        <f t="shared" si="125"/>
        <v>62RBase</v>
      </c>
      <c r="Q136" s="119">
        <f t="shared" si="135"/>
        <v>0</v>
      </c>
      <c r="R136" s="127">
        <f t="shared" si="127"/>
        <v>0</v>
      </c>
      <c r="S136" s="127"/>
      <c r="T136" s="122">
        <v>37147</v>
      </c>
      <c r="U136" s="122"/>
      <c r="V136" s="121">
        <v>0</v>
      </c>
      <c r="W136" s="122">
        <f t="shared" si="130"/>
        <v>0</v>
      </c>
      <c r="X136" s="122">
        <f t="shared" si="144"/>
        <v>0</v>
      </c>
      <c r="Y136" s="122">
        <f t="shared" si="145"/>
        <v>0</v>
      </c>
      <c r="Z136" s="122">
        <f t="shared" si="146"/>
        <v>0</v>
      </c>
      <c r="AA136" s="122">
        <f t="shared" si="147"/>
        <v>0</v>
      </c>
      <c r="AB136" s="122">
        <f t="shared" si="136"/>
        <v>0</v>
      </c>
      <c r="AC136" s="122">
        <f t="shared" si="136"/>
        <v>0</v>
      </c>
      <c r="AD136" s="122">
        <f t="shared" si="136"/>
        <v>0</v>
      </c>
      <c r="AE136" s="122">
        <f t="shared" si="148"/>
        <v>0</v>
      </c>
      <c r="AF136" s="122">
        <f t="shared" si="148"/>
        <v>0</v>
      </c>
      <c r="AG136" s="122">
        <f t="shared" si="149"/>
        <v>0</v>
      </c>
      <c r="AH136" s="122">
        <f t="shared" si="149"/>
        <v>0</v>
      </c>
      <c r="AI136" s="122">
        <f t="shared" si="137"/>
        <v>0</v>
      </c>
      <c r="AJ136" s="122">
        <f t="shared" si="137"/>
        <v>0</v>
      </c>
      <c r="AK136" s="122">
        <f t="shared" si="137"/>
        <v>0</v>
      </c>
      <c r="AL136" s="122">
        <f t="shared" si="150"/>
        <v>0</v>
      </c>
      <c r="AM136" s="122">
        <f t="shared" si="151"/>
        <v>0</v>
      </c>
      <c r="AN136" s="122">
        <f t="shared" si="152"/>
        <v>0</v>
      </c>
      <c r="AO136" s="122">
        <f t="shared" si="153"/>
        <v>0</v>
      </c>
      <c r="AP136" s="122">
        <f t="shared" si="154"/>
        <v>0</v>
      </c>
      <c r="AQ136" s="122">
        <f t="shared" si="154"/>
        <v>0</v>
      </c>
      <c r="AR136" s="122">
        <f t="shared" si="155"/>
        <v>0</v>
      </c>
      <c r="AS136" s="122">
        <f t="shared" si="133"/>
        <v>0</v>
      </c>
      <c r="AT136" s="122">
        <f t="shared" si="133"/>
        <v>0</v>
      </c>
      <c r="AU136" s="122">
        <f t="shared" si="122"/>
        <v>0</v>
      </c>
      <c r="AV136" s="122">
        <f t="shared" si="156"/>
        <v>0</v>
      </c>
      <c r="AW136" s="122">
        <f t="shared" si="157"/>
        <v>0</v>
      </c>
      <c r="AX136" s="122">
        <f t="shared" si="157"/>
        <v>0</v>
      </c>
      <c r="AY136" s="122">
        <f t="shared" si="158"/>
        <v>0</v>
      </c>
      <c r="AZ136" s="122">
        <f t="shared" si="158"/>
        <v>0</v>
      </c>
      <c r="BA136" s="122"/>
      <c r="BB136" s="120">
        <f t="shared" si="142"/>
        <v>0</v>
      </c>
      <c r="BC136" s="122">
        <f t="shared" si="93"/>
        <v>0</v>
      </c>
      <c r="BD136" s="122">
        <f t="shared" si="88"/>
        <v>0</v>
      </c>
      <c r="BE136" s="122"/>
      <c r="BF136" s="127"/>
      <c r="BO136" s="128"/>
      <c r="GL136" s="125">
        <v>910</v>
      </c>
      <c r="GM136" s="125" t="s">
        <v>163</v>
      </c>
      <c r="HH136" s="129"/>
      <c r="HJ136" s="129"/>
      <c r="HL136" s="119">
        <f t="shared" ref="HL136:HL167" si="159">SUM(BG136:HK136)-V136</f>
        <v>910</v>
      </c>
      <c r="HM136" s="127"/>
    </row>
    <row r="137" spans="1:221" s="125" customFormat="1" ht="15.75">
      <c r="A137" s="125" t="s">
        <v>246</v>
      </c>
      <c r="B137" s="126">
        <v>78</v>
      </c>
      <c r="D137" s="26">
        <v>30</v>
      </c>
      <c r="E137" s="125">
        <v>10</v>
      </c>
      <c r="F137" s="125" t="s">
        <v>166</v>
      </c>
      <c r="G137" s="125" t="s">
        <v>143</v>
      </c>
      <c r="H137" s="118">
        <v>36336</v>
      </c>
      <c r="I137" s="125" t="s">
        <v>123</v>
      </c>
      <c r="J137" s="125" t="s">
        <v>124</v>
      </c>
      <c r="K137" s="126"/>
      <c r="L137" s="125" t="s">
        <v>125</v>
      </c>
      <c r="M137" s="72"/>
      <c r="N137" s="125" t="str">
        <f t="shared" si="124"/>
        <v>78R</v>
      </c>
      <c r="O137" s="125" t="str">
        <f t="shared" si="125"/>
        <v>78RBase</v>
      </c>
      <c r="Q137" s="119">
        <f t="shared" si="135"/>
        <v>0</v>
      </c>
      <c r="R137" s="127">
        <f t="shared" si="127"/>
        <v>0</v>
      </c>
      <c r="S137" s="127"/>
      <c r="T137" s="122">
        <v>37147</v>
      </c>
      <c r="U137" s="122"/>
      <c r="V137" s="143">
        <v>0</v>
      </c>
      <c r="W137" s="122">
        <f t="shared" si="130"/>
        <v>0</v>
      </c>
      <c r="X137" s="122">
        <f t="shared" si="144"/>
        <v>0</v>
      </c>
      <c r="Y137" s="122">
        <f t="shared" si="145"/>
        <v>0</v>
      </c>
      <c r="Z137" s="122">
        <f t="shared" si="146"/>
        <v>0</v>
      </c>
      <c r="AA137" s="122">
        <f t="shared" si="147"/>
        <v>0</v>
      </c>
      <c r="AB137" s="122">
        <f t="shared" si="136"/>
        <v>0</v>
      </c>
      <c r="AC137" s="122">
        <f t="shared" si="136"/>
        <v>0</v>
      </c>
      <c r="AD137" s="122">
        <f t="shared" si="136"/>
        <v>0</v>
      </c>
      <c r="AE137" s="122">
        <f t="shared" si="148"/>
        <v>0</v>
      </c>
      <c r="AF137" s="122">
        <f t="shared" si="148"/>
        <v>0</v>
      </c>
      <c r="AG137" s="122">
        <f t="shared" si="149"/>
        <v>0</v>
      </c>
      <c r="AH137" s="122">
        <f t="shared" si="149"/>
        <v>0</v>
      </c>
      <c r="AI137" s="122">
        <f t="shared" si="137"/>
        <v>0</v>
      </c>
      <c r="AJ137" s="122">
        <f t="shared" si="137"/>
        <v>0</v>
      </c>
      <c r="AK137" s="122">
        <f t="shared" si="137"/>
        <v>0</v>
      </c>
      <c r="AL137" s="122">
        <f t="shared" si="150"/>
        <v>0</v>
      </c>
      <c r="AM137" s="122">
        <f t="shared" si="151"/>
        <v>0</v>
      </c>
      <c r="AN137" s="122">
        <f t="shared" si="152"/>
        <v>0</v>
      </c>
      <c r="AO137" s="122">
        <f t="shared" si="153"/>
        <v>0</v>
      </c>
      <c r="AP137" s="122">
        <f t="shared" si="154"/>
        <v>0</v>
      </c>
      <c r="AQ137" s="122">
        <f t="shared" si="154"/>
        <v>0</v>
      </c>
      <c r="AR137" s="122">
        <f t="shared" si="155"/>
        <v>0</v>
      </c>
      <c r="AS137" s="122">
        <f t="shared" si="133"/>
        <v>0</v>
      </c>
      <c r="AT137" s="122">
        <f t="shared" si="133"/>
        <v>0</v>
      </c>
      <c r="AU137" s="122">
        <f t="shared" si="122"/>
        <v>0</v>
      </c>
      <c r="AV137" s="122">
        <f t="shared" si="156"/>
        <v>0</v>
      </c>
      <c r="AW137" s="122">
        <f t="shared" si="157"/>
        <v>0</v>
      </c>
      <c r="AX137" s="122">
        <f t="shared" si="157"/>
        <v>0</v>
      </c>
      <c r="AY137" s="122">
        <f t="shared" si="158"/>
        <v>0</v>
      </c>
      <c r="AZ137" s="122">
        <f t="shared" si="158"/>
        <v>0</v>
      </c>
      <c r="BA137" s="122"/>
      <c r="BB137" s="120">
        <f t="shared" si="142"/>
        <v>0</v>
      </c>
      <c r="BC137" s="122">
        <f t="shared" si="93"/>
        <v>0</v>
      </c>
      <c r="BD137" s="122">
        <f>MAX(V137:AZ137)</f>
        <v>0</v>
      </c>
      <c r="BE137" s="122"/>
      <c r="BF137" s="127"/>
      <c r="BO137" s="128"/>
      <c r="GL137" s="125">
        <v>1665</v>
      </c>
      <c r="GM137" s="125" t="s">
        <v>192</v>
      </c>
      <c r="HH137" s="129"/>
      <c r="HJ137" s="129"/>
      <c r="HL137" s="119">
        <f t="shared" si="159"/>
        <v>1665</v>
      </c>
      <c r="HM137" s="127"/>
    </row>
    <row r="138" spans="1:221" s="125" customFormat="1" ht="15.75">
      <c r="A138" s="125" t="s">
        <v>246</v>
      </c>
      <c r="B138" s="126">
        <v>78</v>
      </c>
      <c r="D138" s="26">
        <v>30</v>
      </c>
      <c r="E138" s="125">
        <v>10</v>
      </c>
      <c r="F138" s="125" t="s">
        <v>127</v>
      </c>
      <c r="G138" s="125" t="s">
        <v>143</v>
      </c>
      <c r="H138" s="118">
        <v>36336</v>
      </c>
      <c r="I138" s="125" t="s">
        <v>123</v>
      </c>
      <c r="J138" s="125" t="s">
        <v>124</v>
      </c>
      <c r="K138" s="126"/>
      <c r="L138" s="125" t="s">
        <v>125</v>
      </c>
      <c r="M138" s="72"/>
      <c r="N138" s="125" t="str">
        <f t="shared" si="124"/>
        <v>78R</v>
      </c>
      <c r="O138" s="125" t="str">
        <f t="shared" si="125"/>
        <v>78RBase</v>
      </c>
      <c r="Q138" s="119">
        <f t="shared" si="135"/>
        <v>0</v>
      </c>
      <c r="R138" s="127">
        <f t="shared" si="127"/>
        <v>0</v>
      </c>
      <c r="S138" s="127"/>
      <c r="T138" s="122">
        <v>37147</v>
      </c>
      <c r="U138" s="122"/>
      <c r="V138" s="143">
        <v>0</v>
      </c>
      <c r="W138" s="122">
        <f t="shared" si="130"/>
        <v>0</v>
      </c>
      <c r="X138" s="122">
        <f t="shared" si="144"/>
        <v>0</v>
      </c>
      <c r="Y138" s="122">
        <f t="shared" si="145"/>
        <v>0</v>
      </c>
      <c r="Z138" s="122">
        <f t="shared" si="146"/>
        <v>0</v>
      </c>
      <c r="AA138" s="122">
        <f t="shared" si="147"/>
        <v>0</v>
      </c>
      <c r="AB138" s="122">
        <f t="shared" si="136"/>
        <v>0</v>
      </c>
      <c r="AC138" s="122">
        <f t="shared" si="136"/>
        <v>0</v>
      </c>
      <c r="AD138" s="122">
        <f t="shared" si="136"/>
        <v>0</v>
      </c>
      <c r="AE138" s="122">
        <f t="shared" si="148"/>
        <v>0</v>
      </c>
      <c r="AF138" s="122">
        <f t="shared" si="148"/>
        <v>0</v>
      </c>
      <c r="AG138" s="122">
        <f t="shared" si="149"/>
        <v>0</v>
      </c>
      <c r="AH138" s="122">
        <f t="shared" si="149"/>
        <v>0</v>
      </c>
      <c r="AI138" s="122">
        <f t="shared" si="137"/>
        <v>0</v>
      </c>
      <c r="AJ138" s="122">
        <f t="shared" si="137"/>
        <v>0</v>
      </c>
      <c r="AK138" s="122">
        <f t="shared" si="137"/>
        <v>0</v>
      </c>
      <c r="AL138" s="122">
        <f t="shared" si="150"/>
        <v>0</v>
      </c>
      <c r="AM138" s="122">
        <f t="shared" si="151"/>
        <v>0</v>
      </c>
      <c r="AN138" s="122">
        <f t="shared" si="152"/>
        <v>0</v>
      </c>
      <c r="AO138" s="122">
        <f t="shared" si="153"/>
        <v>0</v>
      </c>
      <c r="AP138" s="122">
        <f t="shared" si="154"/>
        <v>0</v>
      </c>
      <c r="AQ138" s="122">
        <f t="shared" si="154"/>
        <v>0</v>
      </c>
      <c r="AR138" s="122">
        <f t="shared" si="155"/>
        <v>0</v>
      </c>
      <c r="AS138" s="122">
        <f t="shared" si="133"/>
        <v>0</v>
      </c>
      <c r="AT138" s="122">
        <f t="shared" si="133"/>
        <v>0</v>
      </c>
      <c r="AU138" s="122">
        <f t="shared" si="122"/>
        <v>0</v>
      </c>
      <c r="AV138" s="122">
        <f t="shared" si="156"/>
        <v>0</v>
      </c>
      <c r="AW138" s="122">
        <f t="shared" si="157"/>
        <v>0</v>
      </c>
      <c r="AX138" s="122">
        <f t="shared" si="157"/>
        <v>0</v>
      </c>
      <c r="AY138" s="122">
        <f t="shared" si="158"/>
        <v>0</v>
      </c>
      <c r="AZ138" s="122">
        <f t="shared" si="158"/>
        <v>0</v>
      </c>
      <c r="BA138" s="122"/>
      <c r="BB138" s="120">
        <f t="shared" si="142"/>
        <v>0</v>
      </c>
      <c r="BC138" s="122">
        <f t="shared" si="93"/>
        <v>0</v>
      </c>
      <c r="BD138" s="122">
        <f>MAX(V138:AZ138)</f>
        <v>0</v>
      </c>
      <c r="BE138" s="122"/>
      <c r="BF138" s="127"/>
      <c r="BO138" s="128"/>
      <c r="CW138" s="125" t="s">
        <v>162</v>
      </c>
      <c r="GJ138" s="125">
        <v>0</v>
      </c>
      <c r="GL138" s="125">
        <v>1520</v>
      </c>
      <c r="GM138" s="125" t="s">
        <v>404</v>
      </c>
      <c r="HH138" s="129"/>
      <c r="HJ138" s="129"/>
      <c r="HL138" s="119">
        <f t="shared" si="159"/>
        <v>1520</v>
      </c>
      <c r="HM138" s="127"/>
    </row>
    <row r="139" spans="1:221" s="26" customFormat="1" ht="15.75">
      <c r="A139" s="26" t="s">
        <v>246</v>
      </c>
      <c r="B139" s="25">
        <v>78</v>
      </c>
      <c r="D139" s="26">
        <v>30</v>
      </c>
      <c r="E139" s="26">
        <v>10</v>
      </c>
      <c r="F139" s="26" t="s">
        <v>236</v>
      </c>
      <c r="G139" s="26" t="s">
        <v>143</v>
      </c>
      <c r="H139" s="187"/>
      <c r="I139" s="26" t="s">
        <v>123</v>
      </c>
      <c r="J139" s="26" t="s">
        <v>124</v>
      </c>
      <c r="K139" s="25"/>
      <c r="L139" s="26" t="s">
        <v>125</v>
      </c>
      <c r="M139" s="36"/>
      <c r="N139" s="26" t="str">
        <f t="shared" si="124"/>
        <v>78R</v>
      </c>
      <c r="O139" s="26" t="str">
        <f t="shared" si="125"/>
        <v>78RBase</v>
      </c>
      <c r="Q139" s="193">
        <f t="shared" si="135"/>
        <v>0</v>
      </c>
      <c r="R139" s="188">
        <f t="shared" si="127"/>
        <v>0</v>
      </c>
      <c r="S139" s="188"/>
      <c r="T139" s="189">
        <v>37147</v>
      </c>
      <c r="U139" s="189"/>
      <c r="V139" s="190">
        <v>0</v>
      </c>
      <c r="W139" s="189">
        <f t="shared" si="130"/>
        <v>0</v>
      </c>
      <c r="X139" s="189">
        <f t="shared" si="144"/>
        <v>0</v>
      </c>
      <c r="Y139" s="189">
        <f t="shared" si="145"/>
        <v>0</v>
      </c>
      <c r="Z139" s="189">
        <f t="shared" si="146"/>
        <v>0</v>
      </c>
      <c r="AA139" s="189">
        <f t="shared" si="147"/>
        <v>0</v>
      </c>
      <c r="AB139" s="189">
        <f t="shared" si="136"/>
        <v>0</v>
      </c>
      <c r="AC139" s="189">
        <f t="shared" si="136"/>
        <v>0</v>
      </c>
      <c r="AD139" s="189">
        <f t="shared" si="136"/>
        <v>0</v>
      </c>
      <c r="AE139" s="189">
        <f t="shared" si="148"/>
        <v>0</v>
      </c>
      <c r="AF139" s="189">
        <f t="shared" si="148"/>
        <v>0</v>
      </c>
      <c r="AG139" s="189">
        <f t="shared" si="149"/>
        <v>0</v>
      </c>
      <c r="AH139" s="189">
        <f t="shared" si="149"/>
        <v>0</v>
      </c>
      <c r="AI139" s="189">
        <f t="shared" si="137"/>
        <v>0</v>
      </c>
      <c r="AJ139" s="189">
        <f t="shared" si="137"/>
        <v>0</v>
      </c>
      <c r="AK139" s="189">
        <f t="shared" si="137"/>
        <v>0</v>
      </c>
      <c r="AL139" s="189">
        <f t="shared" si="150"/>
        <v>0</v>
      </c>
      <c r="AM139" s="189">
        <f t="shared" si="151"/>
        <v>0</v>
      </c>
      <c r="AN139" s="189">
        <f t="shared" si="152"/>
        <v>0</v>
      </c>
      <c r="AO139" s="189">
        <f t="shared" si="153"/>
        <v>0</v>
      </c>
      <c r="AP139" s="189">
        <f t="shared" si="154"/>
        <v>0</v>
      </c>
      <c r="AQ139" s="189">
        <f t="shared" si="154"/>
        <v>0</v>
      </c>
      <c r="AR139" s="189">
        <f t="shared" si="155"/>
        <v>0</v>
      </c>
      <c r="AS139" s="189">
        <f t="shared" si="133"/>
        <v>0</v>
      </c>
      <c r="AT139" s="189">
        <f t="shared" si="133"/>
        <v>0</v>
      </c>
      <c r="AU139" s="189">
        <f t="shared" si="122"/>
        <v>0</v>
      </c>
      <c r="AV139" s="189">
        <f t="shared" si="156"/>
        <v>0</v>
      </c>
      <c r="AW139" s="189">
        <f t="shared" si="157"/>
        <v>0</v>
      </c>
      <c r="AX139" s="189">
        <f t="shared" si="157"/>
        <v>0</v>
      </c>
      <c r="AY139" s="189">
        <f t="shared" si="158"/>
        <v>0</v>
      </c>
      <c r="AZ139" s="189">
        <f t="shared" si="158"/>
        <v>0</v>
      </c>
      <c r="BA139" s="189"/>
      <c r="BB139" s="209">
        <f t="shared" si="142"/>
        <v>0</v>
      </c>
      <c r="BC139" s="189">
        <f t="shared" si="93"/>
        <v>0</v>
      </c>
      <c r="BD139" s="122">
        <f>MAX(V139:AZ139)</f>
        <v>0</v>
      </c>
      <c r="BE139" s="189"/>
      <c r="BF139" s="188"/>
      <c r="BO139" s="191"/>
      <c r="BT139" s="26">
        <v>0</v>
      </c>
      <c r="BW139" s="26" t="s">
        <v>247</v>
      </c>
      <c r="BY139" s="26" t="s">
        <v>248</v>
      </c>
      <c r="CH139" s="26">
        <v>0</v>
      </c>
      <c r="CI139" s="26" t="s">
        <v>249</v>
      </c>
      <c r="EH139" s="26">
        <v>7314</v>
      </c>
      <c r="EI139" s="26" t="s">
        <v>421</v>
      </c>
      <c r="GJ139" s="26">
        <v>0</v>
      </c>
      <c r="GL139" s="26">
        <v>7686</v>
      </c>
      <c r="GM139" s="26" t="s">
        <v>407</v>
      </c>
      <c r="HH139" s="192"/>
      <c r="HJ139" s="192"/>
      <c r="HL139" s="193">
        <f t="shared" si="159"/>
        <v>15000</v>
      </c>
      <c r="HM139" s="188"/>
    </row>
    <row r="140" spans="1:221" s="125" customFormat="1" ht="15.75">
      <c r="A140" s="125" t="s">
        <v>246</v>
      </c>
      <c r="B140" s="126">
        <v>78</v>
      </c>
      <c r="D140" s="26">
        <v>30</v>
      </c>
      <c r="E140" s="125">
        <v>10</v>
      </c>
      <c r="F140" s="125" t="s">
        <v>250</v>
      </c>
      <c r="G140" s="125" t="s">
        <v>143</v>
      </c>
      <c r="H140" s="118">
        <v>36336</v>
      </c>
      <c r="I140" s="125" t="s">
        <v>123</v>
      </c>
      <c r="J140" s="125" t="s">
        <v>124</v>
      </c>
      <c r="K140" s="126"/>
      <c r="L140" s="125" t="s">
        <v>125</v>
      </c>
      <c r="M140" s="56"/>
      <c r="N140" s="125" t="str">
        <f t="shared" si="124"/>
        <v>78R</v>
      </c>
      <c r="O140" s="125" t="str">
        <f t="shared" si="125"/>
        <v>78RBase</v>
      </c>
      <c r="Q140" s="119">
        <f t="shared" si="135"/>
        <v>0</v>
      </c>
      <c r="R140" s="127">
        <f t="shared" si="127"/>
        <v>0</v>
      </c>
      <c r="S140" s="127"/>
      <c r="T140" s="122">
        <v>37147</v>
      </c>
      <c r="U140" s="122"/>
      <c r="V140" s="121">
        <v>0</v>
      </c>
      <c r="W140" s="122">
        <f t="shared" si="130"/>
        <v>0</v>
      </c>
      <c r="X140" s="122">
        <f t="shared" si="144"/>
        <v>0</v>
      </c>
      <c r="Y140" s="122">
        <f t="shared" si="145"/>
        <v>0</v>
      </c>
      <c r="Z140" s="122">
        <f t="shared" si="146"/>
        <v>0</v>
      </c>
      <c r="AA140" s="122">
        <f t="shared" si="147"/>
        <v>0</v>
      </c>
      <c r="AB140" s="122">
        <f t="shared" si="136"/>
        <v>0</v>
      </c>
      <c r="AC140" s="122">
        <f t="shared" si="136"/>
        <v>0</v>
      </c>
      <c r="AD140" s="122">
        <f t="shared" si="136"/>
        <v>0</v>
      </c>
      <c r="AE140" s="122">
        <f t="shared" si="148"/>
        <v>0</v>
      </c>
      <c r="AF140" s="122">
        <f t="shared" si="148"/>
        <v>0</v>
      </c>
      <c r="AG140" s="122">
        <f t="shared" si="149"/>
        <v>0</v>
      </c>
      <c r="AH140" s="122">
        <f t="shared" si="149"/>
        <v>0</v>
      </c>
      <c r="AI140" s="122">
        <f t="shared" si="137"/>
        <v>0</v>
      </c>
      <c r="AJ140" s="122">
        <f t="shared" si="137"/>
        <v>0</v>
      </c>
      <c r="AK140" s="122">
        <f t="shared" si="137"/>
        <v>0</v>
      </c>
      <c r="AL140" s="122">
        <f t="shared" si="150"/>
        <v>0</v>
      </c>
      <c r="AM140" s="122">
        <f t="shared" si="151"/>
        <v>0</v>
      </c>
      <c r="AN140" s="122">
        <f t="shared" si="152"/>
        <v>0</v>
      </c>
      <c r="AO140" s="122">
        <f t="shared" si="153"/>
        <v>0</v>
      </c>
      <c r="AP140" s="122">
        <f t="shared" si="154"/>
        <v>0</v>
      </c>
      <c r="AQ140" s="122">
        <f t="shared" si="154"/>
        <v>0</v>
      </c>
      <c r="AR140" s="122">
        <f t="shared" si="155"/>
        <v>0</v>
      </c>
      <c r="AS140" s="122">
        <f t="shared" si="133"/>
        <v>0</v>
      </c>
      <c r="AT140" s="122">
        <f t="shared" si="133"/>
        <v>0</v>
      </c>
      <c r="AU140" s="122">
        <f t="shared" si="122"/>
        <v>0</v>
      </c>
      <c r="AV140" s="122">
        <f t="shared" si="156"/>
        <v>0</v>
      </c>
      <c r="AW140" s="122">
        <f t="shared" si="157"/>
        <v>0</v>
      </c>
      <c r="AX140" s="122">
        <f t="shared" si="157"/>
        <v>0</v>
      </c>
      <c r="AY140" s="122">
        <f t="shared" si="158"/>
        <v>0</v>
      </c>
      <c r="AZ140" s="122">
        <f t="shared" si="158"/>
        <v>0</v>
      </c>
      <c r="BA140" s="122"/>
      <c r="BB140" s="120">
        <f t="shared" si="142"/>
        <v>0</v>
      </c>
      <c r="BC140" s="122">
        <f t="shared" si="93"/>
        <v>0</v>
      </c>
      <c r="BD140" s="122">
        <f>MAX(V140:AZ140)</f>
        <v>0</v>
      </c>
      <c r="BE140" s="122"/>
      <c r="BF140" s="127"/>
      <c r="BO140" s="128"/>
      <c r="CI140" s="125" t="s">
        <v>251</v>
      </c>
      <c r="GI140" s="138"/>
      <c r="HH140" s="129"/>
      <c r="HJ140" s="129"/>
      <c r="HL140" s="119">
        <f t="shared" si="159"/>
        <v>0</v>
      </c>
      <c r="HM140" s="127"/>
    </row>
    <row r="141" spans="1:221" s="125" customFormat="1" ht="15.75">
      <c r="B141" s="126"/>
      <c r="D141" s="26"/>
      <c r="H141" s="118"/>
      <c r="K141" s="126"/>
      <c r="M141" s="56"/>
      <c r="Q141" s="127"/>
      <c r="R141" s="127"/>
      <c r="S141" s="127"/>
      <c r="T141" s="122"/>
      <c r="U141" s="122"/>
      <c r="V141" s="121"/>
      <c r="W141" s="122"/>
      <c r="X141" s="122"/>
      <c r="Y141" s="122"/>
      <c r="Z141" s="122"/>
      <c r="AA141" s="122"/>
      <c r="AB141" s="122"/>
      <c r="AC141" s="122"/>
      <c r="AD141" s="122"/>
      <c r="AE141" s="122"/>
      <c r="AF141" s="122"/>
      <c r="AG141" s="122"/>
      <c r="AH141" s="122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122"/>
      <c r="AZ141" s="122"/>
      <c r="BA141" s="122"/>
      <c r="BB141" s="122"/>
      <c r="BC141" s="122"/>
      <c r="BD141" s="122"/>
      <c r="BE141" s="122"/>
      <c r="BF141" s="127"/>
      <c r="BO141" s="128"/>
      <c r="GI141" s="138"/>
      <c r="HH141" s="129"/>
      <c r="HJ141" s="129"/>
      <c r="HL141" s="119"/>
      <c r="HM141" s="127"/>
    </row>
    <row r="142" spans="1:221" s="138" customFormat="1" ht="15.75">
      <c r="A142" s="138" t="s">
        <v>252</v>
      </c>
      <c r="B142" s="139" t="s">
        <v>252</v>
      </c>
      <c r="D142" s="107"/>
      <c r="E142" s="138" t="s">
        <v>253</v>
      </c>
      <c r="F142" s="138" t="s">
        <v>254</v>
      </c>
      <c r="G142" s="138" t="s">
        <v>202</v>
      </c>
      <c r="H142" s="140">
        <v>36336</v>
      </c>
      <c r="I142" s="138" t="s">
        <v>123</v>
      </c>
      <c r="J142" s="138" t="s">
        <v>136</v>
      </c>
      <c r="K142" s="139"/>
      <c r="L142" s="138" t="s">
        <v>125</v>
      </c>
      <c r="M142" s="56"/>
      <c r="N142" s="138" t="str">
        <f t="shared" si="124"/>
        <v>STOIW</v>
      </c>
      <c r="O142" s="138" t="str">
        <f t="shared" si="125"/>
        <v>STOIWBase</v>
      </c>
      <c r="Q142" s="141">
        <f t="shared" si="135"/>
        <v>0</v>
      </c>
      <c r="R142" s="141">
        <f t="shared" si="127"/>
        <v>0</v>
      </c>
      <c r="S142" s="141"/>
      <c r="T142" s="142" t="s">
        <v>255</v>
      </c>
      <c r="U142" s="142"/>
      <c r="V142" s="143">
        <v>0</v>
      </c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>
        <f>SUM(V142:AX142)</f>
        <v>0</v>
      </c>
      <c r="BC142" s="142">
        <f>+BB142/29</f>
        <v>0</v>
      </c>
      <c r="BD142" s="142">
        <f>MAX(V142:AX142)</f>
        <v>0</v>
      </c>
      <c r="BE142" s="142"/>
      <c r="BF142" s="141"/>
      <c r="BO142" s="144"/>
      <c r="GI142" s="72"/>
      <c r="HH142" s="109"/>
      <c r="HJ142" s="109"/>
      <c r="HL142" s="145">
        <f>SUM(BG142:HK142)-V142</f>
        <v>0</v>
      </c>
      <c r="HM142" s="141"/>
    </row>
    <row r="143" spans="1:221" s="72" customFormat="1" ht="15.75">
      <c r="A143" s="72" t="s">
        <v>252</v>
      </c>
      <c r="B143" s="73" t="s">
        <v>252</v>
      </c>
      <c r="D143" s="14"/>
      <c r="E143" s="72" t="s">
        <v>253</v>
      </c>
      <c r="F143" s="72" t="s">
        <v>254</v>
      </c>
      <c r="G143" s="72" t="s">
        <v>194</v>
      </c>
      <c r="H143" s="75">
        <v>36336</v>
      </c>
      <c r="I143" s="72" t="s">
        <v>123</v>
      </c>
      <c r="J143" s="72" t="s">
        <v>136</v>
      </c>
      <c r="K143" s="73"/>
      <c r="L143" s="72" t="s">
        <v>125</v>
      </c>
      <c r="N143" s="72" t="str">
        <f t="shared" si="124"/>
        <v>STOIW</v>
      </c>
      <c r="O143" s="72" t="str">
        <f t="shared" si="125"/>
        <v>STOIWBase</v>
      </c>
      <c r="Q143" s="23">
        <f t="shared" si="135"/>
        <v>0</v>
      </c>
      <c r="R143" s="23">
        <f t="shared" si="127"/>
        <v>0</v>
      </c>
      <c r="S143" s="23"/>
      <c r="T143" s="78">
        <v>37147</v>
      </c>
      <c r="U143" s="78"/>
      <c r="V143" s="79">
        <v>0</v>
      </c>
      <c r="W143" s="78">
        <f t="shared" ref="W143:AX143" si="160">V143</f>
        <v>0</v>
      </c>
      <c r="X143" s="78">
        <f t="shared" si="160"/>
        <v>0</v>
      </c>
      <c r="Y143" s="78">
        <f t="shared" si="160"/>
        <v>0</v>
      </c>
      <c r="Z143" s="78">
        <f t="shared" si="160"/>
        <v>0</v>
      </c>
      <c r="AA143" s="78">
        <f t="shared" si="160"/>
        <v>0</v>
      </c>
      <c r="AB143" s="78">
        <f t="shared" si="160"/>
        <v>0</v>
      </c>
      <c r="AC143" s="78">
        <f t="shared" si="160"/>
        <v>0</v>
      </c>
      <c r="AD143" s="78">
        <f t="shared" si="160"/>
        <v>0</v>
      </c>
      <c r="AE143" s="78">
        <f t="shared" si="160"/>
        <v>0</v>
      </c>
      <c r="AF143" s="78">
        <f t="shared" si="160"/>
        <v>0</v>
      </c>
      <c r="AG143" s="78">
        <f t="shared" si="160"/>
        <v>0</v>
      </c>
      <c r="AH143" s="78">
        <f t="shared" si="160"/>
        <v>0</v>
      </c>
      <c r="AI143" s="78">
        <f t="shared" si="160"/>
        <v>0</v>
      </c>
      <c r="AJ143" s="78">
        <f t="shared" si="160"/>
        <v>0</v>
      </c>
      <c r="AK143" s="78">
        <f t="shared" si="160"/>
        <v>0</v>
      </c>
      <c r="AL143" s="78">
        <f t="shared" si="160"/>
        <v>0</v>
      </c>
      <c r="AM143" s="78">
        <f t="shared" si="160"/>
        <v>0</v>
      </c>
      <c r="AN143" s="78">
        <f t="shared" si="160"/>
        <v>0</v>
      </c>
      <c r="AO143" s="78">
        <f t="shared" si="160"/>
        <v>0</v>
      </c>
      <c r="AP143" s="78">
        <f t="shared" si="160"/>
        <v>0</v>
      </c>
      <c r="AQ143" s="78">
        <f t="shared" si="160"/>
        <v>0</v>
      </c>
      <c r="AR143" s="78">
        <f t="shared" si="160"/>
        <v>0</v>
      </c>
      <c r="AS143" s="78">
        <f t="shared" si="160"/>
        <v>0</v>
      </c>
      <c r="AT143" s="78">
        <f t="shared" si="160"/>
        <v>0</v>
      </c>
      <c r="AU143" s="78">
        <f t="shared" si="160"/>
        <v>0</v>
      </c>
      <c r="AV143" s="78">
        <f t="shared" si="160"/>
        <v>0</v>
      </c>
      <c r="AW143" s="78">
        <f t="shared" si="160"/>
        <v>0</v>
      </c>
      <c r="AX143" s="78">
        <f t="shared" si="160"/>
        <v>0</v>
      </c>
      <c r="AY143" s="78">
        <f>AX143</f>
        <v>0</v>
      </c>
      <c r="AZ143" s="78">
        <f>AY143</f>
        <v>0</v>
      </c>
      <c r="BA143" s="78"/>
      <c r="BB143" s="78">
        <f>SUM(V143:AX143)</f>
        <v>0</v>
      </c>
      <c r="BC143" s="78">
        <f>+BB143/29</f>
        <v>0</v>
      </c>
      <c r="BD143" s="78">
        <f>MAX(V143:AX143)</f>
        <v>0</v>
      </c>
      <c r="BE143" s="78"/>
      <c r="BF143" s="23"/>
      <c r="BO143" s="80" t="s">
        <v>223</v>
      </c>
      <c r="BQ143" s="72" t="s">
        <v>256</v>
      </c>
      <c r="BS143" s="72" t="s">
        <v>257</v>
      </c>
      <c r="BU143" s="72" t="s">
        <v>258</v>
      </c>
      <c r="BW143" s="72" t="s">
        <v>224</v>
      </c>
      <c r="BY143" s="72" t="s">
        <v>259</v>
      </c>
      <c r="CG143" s="72" t="s">
        <v>175</v>
      </c>
      <c r="CI143" s="72" t="s">
        <v>260</v>
      </c>
      <c r="CK143" s="72" t="s">
        <v>260</v>
      </c>
      <c r="CM143" s="72" t="s">
        <v>260</v>
      </c>
      <c r="CO143" s="72" t="s">
        <v>260</v>
      </c>
      <c r="CQ143" s="72" t="s">
        <v>260</v>
      </c>
      <c r="CS143" s="72" t="s">
        <v>260</v>
      </c>
      <c r="CU143" s="72" t="s">
        <v>260</v>
      </c>
      <c r="CW143" s="72" t="s">
        <v>163</v>
      </c>
      <c r="CY143" s="72" t="s">
        <v>175</v>
      </c>
      <c r="DA143" s="72" t="s">
        <v>175</v>
      </c>
      <c r="DC143" s="72" t="s">
        <v>175</v>
      </c>
      <c r="DQ143" s="72" t="s">
        <v>261</v>
      </c>
      <c r="EC143" s="72" t="s">
        <v>168</v>
      </c>
      <c r="EG143" s="72" t="s">
        <v>170</v>
      </c>
      <c r="FE143" s="72" t="s">
        <v>170</v>
      </c>
      <c r="FG143" s="72" t="s">
        <v>170</v>
      </c>
      <c r="FI143" s="72" t="s">
        <v>170</v>
      </c>
      <c r="FK143" s="72" t="s">
        <v>170</v>
      </c>
      <c r="FM143" s="72" t="s">
        <v>170</v>
      </c>
      <c r="FO143" s="72" t="s">
        <v>170</v>
      </c>
      <c r="FQ143" s="72" t="s">
        <v>170</v>
      </c>
      <c r="FS143" s="72" t="s">
        <v>170</v>
      </c>
      <c r="FU143" s="72" t="s">
        <v>170</v>
      </c>
      <c r="FW143" s="72" t="s">
        <v>170</v>
      </c>
      <c r="FY143" s="72" t="s">
        <v>170</v>
      </c>
      <c r="GA143" s="72" t="s">
        <v>170</v>
      </c>
      <c r="GC143" s="72" t="s">
        <v>170</v>
      </c>
      <c r="GE143" s="72" t="s">
        <v>170</v>
      </c>
      <c r="GG143" s="72" t="s">
        <v>170</v>
      </c>
      <c r="GK143" s="72" t="s">
        <v>170</v>
      </c>
      <c r="GM143" s="72" t="s">
        <v>170</v>
      </c>
      <c r="GO143" s="72" t="s">
        <v>168</v>
      </c>
      <c r="GQ143" s="72" t="s">
        <v>170</v>
      </c>
      <c r="GS143" s="72" t="s">
        <v>170</v>
      </c>
      <c r="GU143" s="72" t="s">
        <v>170</v>
      </c>
      <c r="GW143" s="72" t="s">
        <v>170</v>
      </c>
      <c r="GY143" s="72" t="s">
        <v>170</v>
      </c>
      <c r="HA143" s="72" t="s">
        <v>170</v>
      </c>
      <c r="HC143" s="72" t="s">
        <v>170</v>
      </c>
      <c r="HE143" s="72" t="s">
        <v>170</v>
      </c>
      <c r="HG143" s="72" t="s">
        <v>170</v>
      </c>
      <c r="HH143" s="74"/>
      <c r="HI143" s="72" t="s">
        <v>170</v>
      </c>
      <c r="HJ143" s="74"/>
      <c r="HK143" s="72" t="s">
        <v>168</v>
      </c>
      <c r="HL143" s="146">
        <f>SUM(BG143:HK143)-V143</f>
        <v>0</v>
      </c>
      <c r="HM143" s="23">
        <f>SUM(BG143:HK143)</f>
        <v>0</v>
      </c>
    </row>
    <row r="144" spans="1:221" s="72" customFormat="1" ht="15.75">
      <c r="B144" s="73"/>
      <c r="D144" s="14"/>
      <c r="F144" s="72">
        <f>SUM(V125:V139)</f>
        <v>0</v>
      </c>
      <c r="K144" s="73"/>
      <c r="Q144" s="23"/>
      <c r="R144" s="23"/>
      <c r="S144" s="23"/>
      <c r="T144" s="78"/>
      <c r="U144" s="78"/>
      <c r="V144" s="79"/>
      <c r="BE144" s="78"/>
      <c r="BF144" s="23"/>
      <c r="BO144" s="80"/>
      <c r="HH144" s="74"/>
      <c r="HJ144" s="74"/>
    </row>
    <row r="145" spans="1:221" s="14" customFormat="1" ht="15.75">
      <c r="B145" s="13"/>
      <c r="F145" s="15" t="s">
        <v>262</v>
      </c>
      <c r="K145" s="13"/>
      <c r="M145" s="13" t="s">
        <v>263</v>
      </c>
      <c r="N145" s="13"/>
      <c r="O145" s="13"/>
      <c r="P145" s="13"/>
      <c r="Q145" s="15">
        <f>SUM(Q8:Q143)</f>
        <v>0</v>
      </c>
      <c r="R145" s="15">
        <f>SUM(R8:R143)</f>
        <v>0</v>
      </c>
      <c r="S145" s="15">
        <f>SUM(S8:S143)</f>
        <v>0</v>
      </c>
      <c r="T145" s="16"/>
      <c r="U145" s="16"/>
      <c r="V145" s="17">
        <f t="shared" ref="V145:AX145" si="161">SUM(V8:V143)</f>
        <v>0</v>
      </c>
      <c r="W145" s="16">
        <f t="shared" si="161"/>
        <v>0</v>
      </c>
      <c r="X145" s="16">
        <f t="shared" si="161"/>
        <v>0</v>
      </c>
      <c r="Y145" s="16">
        <f t="shared" si="161"/>
        <v>0</v>
      </c>
      <c r="Z145" s="16">
        <f t="shared" si="161"/>
        <v>0</v>
      </c>
      <c r="AA145" s="16">
        <f t="shared" si="161"/>
        <v>0</v>
      </c>
      <c r="AB145" s="16">
        <f t="shared" si="161"/>
        <v>0</v>
      </c>
      <c r="AC145" s="16">
        <f t="shared" si="161"/>
        <v>0</v>
      </c>
      <c r="AD145" s="16">
        <f t="shared" si="161"/>
        <v>0</v>
      </c>
      <c r="AE145" s="16">
        <f t="shared" si="161"/>
        <v>0</v>
      </c>
      <c r="AF145" s="16">
        <f t="shared" si="161"/>
        <v>0</v>
      </c>
      <c r="AG145" s="16">
        <f t="shared" si="161"/>
        <v>0</v>
      </c>
      <c r="AH145" s="16">
        <f t="shared" si="161"/>
        <v>0</v>
      </c>
      <c r="AI145" s="16">
        <f t="shared" si="161"/>
        <v>0</v>
      </c>
      <c r="AJ145" s="16">
        <f t="shared" si="161"/>
        <v>0</v>
      </c>
      <c r="AK145" s="16">
        <f t="shared" si="161"/>
        <v>0</v>
      </c>
      <c r="AL145" s="16">
        <f t="shared" si="161"/>
        <v>0</v>
      </c>
      <c r="AM145" s="16">
        <f t="shared" si="161"/>
        <v>0</v>
      </c>
      <c r="AN145" s="16">
        <f t="shared" si="161"/>
        <v>0</v>
      </c>
      <c r="AO145" s="16">
        <f t="shared" si="161"/>
        <v>0</v>
      </c>
      <c r="AP145" s="16">
        <f t="shared" si="161"/>
        <v>0</v>
      </c>
      <c r="AQ145" s="16">
        <f t="shared" si="161"/>
        <v>0</v>
      </c>
      <c r="AR145" s="16">
        <f t="shared" si="161"/>
        <v>0</v>
      </c>
      <c r="AS145" s="16">
        <f t="shared" si="161"/>
        <v>0</v>
      </c>
      <c r="AT145" s="16">
        <f t="shared" si="161"/>
        <v>0</v>
      </c>
      <c r="AU145" s="16">
        <f t="shared" si="161"/>
        <v>0</v>
      </c>
      <c r="AV145" s="16">
        <f t="shared" si="161"/>
        <v>0</v>
      </c>
      <c r="AW145" s="16">
        <f t="shared" si="161"/>
        <v>0</v>
      </c>
      <c r="AX145" s="16">
        <f t="shared" si="161"/>
        <v>0</v>
      </c>
      <c r="AY145" s="16">
        <f>SUM(AY8:AY143)</f>
        <v>0</v>
      </c>
      <c r="AZ145" s="16">
        <f>SUM(AZ8:AZ143)</f>
        <v>0</v>
      </c>
      <c r="BA145" s="16"/>
      <c r="BB145" s="16">
        <f>SUM(BB8:BB143)</f>
        <v>0</v>
      </c>
      <c r="BC145" s="16">
        <f>BB145/29</f>
        <v>0</v>
      </c>
      <c r="BD145" s="16">
        <f>MAX(V145:AX145)</f>
        <v>0</v>
      </c>
      <c r="BE145" s="16"/>
      <c r="BF145" s="15"/>
      <c r="BG145" s="14">
        <f>BG3-SUM(BG8:BG143)</f>
        <v>0</v>
      </c>
      <c r="BH145" s="14">
        <f>BH3-SUM(BH8:BH143)</f>
        <v>0</v>
      </c>
      <c r="BI145" s="14">
        <f>BI3-SUM(BI8:BI143)</f>
        <v>0</v>
      </c>
      <c r="BK145" s="14">
        <f>BK3-SUM(BK8:BK143)</f>
        <v>33193</v>
      </c>
      <c r="BM145" s="14">
        <f>BM3-SUM(BM8:BM143)</f>
        <v>136</v>
      </c>
      <c r="BN145" s="14">
        <f>BN3-SUM(BN8:BN143)</f>
        <v>1252</v>
      </c>
      <c r="BO145" s="20"/>
      <c r="BP145" s="14">
        <f>BP3-SUM(BP8:BP143)</f>
        <v>651</v>
      </c>
      <c r="BR145" s="14">
        <f>BR3-SUM(BR8:BR143)</f>
        <v>0</v>
      </c>
      <c r="BT145" s="14">
        <f>BT3-SUM(BT8:BT143)</f>
        <v>0</v>
      </c>
      <c r="BV145" s="14">
        <f>BV3-SUM(BV8:BV143)</f>
        <v>0</v>
      </c>
      <c r="BX145" s="14">
        <f>BX3-SUM(BX8:BX143)</f>
        <v>0</v>
      </c>
      <c r="BZ145" s="14">
        <f>BZ3-SUM(BZ8:BZ143)</f>
        <v>0</v>
      </c>
      <c r="CB145" s="14">
        <f>CB3-SUM(CB8:CB143)</f>
        <v>0</v>
      </c>
      <c r="CD145" s="14">
        <f>CD3-SUM(CD8:CD143)</f>
        <v>0</v>
      </c>
      <c r="CF145" s="14">
        <f>CF3-SUM(CF8:CF143)</f>
        <v>850</v>
      </c>
      <c r="CH145" s="14">
        <f>CH3-SUM(CH8:CH143)</f>
        <v>8654</v>
      </c>
      <c r="CJ145" s="14">
        <f>CJ3-SUM(CJ8:CJ143)</f>
        <v>-2240</v>
      </c>
      <c r="CL145" s="14">
        <f>CL3-SUM(CL8:CL143)</f>
        <v>-776</v>
      </c>
      <c r="CN145" s="14">
        <f>CN3-SUM(CN8:CN143)</f>
        <v>2788</v>
      </c>
      <c r="CP145" s="14">
        <f>CP3-SUM(CP8:CP143)</f>
        <v>2628</v>
      </c>
      <c r="CR145" s="14">
        <f>CR3-SUM(CR8:CR143)</f>
        <v>2949</v>
      </c>
      <c r="CT145" s="14">
        <f>CT3-SUM(CT8:CT143)</f>
        <v>3392</v>
      </c>
      <c r="CV145" s="14">
        <f>CV3-SUM(CV8:CV143)</f>
        <v>7427</v>
      </c>
      <c r="CX145" s="14">
        <f>CX3-SUM(CX8:CX143)</f>
        <v>3030</v>
      </c>
      <c r="CZ145" s="14">
        <f>CZ3-SUM(CZ8:CZ143)</f>
        <v>473</v>
      </c>
      <c r="DB145" s="14">
        <f>DB3-SUM(DB8:DB143)</f>
        <v>-1652</v>
      </c>
      <c r="DD145" s="14">
        <f>DD3-SUM(DD8:DD143)</f>
        <v>0</v>
      </c>
      <c r="DF145" s="14">
        <f>DF3-SUM(DF8:DF143)</f>
        <v>0</v>
      </c>
      <c r="DH145" s="14">
        <f>DH3-SUM(DH8:DH143)</f>
        <v>0</v>
      </c>
      <c r="DJ145" s="14">
        <f>DJ3-SUM(DJ8:DJ143)</f>
        <v>0</v>
      </c>
      <c r="DL145" s="14">
        <f>DL3-SUM(DL8:DL143)</f>
        <v>0</v>
      </c>
      <c r="DN145" s="14">
        <f>DN3-SUM(DN8:DN143)</f>
        <v>0</v>
      </c>
      <c r="DP145" s="14">
        <f>DP3-SUM(DP8:DP143)</f>
        <v>125</v>
      </c>
      <c r="DR145" s="14">
        <f>DR3-SUM(DR8:DR143)</f>
        <v>-3</v>
      </c>
      <c r="DT145" s="14">
        <f>DT3-SUM(DT8:DT143)</f>
        <v>0</v>
      </c>
      <c r="DV145" s="14">
        <f>DV3-SUM(DV8:DV143)</f>
        <v>0</v>
      </c>
      <c r="DX145" s="14">
        <f>DX3-SUM(DX8:DX143)</f>
        <v>0</v>
      </c>
      <c r="DZ145" s="14">
        <f>DZ3-SUM(DZ8:DZ143)</f>
        <v>0</v>
      </c>
      <c r="EB145" s="14">
        <f>EB3-SUM(EB8:EB143)</f>
        <v>0</v>
      </c>
      <c r="ED145" s="14">
        <f>ED3-SUM(ED8:ED143)</f>
        <v>0</v>
      </c>
      <c r="EF145" s="14">
        <f>EF3-SUM(EF8:EF143)</f>
        <v>0</v>
      </c>
      <c r="EH145" s="14">
        <f>EH3-SUM(EH8:EH143)</f>
        <v>23722</v>
      </c>
      <c r="EJ145" s="14">
        <f>EJ3-SUM(EJ8:EJ143)</f>
        <v>0</v>
      </c>
      <c r="EL145" s="14">
        <f>EL3-SUM(EL8:EL143)</f>
        <v>0</v>
      </c>
      <c r="EN145" s="14">
        <f>EN3-SUM(EN8:EN143)</f>
        <v>0</v>
      </c>
      <c r="EP145" s="14">
        <f>EP3-SUM(EP8:EP143)</f>
        <v>0</v>
      </c>
      <c r="ER145" s="14">
        <f>ER3-SUM(ER8:ER143)</f>
        <v>0</v>
      </c>
      <c r="ET145" s="14">
        <f>ET3-SUM(ET8:ET143)</f>
        <v>0</v>
      </c>
      <c r="EV145" s="14">
        <f>EV3-SUM(EV8:EV143)</f>
        <v>0</v>
      </c>
      <c r="EX145" s="14">
        <f>EX3-SUM(EX8:EX143)</f>
        <v>0</v>
      </c>
      <c r="EZ145" s="14">
        <f>EZ3-SUM(EZ8:EZ143)</f>
        <v>0</v>
      </c>
      <c r="FB145" s="14">
        <f>FB3-SUM(FB8:FB143)</f>
        <v>0</v>
      </c>
      <c r="FD145" s="14">
        <f>FD3-SUM(FD8:FD143)</f>
        <v>0</v>
      </c>
      <c r="FF145" s="14">
        <f>FF3-SUM(FF8:FF143)</f>
        <v>0</v>
      </c>
      <c r="FH145" s="14">
        <f>FH3-SUM(FH8:FH143)</f>
        <v>0</v>
      </c>
      <c r="FJ145" s="14">
        <f>FJ3-SUM(FJ8:FJ143)</f>
        <v>0</v>
      </c>
      <c r="FL145" s="14">
        <f>FL3-SUM(FL8:FL143)</f>
        <v>0</v>
      </c>
      <c r="FN145" s="14">
        <f>FN3-SUM(FN8:FN143)</f>
        <v>0</v>
      </c>
      <c r="FP145" s="14">
        <f>FP3-SUM(FP8:FP143)</f>
        <v>0</v>
      </c>
      <c r="FR145" s="14">
        <f>FR3-SUM(FR8:FR143)</f>
        <v>5</v>
      </c>
      <c r="FT145" s="14">
        <f>FT3-SUM(FT8:FT143)</f>
        <v>-10</v>
      </c>
      <c r="FV145" s="14">
        <f>FV3-SUM(FV8:FV143)</f>
        <v>4</v>
      </c>
      <c r="FX145" s="14">
        <f>FX3-SUM(FX8:FX143)</f>
        <v>1</v>
      </c>
      <c r="FZ145" s="14">
        <f>FZ3-SUM(FZ8:FZ143)</f>
        <v>0</v>
      </c>
      <c r="GB145" s="14">
        <f>GB3-SUM(GB8:GB143)</f>
        <v>-93</v>
      </c>
      <c r="GD145" s="14">
        <f>GD3-SUM(GD8:GD143)</f>
        <v>0</v>
      </c>
      <c r="GF145" s="14">
        <f>GF3-SUM(GF8:GF143)</f>
        <v>777</v>
      </c>
      <c r="GH145" s="14">
        <f>GH3-SUM(GH8:GH143)</f>
        <v>0</v>
      </c>
      <c r="GJ145" s="14">
        <f>GJ3-SUM(GJ8:GJ143)</f>
        <v>4975</v>
      </c>
      <c r="GL145" s="14">
        <f>GL3-SUM(GL8:GL143)</f>
        <v>0</v>
      </c>
      <c r="GN145" s="14">
        <f>GN3-SUM(GN8:GN143)</f>
        <v>34</v>
      </c>
      <c r="GP145" s="14">
        <f>GP3-SUM(GP8:GP143)</f>
        <v>0</v>
      </c>
      <c r="GR145" s="14">
        <f>GR3-SUM(GR8:GR143)</f>
        <v>0</v>
      </c>
      <c r="GT145" s="14">
        <f>GT3-SUM(GT8:GT143)</f>
        <v>3</v>
      </c>
      <c r="GV145" s="14">
        <f>GV3-SUM(GV8:GV143)</f>
        <v>0</v>
      </c>
      <c r="GX145" s="14">
        <f>GX3-SUM(GX8:GX143)</f>
        <v>0</v>
      </c>
      <c r="GZ145" s="14">
        <f>GZ3-SUM(GZ8:GZ143)</f>
        <v>0</v>
      </c>
      <c r="HB145" s="14">
        <f>HB3-SUM(HB8:HB143)</f>
        <v>3</v>
      </c>
      <c r="HD145" s="14">
        <f>HD3-SUM(HD8:HD143)</f>
        <v>0</v>
      </c>
      <c r="HF145" s="14">
        <f>HF3-SUM(HF8:HF143)</f>
        <v>0</v>
      </c>
      <c r="HH145" s="22">
        <f>HH3-SUM(HH8:HH143)</f>
        <v>0</v>
      </c>
      <c r="HJ145" s="22">
        <f>HJ3-SUM(HJ8:HJ143)</f>
        <v>0</v>
      </c>
    </row>
    <row r="146" spans="1:221" s="72" customFormat="1" ht="15.75">
      <c r="B146" s="73"/>
      <c r="D146" s="14"/>
      <c r="F146" s="15" t="s">
        <v>264</v>
      </c>
      <c r="K146" s="73"/>
      <c r="M146" s="13"/>
      <c r="N146" s="13"/>
      <c r="O146" s="13"/>
      <c r="P146" s="73"/>
      <c r="Q146" s="15"/>
      <c r="R146" s="15"/>
      <c r="S146" s="15"/>
      <c r="T146" s="16"/>
      <c r="U146" s="16"/>
      <c r="V146" s="17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23"/>
      <c r="BG146" s="72">
        <f>+BG3-BG145</f>
        <v>0</v>
      </c>
      <c r="BH146" s="72">
        <f>+BH3-BH145</f>
        <v>0</v>
      </c>
      <c r="BI146" s="72">
        <f>+BI3-BI145</f>
        <v>600</v>
      </c>
      <c r="BK146" s="72">
        <f>+BK3-BK145</f>
        <v>16807</v>
      </c>
      <c r="BM146" s="72">
        <f>+BM3-BM145</f>
        <v>0</v>
      </c>
      <c r="BN146" s="72">
        <f>+BN3-BN145</f>
        <v>2748</v>
      </c>
      <c r="BO146" s="80"/>
      <c r="BP146" s="72">
        <f>+BP3-BP145</f>
        <v>7349</v>
      </c>
      <c r="BR146" s="72">
        <f>+BR3-BR145</f>
        <v>1000</v>
      </c>
      <c r="BT146" s="72">
        <f>+BT3-BT145</f>
        <v>2000</v>
      </c>
      <c r="BV146" s="72">
        <f>+BV3-BV145</f>
        <v>2000</v>
      </c>
      <c r="BX146" s="72">
        <f>+BX3-BX145</f>
        <v>8000</v>
      </c>
      <c r="BZ146" s="72">
        <f>+BZ3-BZ145</f>
        <v>2</v>
      </c>
      <c r="CB146" s="72">
        <f>+CB3-CB145</f>
        <v>1</v>
      </c>
      <c r="CD146" s="72">
        <f>+CD3-CD145</f>
        <v>1</v>
      </c>
      <c r="CF146" s="72">
        <f>+CF3-CF145</f>
        <v>1271</v>
      </c>
      <c r="CH146" s="72">
        <f>+CH3-CH145</f>
        <v>32206</v>
      </c>
      <c r="CJ146" s="72">
        <f>+CJ3-CJ145</f>
        <v>8344</v>
      </c>
      <c r="CL146" s="72">
        <f>+CL3-CL145</f>
        <v>5609</v>
      </c>
      <c r="CN146" s="72">
        <f>+CN3-CN145</f>
        <v>36282</v>
      </c>
      <c r="CP146" s="72">
        <f>+CP3-CP145</f>
        <v>3952</v>
      </c>
      <c r="CR146" s="72">
        <f>+CR3-CR145</f>
        <v>4368</v>
      </c>
      <c r="CT146" s="72">
        <f>+CT3-CT145</f>
        <v>5299</v>
      </c>
      <c r="CV146" s="72">
        <f>+CV3-CV145</f>
        <v>12330</v>
      </c>
      <c r="CX146" s="72">
        <f>+CX3-CX145</f>
        <v>5016</v>
      </c>
      <c r="CZ146" s="72">
        <f>+CZ3-CZ145</f>
        <v>3572</v>
      </c>
      <c r="DB146" s="72">
        <f>+DB3-DB145</f>
        <v>1732</v>
      </c>
      <c r="DD146" s="72">
        <f>+DD3-DD145</f>
        <v>6</v>
      </c>
      <c r="DF146" s="72">
        <f>+DF3-DF145</f>
        <v>4</v>
      </c>
      <c r="DH146" s="72">
        <f>+DH3-DH145</f>
        <v>24</v>
      </c>
      <c r="DJ146" s="72">
        <f>+DJ3-DJ145</f>
        <v>5</v>
      </c>
      <c r="DL146" s="72">
        <f>+DL3-DL145</f>
        <v>13</v>
      </c>
      <c r="DN146" s="72">
        <f>+DN3-DN145</f>
        <v>33</v>
      </c>
      <c r="DP146" s="72">
        <f>+DP3-DP145</f>
        <v>4875</v>
      </c>
      <c r="DR146" s="72">
        <f>+DR3-DR145</f>
        <v>5003</v>
      </c>
      <c r="DT146" s="72">
        <f>+DT3-DT145</f>
        <v>303</v>
      </c>
      <c r="DV146" s="72">
        <f>+DV3-DV145</f>
        <v>16</v>
      </c>
      <c r="DX146" s="72">
        <f>+DX3-DX145</f>
        <v>87</v>
      </c>
      <c r="DZ146" s="72">
        <f>+DZ3-DZ145</f>
        <v>18</v>
      </c>
      <c r="EB146" s="72">
        <f>+EB3-EB145</f>
        <v>92</v>
      </c>
      <c r="ED146" s="72">
        <f>+ED3-ED145</f>
        <v>911</v>
      </c>
      <c r="EF146" s="72">
        <f>+EF3-EF145</f>
        <v>1</v>
      </c>
      <c r="EH146" s="72">
        <f>+EH3-EH145</f>
        <v>16278</v>
      </c>
      <c r="EJ146" s="72">
        <f>+EJ3-EJ145</f>
        <v>51</v>
      </c>
      <c r="EL146" s="72">
        <f>+EL3-EL145</f>
        <v>1</v>
      </c>
      <c r="EN146" s="72">
        <f>+EN3-EN145</f>
        <v>1</v>
      </c>
      <c r="EP146" s="72">
        <f>+EP3-EP145</f>
        <v>8</v>
      </c>
      <c r="ER146" s="72">
        <f>+ER3-ER145</f>
        <v>2</v>
      </c>
      <c r="ET146" s="72">
        <f>+ET3-ET145</f>
        <v>34</v>
      </c>
      <c r="EV146" s="72">
        <f>+EV3-EV145</f>
        <v>3</v>
      </c>
      <c r="EX146" s="72">
        <f>+EX3-EX145</f>
        <v>23</v>
      </c>
      <c r="EZ146" s="72">
        <f>+EZ3-EZ145</f>
        <v>4</v>
      </c>
      <c r="FB146" s="72">
        <f>+FB3-FB145</f>
        <v>1</v>
      </c>
      <c r="FD146" s="72">
        <f>+FD3-FD145</f>
        <v>2</v>
      </c>
      <c r="FF146" s="72">
        <f>+FF3-FF145</f>
        <v>10</v>
      </c>
      <c r="FH146" s="72">
        <f>+FH3-FH145</f>
        <v>2300</v>
      </c>
      <c r="FJ146" s="72">
        <f>+FJ3-FJ145</f>
        <v>38</v>
      </c>
      <c r="FL146" s="72">
        <f>+FL3-FL145</f>
        <v>13</v>
      </c>
      <c r="FN146" s="72">
        <f>+FN3-FN145</f>
        <v>63</v>
      </c>
      <c r="FP146" s="72">
        <f>+FP3-FP145</f>
        <v>14</v>
      </c>
      <c r="FR146" s="72">
        <f>+FR3-FR145</f>
        <v>35</v>
      </c>
      <c r="FT146" s="72">
        <f>+FT3-FT145</f>
        <v>9328</v>
      </c>
      <c r="FV146" s="72">
        <f>+FV3-FV145</f>
        <v>119</v>
      </c>
      <c r="FX146" s="72">
        <f>+FX3-FX145</f>
        <v>137</v>
      </c>
      <c r="FZ146" s="72">
        <f>+FZ3-FZ145</f>
        <v>4427</v>
      </c>
      <c r="GB146" s="72">
        <f>+GB3-GB145</f>
        <v>993</v>
      </c>
      <c r="GD146" s="72">
        <f>+GD3-GD145</f>
        <v>5329</v>
      </c>
      <c r="GF146" s="72">
        <f>+GF3-GF145</f>
        <v>0</v>
      </c>
      <c r="GH146" s="72">
        <f>+GH3-GH145</f>
        <v>5000</v>
      </c>
      <c r="GJ146" s="72">
        <f>+GJ3-GJ145</f>
        <v>15025</v>
      </c>
      <c r="GL146" s="72">
        <f>+GL3-GL145</f>
        <v>19293</v>
      </c>
      <c r="GN146" s="72">
        <f>+GN3-GN145</f>
        <v>0</v>
      </c>
      <c r="GP146" s="72">
        <f>+GP3-GP145</f>
        <v>500</v>
      </c>
      <c r="GR146" s="72">
        <f>+GR3-GR145</f>
        <v>33</v>
      </c>
      <c r="GT146" s="72">
        <f>+GT3-GT145</f>
        <v>0</v>
      </c>
      <c r="GV146" s="72">
        <f>+GV3-GV145</f>
        <v>1</v>
      </c>
      <c r="GX146" s="72">
        <f>+GX3-GX145</f>
        <v>1</v>
      </c>
      <c r="GZ146" s="72">
        <f>+GZ3-GZ145</f>
        <v>1</v>
      </c>
      <c r="HB146" s="72">
        <f>+HB3-HB145</f>
        <v>0</v>
      </c>
      <c r="HD146" s="72">
        <f>+HD3-HD145</f>
        <v>1</v>
      </c>
      <c r="HF146" s="72">
        <f>+HF3-HF145</f>
        <v>4</v>
      </c>
      <c r="HH146" s="74">
        <f>+HH3-HH145</f>
        <v>176</v>
      </c>
      <c r="HJ146" s="74">
        <f>+HJ3-HJ145</f>
        <v>2200</v>
      </c>
    </row>
    <row r="147" spans="1:221" s="72" customFormat="1" ht="15.75">
      <c r="B147" s="73"/>
      <c r="D147" s="14"/>
      <c r="I147" s="28"/>
      <c r="J147" s="28"/>
      <c r="K147" s="73"/>
      <c r="Q147" s="27"/>
      <c r="R147" s="15"/>
      <c r="S147" s="23"/>
      <c r="T147" s="78"/>
      <c r="U147" s="78"/>
      <c r="V147" s="79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23"/>
      <c r="BO147" s="80"/>
      <c r="GD147" s="107">
        <f>SUM(GB146:GF146)</f>
        <v>6322</v>
      </c>
      <c r="HH147" s="74"/>
      <c r="HJ147" s="74"/>
    </row>
    <row r="148" spans="1:221" s="72" customFormat="1" ht="15.75" outlineLevel="1">
      <c r="A148" s="147" t="s">
        <v>265</v>
      </c>
      <c r="B148" s="73"/>
      <c r="D148" s="14"/>
      <c r="G148" s="23"/>
      <c r="K148" s="73"/>
      <c r="Q148" s="23"/>
      <c r="R148" s="23"/>
      <c r="S148" s="23"/>
      <c r="T148" s="78"/>
      <c r="U148" s="78"/>
      <c r="V148" s="79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23"/>
      <c r="BO148" s="80"/>
      <c r="CF148" s="72">
        <f>SUM(CF146:DB146)</f>
        <v>119981</v>
      </c>
      <c r="FT148" s="107">
        <f>SUM(FR146:FX146)</f>
        <v>9619</v>
      </c>
      <c r="HH148" s="74"/>
      <c r="HJ148" s="74"/>
    </row>
    <row r="149" spans="1:221" s="72" customFormat="1" ht="15.75" outlineLevel="1">
      <c r="A149" s="14"/>
      <c r="B149" s="13"/>
      <c r="C149" s="14"/>
      <c r="D149" s="14"/>
      <c r="E149" s="14"/>
      <c r="F149" s="14"/>
      <c r="G149" s="14"/>
      <c r="H149" s="14"/>
      <c r="I149" s="14"/>
      <c r="J149" s="14"/>
      <c r="K149" s="13"/>
      <c r="L149" s="14"/>
      <c r="M149" s="14"/>
      <c r="N149" s="14"/>
      <c r="O149" s="14"/>
      <c r="P149" s="14"/>
      <c r="Q149" s="27" t="s">
        <v>51</v>
      </c>
      <c r="R149" s="210" t="s">
        <v>52</v>
      </c>
      <c r="S149" s="210"/>
      <c r="T149" s="29" t="s">
        <v>53</v>
      </c>
      <c r="U149" s="30"/>
      <c r="V149" s="17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23"/>
      <c r="BO149" s="80"/>
      <c r="HH149" s="74"/>
      <c r="HJ149" s="74"/>
    </row>
    <row r="150" spans="1:221" s="72" customFormat="1" ht="15.75" outlineLevel="1">
      <c r="A150" s="48" t="s">
        <v>98</v>
      </c>
      <c r="B150" s="49" t="s">
        <v>99</v>
      </c>
      <c r="C150" s="48" t="s">
        <v>100</v>
      </c>
      <c r="D150" s="48"/>
      <c r="E150" s="48" t="s">
        <v>102</v>
      </c>
      <c r="F150" s="48" t="s">
        <v>266</v>
      </c>
      <c r="G150" s="48" t="s">
        <v>103</v>
      </c>
      <c r="H150" s="48" t="s">
        <v>104</v>
      </c>
      <c r="I150" s="48" t="s">
        <v>105</v>
      </c>
      <c r="J150" s="48" t="s">
        <v>106</v>
      </c>
      <c r="K150" s="49" t="s">
        <v>267</v>
      </c>
      <c r="L150" s="48" t="s">
        <v>107</v>
      </c>
      <c r="M150" s="48" t="s">
        <v>200</v>
      </c>
      <c r="N150" s="48"/>
      <c r="O150" s="48"/>
      <c r="P150" s="48"/>
      <c r="Q150" s="48" t="s">
        <v>111</v>
      </c>
      <c r="R150" s="27" t="s">
        <v>112</v>
      </c>
      <c r="S150" s="27" t="s">
        <v>113</v>
      </c>
      <c r="T150" s="49"/>
      <c r="U150" s="148"/>
      <c r="V150" s="149"/>
      <c r="W150" s="148"/>
      <c r="X150" s="148"/>
      <c r="Y150" s="148"/>
      <c r="Z150" s="148"/>
      <c r="AA150" s="148"/>
      <c r="AB150" s="148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8"/>
      <c r="AP150" s="148"/>
      <c r="AQ150" s="148"/>
      <c r="AR150" s="148"/>
      <c r="AS150" s="148"/>
      <c r="AT150" s="148"/>
      <c r="AU150" s="148"/>
      <c r="AV150" s="148"/>
      <c r="AW150" s="148"/>
      <c r="AX150" s="148"/>
      <c r="AY150" s="148"/>
      <c r="AZ150" s="148"/>
      <c r="BA150" s="148"/>
      <c r="BB150" s="148"/>
      <c r="BC150" s="148"/>
      <c r="BD150" s="148"/>
      <c r="BE150" s="148"/>
      <c r="BF150" s="23"/>
      <c r="BO150" s="80"/>
      <c r="HH150" s="74"/>
      <c r="HJ150" s="74"/>
    </row>
    <row r="151" spans="1:221" s="72" customFormat="1" ht="15.75" outlineLevel="1">
      <c r="A151" s="72" t="s">
        <v>119</v>
      </c>
      <c r="B151" s="73" t="s">
        <v>120</v>
      </c>
      <c r="D151" s="14"/>
      <c r="E151" s="72">
        <v>1</v>
      </c>
      <c r="F151" s="72" t="s">
        <v>268</v>
      </c>
      <c r="G151" s="72" t="s">
        <v>151</v>
      </c>
      <c r="H151" s="114">
        <v>36301</v>
      </c>
      <c r="I151" s="72" t="s">
        <v>269</v>
      </c>
      <c r="J151" s="72" t="s">
        <v>124</v>
      </c>
      <c r="K151" s="73" t="s">
        <v>270</v>
      </c>
      <c r="L151" s="72" t="s">
        <v>125</v>
      </c>
      <c r="M151" s="150" t="s">
        <v>271</v>
      </c>
      <c r="N151" s="72" t="str">
        <f>CONCATENATE(B151,J151)</f>
        <v>30CSR</v>
      </c>
      <c r="Q151" s="23">
        <v>13800</v>
      </c>
      <c r="R151" s="23"/>
      <c r="S151" s="23">
        <f>+Q151</f>
        <v>13800</v>
      </c>
      <c r="T151" s="78">
        <v>37147</v>
      </c>
      <c r="U151" s="78"/>
      <c r="V151" s="79">
        <v>6900</v>
      </c>
      <c r="W151" s="78">
        <f t="shared" ref="W151:AX151" si="162">V151</f>
        <v>6900</v>
      </c>
      <c r="X151" s="78">
        <f t="shared" si="162"/>
        <v>6900</v>
      </c>
      <c r="Y151" s="78">
        <f t="shared" si="162"/>
        <v>6900</v>
      </c>
      <c r="Z151" s="78">
        <f t="shared" si="162"/>
        <v>6900</v>
      </c>
      <c r="AA151" s="78">
        <f t="shared" si="162"/>
        <v>6900</v>
      </c>
      <c r="AB151" s="78">
        <f t="shared" si="162"/>
        <v>6900</v>
      </c>
      <c r="AC151" s="78">
        <f t="shared" si="162"/>
        <v>6900</v>
      </c>
      <c r="AD151" s="78">
        <f t="shared" si="162"/>
        <v>6900</v>
      </c>
      <c r="AE151" s="78">
        <f t="shared" si="162"/>
        <v>6900</v>
      </c>
      <c r="AF151" s="78">
        <f t="shared" si="162"/>
        <v>6900</v>
      </c>
      <c r="AG151" s="78">
        <f t="shared" si="162"/>
        <v>6900</v>
      </c>
      <c r="AH151" s="78">
        <f t="shared" si="162"/>
        <v>6900</v>
      </c>
      <c r="AI151" s="78">
        <f t="shared" si="162"/>
        <v>6900</v>
      </c>
      <c r="AJ151" s="78">
        <f t="shared" si="162"/>
        <v>6900</v>
      </c>
      <c r="AK151" s="78">
        <f t="shared" si="162"/>
        <v>6900</v>
      </c>
      <c r="AL151" s="78">
        <f t="shared" si="162"/>
        <v>6900</v>
      </c>
      <c r="AM151" s="78">
        <f t="shared" si="162"/>
        <v>6900</v>
      </c>
      <c r="AN151" s="78">
        <f t="shared" si="162"/>
        <v>6900</v>
      </c>
      <c r="AO151" s="78">
        <f t="shared" si="162"/>
        <v>6900</v>
      </c>
      <c r="AP151" s="78">
        <f t="shared" si="162"/>
        <v>6900</v>
      </c>
      <c r="AQ151" s="78">
        <f t="shared" si="162"/>
        <v>6900</v>
      </c>
      <c r="AR151" s="78">
        <f t="shared" si="162"/>
        <v>6900</v>
      </c>
      <c r="AS151" s="78">
        <f t="shared" si="162"/>
        <v>6900</v>
      </c>
      <c r="AT151" s="78">
        <f t="shared" si="162"/>
        <v>6900</v>
      </c>
      <c r="AU151" s="78">
        <f t="shared" si="162"/>
        <v>6900</v>
      </c>
      <c r="AV151" s="78">
        <f t="shared" si="162"/>
        <v>6900</v>
      </c>
      <c r="AW151" s="78">
        <f t="shared" si="162"/>
        <v>6900</v>
      </c>
      <c r="AX151" s="78">
        <f t="shared" si="162"/>
        <v>6900</v>
      </c>
      <c r="AY151" s="78">
        <f t="shared" ref="AY151:AZ156" si="163">AX151</f>
        <v>6900</v>
      </c>
      <c r="AZ151" s="78">
        <f t="shared" si="163"/>
        <v>6900</v>
      </c>
      <c r="BA151" s="78"/>
      <c r="BB151" s="78">
        <f t="shared" ref="BB151:BB156" si="164">SUM(V151:AX151)</f>
        <v>200100</v>
      </c>
      <c r="BC151" s="78">
        <f t="shared" ref="BC151:BC156" si="165">+BB151/29</f>
        <v>6900</v>
      </c>
      <c r="BD151" s="78">
        <f t="shared" ref="BD151:BD156" si="166">MAX(V151:AX151)</f>
        <v>6900</v>
      </c>
      <c r="BE151" s="78"/>
      <c r="BF151" s="23"/>
      <c r="BO151" s="80"/>
      <c r="HH151" s="74"/>
      <c r="HJ151" s="74"/>
      <c r="HL151" s="23">
        <f>Q151-SUM(BG151:FA151)</f>
        <v>13800</v>
      </c>
      <c r="HM151" s="23"/>
    </row>
    <row r="152" spans="1:221" s="72" customFormat="1" ht="15.75" outlineLevel="1">
      <c r="A152" s="72" t="s">
        <v>154</v>
      </c>
      <c r="B152" s="73">
        <v>27</v>
      </c>
      <c r="D152" s="14">
        <v>19</v>
      </c>
      <c r="E152" s="72">
        <v>3</v>
      </c>
      <c r="F152" s="72" t="s">
        <v>272</v>
      </c>
      <c r="G152" s="72" t="s">
        <v>156</v>
      </c>
      <c r="H152" s="114">
        <v>36304</v>
      </c>
      <c r="I152" s="72" t="s">
        <v>269</v>
      </c>
      <c r="J152" s="72" t="s">
        <v>124</v>
      </c>
      <c r="K152" s="73" t="s">
        <v>273</v>
      </c>
      <c r="L152" s="72" t="s">
        <v>132</v>
      </c>
      <c r="N152" s="72" t="str">
        <f>CONCATENATE(B152,J152)</f>
        <v>27R</v>
      </c>
      <c r="Q152" s="23">
        <f>+BC152</f>
        <v>0</v>
      </c>
      <c r="R152" s="23"/>
      <c r="S152" s="23">
        <f>+Q152</f>
        <v>0</v>
      </c>
      <c r="T152" s="78" t="s">
        <v>274</v>
      </c>
      <c r="U152" s="78"/>
      <c r="V152" s="79">
        <v>0</v>
      </c>
      <c r="W152" s="78">
        <f t="shared" ref="W152:AX152" si="167">V152</f>
        <v>0</v>
      </c>
      <c r="X152" s="78">
        <f t="shared" si="167"/>
        <v>0</v>
      </c>
      <c r="Y152" s="78">
        <f t="shared" si="167"/>
        <v>0</v>
      </c>
      <c r="Z152" s="78">
        <f t="shared" si="167"/>
        <v>0</v>
      </c>
      <c r="AA152" s="78">
        <f t="shared" si="167"/>
        <v>0</v>
      </c>
      <c r="AB152" s="78">
        <f t="shared" si="167"/>
        <v>0</v>
      </c>
      <c r="AC152" s="78">
        <f t="shared" si="167"/>
        <v>0</v>
      </c>
      <c r="AD152" s="78">
        <f t="shared" si="167"/>
        <v>0</v>
      </c>
      <c r="AE152" s="78">
        <f t="shared" si="167"/>
        <v>0</v>
      </c>
      <c r="AF152" s="78">
        <f t="shared" si="167"/>
        <v>0</v>
      </c>
      <c r="AG152" s="78">
        <f t="shared" si="167"/>
        <v>0</v>
      </c>
      <c r="AH152" s="78">
        <f t="shared" si="167"/>
        <v>0</v>
      </c>
      <c r="AI152" s="78">
        <f t="shared" si="167"/>
        <v>0</v>
      </c>
      <c r="AJ152" s="78">
        <f t="shared" si="167"/>
        <v>0</v>
      </c>
      <c r="AK152" s="78">
        <f t="shared" si="167"/>
        <v>0</v>
      </c>
      <c r="AL152" s="78">
        <f t="shared" si="167"/>
        <v>0</v>
      </c>
      <c r="AM152" s="78">
        <f t="shared" si="167"/>
        <v>0</v>
      </c>
      <c r="AN152" s="78">
        <f t="shared" si="167"/>
        <v>0</v>
      </c>
      <c r="AO152" s="78">
        <f t="shared" si="167"/>
        <v>0</v>
      </c>
      <c r="AP152" s="78">
        <f t="shared" si="167"/>
        <v>0</v>
      </c>
      <c r="AQ152" s="78">
        <f t="shared" si="167"/>
        <v>0</v>
      </c>
      <c r="AR152" s="78">
        <f t="shared" si="167"/>
        <v>0</v>
      </c>
      <c r="AS152" s="78">
        <f t="shared" si="167"/>
        <v>0</v>
      </c>
      <c r="AT152" s="78">
        <f t="shared" si="167"/>
        <v>0</v>
      </c>
      <c r="AU152" s="78">
        <f t="shared" si="167"/>
        <v>0</v>
      </c>
      <c r="AV152" s="78">
        <f t="shared" si="167"/>
        <v>0</v>
      </c>
      <c r="AW152" s="78">
        <f t="shared" si="167"/>
        <v>0</v>
      </c>
      <c r="AX152" s="78">
        <f t="shared" si="167"/>
        <v>0</v>
      </c>
      <c r="AY152" s="78">
        <f t="shared" si="163"/>
        <v>0</v>
      </c>
      <c r="AZ152" s="78">
        <f t="shared" si="163"/>
        <v>0</v>
      </c>
      <c r="BA152" s="78"/>
      <c r="BB152" s="78">
        <f t="shared" si="164"/>
        <v>0</v>
      </c>
      <c r="BC152" s="78">
        <f t="shared" si="165"/>
        <v>0</v>
      </c>
      <c r="BD152" s="78">
        <f t="shared" si="166"/>
        <v>0</v>
      </c>
      <c r="BE152" s="78"/>
      <c r="BF152" s="23"/>
      <c r="BO152" s="80"/>
      <c r="GI152" s="151"/>
      <c r="HH152" s="74"/>
      <c r="HJ152" s="74"/>
      <c r="HL152" s="23">
        <f>V152-SUM(BG152:FA152)</f>
        <v>0</v>
      </c>
      <c r="HM152" s="23"/>
    </row>
    <row r="153" spans="1:221" s="151" customFormat="1" ht="15.75" outlineLevel="1">
      <c r="A153" s="151" t="s">
        <v>164</v>
      </c>
      <c r="B153" s="152" t="s">
        <v>165</v>
      </c>
      <c r="D153" s="153"/>
      <c r="E153" s="151">
        <v>4</v>
      </c>
      <c r="F153" s="151" t="s">
        <v>275</v>
      </c>
      <c r="G153" s="151" t="s">
        <v>151</v>
      </c>
      <c r="H153" s="114">
        <v>36301</v>
      </c>
      <c r="K153" s="152" t="s">
        <v>276</v>
      </c>
      <c r="L153" s="151" t="s">
        <v>125</v>
      </c>
      <c r="M153" s="151" t="s">
        <v>277</v>
      </c>
      <c r="Q153" s="154">
        <v>306</v>
      </c>
      <c r="R153" s="154"/>
      <c r="S153" s="154">
        <v>306</v>
      </c>
      <c r="T153" s="155" t="s">
        <v>278</v>
      </c>
      <c r="U153" s="155"/>
      <c r="V153" s="156">
        <v>0</v>
      </c>
      <c r="W153" s="78">
        <f t="shared" ref="W153:AX153" si="168">V153</f>
        <v>0</v>
      </c>
      <c r="X153" s="78">
        <f t="shared" si="168"/>
        <v>0</v>
      </c>
      <c r="Y153" s="78">
        <f t="shared" si="168"/>
        <v>0</v>
      </c>
      <c r="Z153" s="78">
        <f t="shared" si="168"/>
        <v>0</v>
      </c>
      <c r="AA153" s="78">
        <f t="shared" si="168"/>
        <v>0</v>
      </c>
      <c r="AB153" s="78">
        <f t="shared" si="168"/>
        <v>0</v>
      </c>
      <c r="AC153" s="78">
        <f t="shared" si="168"/>
        <v>0</v>
      </c>
      <c r="AD153" s="78">
        <f t="shared" si="168"/>
        <v>0</v>
      </c>
      <c r="AE153" s="78">
        <f t="shared" si="168"/>
        <v>0</v>
      </c>
      <c r="AF153" s="78">
        <f t="shared" si="168"/>
        <v>0</v>
      </c>
      <c r="AG153" s="78">
        <f t="shared" si="168"/>
        <v>0</v>
      </c>
      <c r="AH153" s="78">
        <f t="shared" si="168"/>
        <v>0</v>
      </c>
      <c r="AI153" s="78">
        <f t="shared" si="168"/>
        <v>0</v>
      </c>
      <c r="AJ153" s="78">
        <f t="shared" si="168"/>
        <v>0</v>
      </c>
      <c r="AK153" s="78">
        <f t="shared" si="168"/>
        <v>0</v>
      </c>
      <c r="AL153" s="78">
        <f t="shared" si="168"/>
        <v>0</v>
      </c>
      <c r="AM153" s="78">
        <f t="shared" si="168"/>
        <v>0</v>
      </c>
      <c r="AN153" s="78">
        <f t="shared" si="168"/>
        <v>0</v>
      </c>
      <c r="AO153" s="78">
        <f t="shared" si="168"/>
        <v>0</v>
      </c>
      <c r="AP153" s="78">
        <f t="shared" si="168"/>
        <v>0</v>
      </c>
      <c r="AQ153" s="78">
        <f t="shared" si="168"/>
        <v>0</v>
      </c>
      <c r="AR153" s="78">
        <f t="shared" si="168"/>
        <v>0</v>
      </c>
      <c r="AS153" s="78">
        <f t="shared" si="168"/>
        <v>0</v>
      </c>
      <c r="AT153" s="78">
        <f t="shared" si="168"/>
        <v>0</v>
      </c>
      <c r="AU153" s="78">
        <f t="shared" si="168"/>
        <v>0</v>
      </c>
      <c r="AV153" s="78">
        <f t="shared" si="168"/>
        <v>0</v>
      </c>
      <c r="AW153" s="78">
        <f t="shared" si="168"/>
        <v>0</v>
      </c>
      <c r="AX153" s="78">
        <f t="shared" si="168"/>
        <v>0</v>
      </c>
      <c r="AY153" s="78">
        <f t="shared" si="163"/>
        <v>0</v>
      </c>
      <c r="AZ153" s="78">
        <f t="shared" si="163"/>
        <v>0</v>
      </c>
      <c r="BA153" s="155"/>
      <c r="BB153" s="155">
        <f t="shared" si="164"/>
        <v>0</v>
      </c>
      <c r="BC153" s="78">
        <f t="shared" si="165"/>
        <v>0</v>
      </c>
      <c r="BD153" s="78">
        <f t="shared" si="166"/>
        <v>0</v>
      </c>
      <c r="BE153" s="155"/>
      <c r="BF153" s="154"/>
      <c r="BO153" s="157"/>
      <c r="HH153" s="158"/>
      <c r="HJ153" s="158"/>
      <c r="HL153" s="154"/>
      <c r="HM153" s="154"/>
    </row>
    <row r="154" spans="1:221" s="151" customFormat="1" ht="15.75" outlineLevel="1">
      <c r="A154" s="151" t="s">
        <v>164</v>
      </c>
      <c r="B154" s="152" t="s">
        <v>165</v>
      </c>
      <c r="D154" s="153"/>
      <c r="E154" s="151">
        <v>4</v>
      </c>
      <c r="F154" s="151" t="s">
        <v>275</v>
      </c>
      <c r="G154" s="151" t="s">
        <v>151</v>
      </c>
      <c r="H154" s="114">
        <v>36301</v>
      </c>
      <c r="K154" s="152" t="s">
        <v>279</v>
      </c>
      <c r="L154" s="151" t="s">
        <v>125</v>
      </c>
      <c r="M154" s="151" t="s">
        <v>280</v>
      </c>
      <c r="Q154" s="154">
        <v>1060</v>
      </c>
      <c r="R154" s="154"/>
      <c r="S154" s="154">
        <v>1060</v>
      </c>
      <c r="T154" s="155" t="s">
        <v>278</v>
      </c>
      <c r="U154" s="155"/>
      <c r="V154" s="156">
        <v>0</v>
      </c>
      <c r="W154" s="78">
        <f t="shared" ref="W154:AX154" si="169">V154</f>
        <v>0</v>
      </c>
      <c r="X154" s="78">
        <f t="shared" si="169"/>
        <v>0</v>
      </c>
      <c r="Y154" s="78">
        <f t="shared" si="169"/>
        <v>0</v>
      </c>
      <c r="Z154" s="78">
        <f t="shared" si="169"/>
        <v>0</v>
      </c>
      <c r="AA154" s="78">
        <f t="shared" si="169"/>
        <v>0</v>
      </c>
      <c r="AB154" s="78">
        <f t="shared" si="169"/>
        <v>0</v>
      </c>
      <c r="AC154" s="78">
        <f t="shared" si="169"/>
        <v>0</v>
      </c>
      <c r="AD154" s="78">
        <f t="shared" si="169"/>
        <v>0</v>
      </c>
      <c r="AE154" s="78">
        <f t="shared" si="169"/>
        <v>0</v>
      </c>
      <c r="AF154" s="78">
        <f t="shared" si="169"/>
        <v>0</v>
      </c>
      <c r="AG154" s="78">
        <f t="shared" si="169"/>
        <v>0</v>
      </c>
      <c r="AH154" s="78">
        <f t="shared" si="169"/>
        <v>0</v>
      </c>
      <c r="AI154" s="78">
        <f t="shared" si="169"/>
        <v>0</v>
      </c>
      <c r="AJ154" s="78">
        <f t="shared" si="169"/>
        <v>0</v>
      </c>
      <c r="AK154" s="78">
        <f t="shared" si="169"/>
        <v>0</v>
      </c>
      <c r="AL154" s="78">
        <f t="shared" si="169"/>
        <v>0</v>
      </c>
      <c r="AM154" s="78">
        <f t="shared" si="169"/>
        <v>0</v>
      </c>
      <c r="AN154" s="78">
        <f t="shared" si="169"/>
        <v>0</v>
      </c>
      <c r="AO154" s="78">
        <f t="shared" si="169"/>
        <v>0</v>
      </c>
      <c r="AP154" s="78">
        <f t="shared" si="169"/>
        <v>0</v>
      </c>
      <c r="AQ154" s="78">
        <f t="shared" si="169"/>
        <v>0</v>
      </c>
      <c r="AR154" s="78">
        <f t="shared" si="169"/>
        <v>0</v>
      </c>
      <c r="AS154" s="78">
        <f t="shared" si="169"/>
        <v>0</v>
      </c>
      <c r="AT154" s="78">
        <f t="shared" si="169"/>
        <v>0</v>
      </c>
      <c r="AU154" s="78">
        <f t="shared" si="169"/>
        <v>0</v>
      </c>
      <c r="AV154" s="78">
        <f t="shared" si="169"/>
        <v>0</v>
      </c>
      <c r="AW154" s="78">
        <f t="shared" si="169"/>
        <v>0</v>
      </c>
      <c r="AX154" s="78">
        <f t="shared" si="169"/>
        <v>0</v>
      </c>
      <c r="AY154" s="78">
        <f t="shared" si="163"/>
        <v>0</v>
      </c>
      <c r="AZ154" s="78">
        <f t="shared" si="163"/>
        <v>0</v>
      </c>
      <c r="BA154" s="155"/>
      <c r="BB154" s="155">
        <f t="shared" si="164"/>
        <v>0</v>
      </c>
      <c r="BC154" s="78">
        <f t="shared" si="165"/>
        <v>0</v>
      </c>
      <c r="BD154" s="78">
        <f t="shared" si="166"/>
        <v>0</v>
      </c>
      <c r="BE154" s="155"/>
      <c r="BF154" s="154"/>
      <c r="BO154" s="157"/>
      <c r="GI154" s="72"/>
      <c r="HH154" s="158"/>
      <c r="HJ154" s="158"/>
      <c r="HL154" s="154"/>
      <c r="HM154" s="154"/>
    </row>
    <row r="155" spans="1:221" s="72" customFormat="1" ht="15.75" outlineLevel="1">
      <c r="A155" s="72" t="s">
        <v>164</v>
      </c>
      <c r="B155" s="73" t="s">
        <v>165</v>
      </c>
      <c r="D155" s="14"/>
      <c r="E155" s="72">
        <v>4</v>
      </c>
      <c r="F155" s="72" t="s">
        <v>281</v>
      </c>
      <c r="G155" s="151" t="s">
        <v>151</v>
      </c>
      <c r="H155" s="114">
        <v>36301</v>
      </c>
      <c r="I155" s="72" t="s">
        <v>269</v>
      </c>
      <c r="J155" s="72" t="s">
        <v>124</v>
      </c>
      <c r="K155" s="73" t="s">
        <v>282</v>
      </c>
      <c r="L155" s="72" t="s">
        <v>125</v>
      </c>
      <c r="M155" s="150" t="s">
        <v>283</v>
      </c>
      <c r="N155" s="72" t="str">
        <f>CONCATENATE(B155,J155)</f>
        <v>25ER</v>
      </c>
      <c r="Q155" s="23">
        <v>3785</v>
      </c>
      <c r="R155" s="23"/>
      <c r="S155" s="23">
        <f>+Q155</f>
        <v>3785</v>
      </c>
      <c r="T155" s="78">
        <v>37147</v>
      </c>
      <c r="U155" s="78"/>
      <c r="V155" s="79">
        <v>0</v>
      </c>
      <c r="W155" s="78">
        <f t="shared" ref="W155:AX155" si="170">V155</f>
        <v>0</v>
      </c>
      <c r="X155" s="78">
        <f t="shared" si="170"/>
        <v>0</v>
      </c>
      <c r="Y155" s="78">
        <f t="shared" si="170"/>
        <v>0</v>
      </c>
      <c r="Z155" s="78">
        <f t="shared" si="170"/>
        <v>0</v>
      </c>
      <c r="AA155" s="78">
        <f t="shared" si="170"/>
        <v>0</v>
      </c>
      <c r="AB155" s="78">
        <f t="shared" si="170"/>
        <v>0</v>
      </c>
      <c r="AC155" s="78">
        <f t="shared" si="170"/>
        <v>0</v>
      </c>
      <c r="AD155" s="78">
        <f t="shared" si="170"/>
        <v>0</v>
      </c>
      <c r="AE155" s="78">
        <f t="shared" si="170"/>
        <v>0</v>
      </c>
      <c r="AF155" s="78">
        <f t="shared" si="170"/>
        <v>0</v>
      </c>
      <c r="AG155" s="78">
        <f t="shared" si="170"/>
        <v>0</v>
      </c>
      <c r="AH155" s="78">
        <f t="shared" si="170"/>
        <v>0</v>
      </c>
      <c r="AI155" s="78">
        <f t="shared" si="170"/>
        <v>0</v>
      </c>
      <c r="AJ155" s="78">
        <f t="shared" si="170"/>
        <v>0</v>
      </c>
      <c r="AK155" s="78">
        <f t="shared" si="170"/>
        <v>0</v>
      </c>
      <c r="AL155" s="78">
        <f t="shared" si="170"/>
        <v>0</v>
      </c>
      <c r="AM155" s="78">
        <f t="shared" si="170"/>
        <v>0</v>
      </c>
      <c r="AN155" s="78">
        <f t="shared" si="170"/>
        <v>0</v>
      </c>
      <c r="AO155" s="78">
        <f t="shared" si="170"/>
        <v>0</v>
      </c>
      <c r="AP155" s="78">
        <f t="shared" si="170"/>
        <v>0</v>
      </c>
      <c r="AQ155" s="78">
        <f t="shared" si="170"/>
        <v>0</v>
      </c>
      <c r="AR155" s="78">
        <f t="shared" si="170"/>
        <v>0</v>
      </c>
      <c r="AS155" s="78">
        <f t="shared" si="170"/>
        <v>0</v>
      </c>
      <c r="AT155" s="78">
        <f t="shared" si="170"/>
        <v>0</v>
      </c>
      <c r="AU155" s="78">
        <f t="shared" si="170"/>
        <v>0</v>
      </c>
      <c r="AV155" s="78">
        <f t="shared" si="170"/>
        <v>0</v>
      </c>
      <c r="AW155" s="78">
        <f t="shared" si="170"/>
        <v>0</v>
      </c>
      <c r="AX155" s="78">
        <f t="shared" si="170"/>
        <v>0</v>
      </c>
      <c r="AY155" s="78">
        <f t="shared" si="163"/>
        <v>0</v>
      </c>
      <c r="AZ155" s="78">
        <f t="shared" si="163"/>
        <v>0</v>
      </c>
      <c r="BA155" s="78"/>
      <c r="BB155" s="78">
        <f t="shared" si="164"/>
        <v>0</v>
      </c>
      <c r="BC155" s="78">
        <f t="shared" si="165"/>
        <v>0</v>
      </c>
      <c r="BD155" s="78">
        <f t="shared" si="166"/>
        <v>0</v>
      </c>
      <c r="BE155" s="78"/>
      <c r="BF155" s="23"/>
      <c r="BO155" s="80"/>
      <c r="GI155" s="151"/>
      <c r="HH155" s="74"/>
      <c r="HJ155" s="74"/>
      <c r="HL155" s="23">
        <f>Q155-SUM(BG155:FA155)</f>
        <v>3785</v>
      </c>
      <c r="HM155" s="23"/>
    </row>
    <row r="156" spans="1:221" s="56" customFormat="1" ht="15.75" outlineLevel="1">
      <c r="A156" s="56" t="s">
        <v>199</v>
      </c>
      <c r="B156" s="57">
        <v>23</v>
      </c>
      <c r="D156" s="36">
        <v>4</v>
      </c>
      <c r="E156" s="56">
        <v>7</v>
      </c>
      <c r="F156" s="56" t="s">
        <v>284</v>
      </c>
      <c r="G156" s="56" t="s">
        <v>143</v>
      </c>
      <c r="H156" s="58">
        <v>36301</v>
      </c>
      <c r="K156" s="57" t="s">
        <v>285</v>
      </c>
      <c r="M156" s="186" t="s">
        <v>286</v>
      </c>
      <c r="Q156" s="59">
        <v>500</v>
      </c>
      <c r="R156" s="59"/>
      <c r="S156" s="59">
        <v>500</v>
      </c>
      <c r="T156" s="60">
        <v>37147</v>
      </c>
      <c r="U156" s="60"/>
      <c r="V156" s="61">
        <v>500</v>
      </c>
      <c r="W156" s="60">
        <f t="shared" ref="W156:AX156" si="171">V156</f>
        <v>500</v>
      </c>
      <c r="X156" s="60">
        <f t="shared" si="171"/>
        <v>500</v>
      </c>
      <c r="Y156" s="60">
        <f t="shared" si="171"/>
        <v>500</v>
      </c>
      <c r="Z156" s="60">
        <f t="shared" si="171"/>
        <v>500</v>
      </c>
      <c r="AA156" s="60">
        <f t="shared" si="171"/>
        <v>500</v>
      </c>
      <c r="AB156" s="60">
        <f t="shared" si="171"/>
        <v>500</v>
      </c>
      <c r="AC156" s="60">
        <f t="shared" si="171"/>
        <v>500</v>
      </c>
      <c r="AD156" s="60">
        <f t="shared" si="171"/>
        <v>500</v>
      </c>
      <c r="AE156" s="60">
        <f t="shared" si="171"/>
        <v>500</v>
      </c>
      <c r="AF156" s="60">
        <f t="shared" si="171"/>
        <v>500</v>
      </c>
      <c r="AG156" s="60">
        <f t="shared" si="171"/>
        <v>500</v>
      </c>
      <c r="AH156" s="60">
        <f t="shared" si="171"/>
        <v>500</v>
      </c>
      <c r="AI156" s="60">
        <f t="shared" si="171"/>
        <v>500</v>
      </c>
      <c r="AJ156" s="60">
        <f t="shared" si="171"/>
        <v>500</v>
      </c>
      <c r="AK156" s="60">
        <f t="shared" si="171"/>
        <v>500</v>
      </c>
      <c r="AL156" s="60">
        <f t="shared" si="171"/>
        <v>500</v>
      </c>
      <c r="AM156" s="60">
        <f t="shared" si="171"/>
        <v>500</v>
      </c>
      <c r="AN156" s="60">
        <f t="shared" si="171"/>
        <v>500</v>
      </c>
      <c r="AO156" s="60">
        <f t="shared" si="171"/>
        <v>500</v>
      </c>
      <c r="AP156" s="60">
        <f t="shared" si="171"/>
        <v>500</v>
      </c>
      <c r="AQ156" s="60">
        <f t="shared" si="171"/>
        <v>500</v>
      </c>
      <c r="AR156" s="60">
        <f t="shared" si="171"/>
        <v>500</v>
      </c>
      <c r="AS156" s="60">
        <f t="shared" si="171"/>
        <v>500</v>
      </c>
      <c r="AT156" s="60">
        <f t="shared" si="171"/>
        <v>500</v>
      </c>
      <c r="AU156" s="60">
        <f t="shared" si="171"/>
        <v>500</v>
      </c>
      <c r="AV156" s="60">
        <f t="shared" si="171"/>
        <v>500</v>
      </c>
      <c r="AW156" s="60">
        <f t="shared" si="171"/>
        <v>500</v>
      </c>
      <c r="AX156" s="60">
        <f t="shared" si="171"/>
        <v>500</v>
      </c>
      <c r="AY156" s="60">
        <f t="shared" si="163"/>
        <v>500</v>
      </c>
      <c r="AZ156" s="60">
        <f t="shared" si="163"/>
        <v>500</v>
      </c>
      <c r="BA156" s="60"/>
      <c r="BB156" s="60">
        <f t="shared" si="164"/>
        <v>14500</v>
      </c>
      <c r="BC156" s="60">
        <f t="shared" si="165"/>
        <v>500</v>
      </c>
      <c r="BD156" s="60">
        <f t="shared" si="166"/>
        <v>500</v>
      </c>
      <c r="BE156" s="60"/>
      <c r="BF156" s="59"/>
      <c r="BO156" s="62"/>
      <c r="HH156" s="63"/>
      <c r="HJ156" s="63"/>
      <c r="HL156" s="59"/>
      <c r="HM156" s="59"/>
    </row>
    <row r="157" spans="1:221" s="72" customFormat="1" ht="15.75" outlineLevel="1">
      <c r="B157" s="73"/>
      <c r="D157" s="14"/>
      <c r="K157" s="73"/>
      <c r="Q157" s="23"/>
      <c r="R157" s="23"/>
      <c r="S157" s="23"/>
      <c r="T157" s="78"/>
      <c r="U157" s="78"/>
      <c r="V157" s="79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23"/>
      <c r="BO157" s="80"/>
      <c r="HH157" s="74"/>
      <c r="HJ157" s="74"/>
    </row>
    <row r="158" spans="1:221" s="72" customFormat="1" ht="15.75" outlineLevel="1">
      <c r="A158" s="72" t="s">
        <v>199</v>
      </c>
      <c r="B158" s="73">
        <v>23</v>
      </c>
      <c r="D158" s="14"/>
      <c r="E158" s="72">
        <v>7</v>
      </c>
      <c r="F158" s="72" t="s">
        <v>287</v>
      </c>
      <c r="G158" s="72" t="s">
        <v>288</v>
      </c>
      <c r="H158" s="114">
        <v>36306</v>
      </c>
      <c r="I158" s="72" t="s">
        <v>269</v>
      </c>
      <c r="J158" s="72" t="s">
        <v>124</v>
      </c>
      <c r="K158" s="73" t="s">
        <v>289</v>
      </c>
      <c r="L158" s="72" t="s">
        <v>125</v>
      </c>
      <c r="Q158" s="23">
        <v>2482</v>
      </c>
      <c r="R158" s="23"/>
      <c r="S158" s="23">
        <f>+Q158</f>
        <v>2482</v>
      </c>
      <c r="T158" s="78" t="s">
        <v>290</v>
      </c>
      <c r="U158" s="78"/>
      <c r="V158" s="79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>
        <f>MAX(V158:AX158)</f>
        <v>0</v>
      </c>
      <c r="BE158" s="78"/>
      <c r="BF158" s="23"/>
      <c r="BO158" s="80"/>
      <c r="HH158" s="74"/>
      <c r="HJ158" s="74"/>
    </row>
    <row r="159" spans="1:221" s="72" customFormat="1" ht="15.75" outlineLevel="1">
      <c r="A159" s="72" t="s">
        <v>199</v>
      </c>
      <c r="B159" s="73">
        <v>23</v>
      </c>
      <c r="D159" s="14"/>
      <c r="E159" s="72">
        <v>7</v>
      </c>
      <c r="F159" s="72" t="s">
        <v>287</v>
      </c>
      <c r="G159" s="72" t="s">
        <v>288</v>
      </c>
      <c r="H159" s="114">
        <v>36306</v>
      </c>
      <c r="I159" s="72" t="s">
        <v>269</v>
      </c>
      <c r="J159" s="72" t="s">
        <v>124</v>
      </c>
      <c r="K159" s="73" t="s">
        <v>291</v>
      </c>
      <c r="L159" s="72" t="s">
        <v>125</v>
      </c>
      <c r="Q159" s="23">
        <v>768</v>
      </c>
      <c r="R159" s="23"/>
      <c r="S159" s="23">
        <f>+Q159</f>
        <v>768</v>
      </c>
      <c r="T159" s="78" t="s">
        <v>292</v>
      </c>
      <c r="U159" s="78"/>
      <c r="V159" s="79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>
        <f>MAX(V159:AX159)</f>
        <v>0</v>
      </c>
      <c r="BE159" s="78"/>
      <c r="BF159" s="23"/>
      <c r="BO159" s="80"/>
      <c r="HH159" s="74"/>
      <c r="HJ159" s="74"/>
    </row>
    <row r="160" spans="1:221" s="72" customFormat="1" ht="15.75" outlineLevel="1">
      <c r="A160" s="72" t="s">
        <v>293</v>
      </c>
      <c r="B160" s="73">
        <v>33</v>
      </c>
      <c r="D160" s="14"/>
      <c r="E160" s="72">
        <v>7</v>
      </c>
      <c r="F160" s="72" t="s">
        <v>287</v>
      </c>
      <c r="G160" s="72" t="s">
        <v>288</v>
      </c>
      <c r="H160" s="114">
        <v>36306</v>
      </c>
      <c r="I160" s="72" t="s">
        <v>269</v>
      </c>
      <c r="J160" s="72" t="s">
        <v>124</v>
      </c>
      <c r="K160" s="73" t="s">
        <v>294</v>
      </c>
      <c r="L160" s="72" t="s">
        <v>125</v>
      </c>
      <c r="Q160" s="23">
        <v>636</v>
      </c>
      <c r="R160" s="23"/>
      <c r="S160" s="23">
        <f>+Q160</f>
        <v>636</v>
      </c>
      <c r="T160" s="78" t="s">
        <v>292</v>
      </c>
      <c r="U160" s="78"/>
      <c r="V160" s="79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>
        <f>MAX(V160:AX160)</f>
        <v>0</v>
      </c>
      <c r="BE160" s="78"/>
      <c r="BF160" s="23"/>
      <c r="BO160" s="80"/>
      <c r="HH160" s="74"/>
      <c r="HJ160" s="74"/>
    </row>
    <row r="161" spans="1:221" s="72" customFormat="1" ht="15.75" outlineLevel="1">
      <c r="A161" s="72" t="s">
        <v>213</v>
      </c>
      <c r="B161" s="73">
        <v>80</v>
      </c>
      <c r="D161" s="14"/>
      <c r="E161" s="72">
        <v>7</v>
      </c>
      <c r="F161" s="72" t="s">
        <v>287</v>
      </c>
      <c r="G161" s="72" t="s">
        <v>288</v>
      </c>
      <c r="H161" s="114">
        <v>36306</v>
      </c>
      <c r="I161" s="72" t="s">
        <v>269</v>
      </c>
      <c r="J161" s="72" t="s">
        <v>124</v>
      </c>
      <c r="K161" s="73" t="s">
        <v>295</v>
      </c>
      <c r="L161" s="72" t="s">
        <v>125</v>
      </c>
      <c r="Q161" s="23">
        <v>1077</v>
      </c>
      <c r="R161" s="23"/>
      <c r="S161" s="23">
        <f>+Q161</f>
        <v>1077</v>
      </c>
      <c r="T161" s="78" t="s">
        <v>292</v>
      </c>
      <c r="U161" s="78"/>
      <c r="V161" s="79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>
        <f>MAX(V161:AX161)</f>
        <v>0</v>
      </c>
      <c r="BE161" s="78"/>
      <c r="BF161" s="23"/>
      <c r="BO161" s="80"/>
      <c r="HH161" s="74"/>
      <c r="HJ161" s="74"/>
    </row>
    <row r="162" spans="1:221" s="72" customFormat="1" ht="15.75" outlineLevel="1">
      <c r="A162" s="72" t="s">
        <v>199</v>
      </c>
      <c r="B162" s="73">
        <v>23</v>
      </c>
      <c r="D162" s="14"/>
      <c r="E162" s="72">
        <v>7</v>
      </c>
      <c r="F162" s="72" t="s">
        <v>287</v>
      </c>
      <c r="G162" s="72" t="s">
        <v>288</v>
      </c>
      <c r="H162" s="114">
        <v>36306</v>
      </c>
      <c r="I162" s="72" t="s">
        <v>269</v>
      </c>
      <c r="J162" s="72" t="s">
        <v>124</v>
      </c>
      <c r="K162" s="73" t="s">
        <v>296</v>
      </c>
      <c r="L162" s="72" t="s">
        <v>125</v>
      </c>
      <c r="Q162" s="23">
        <v>0</v>
      </c>
      <c r="R162" s="23"/>
      <c r="S162" s="23">
        <f>+Q162</f>
        <v>0</v>
      </c>
      <c r="T162" s="78" t="s">
        <v>292</v>
      </c>
      <c r="U162" s="78"/>
      <c r="V162" s="79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>
        <f>MAX(V162:AX162)</f>
        <v>0</v>
      </c>
      <c r="BE162" s="78"/>
      <c r="BF162" s="23"/>
      <c r="BO162" s="80"/>
      <c r="HH162" s="74"/>
      <c r="HJ162" s="74"/>
    </row>
    <row r="163" spans="1:221" s="72" customFormat="1" ht="15.75" outlineLevel="1">
      <c r="B163" s="73"/>
      <c r="D163" s="14"/>
      <c r="H163" s="159"/>
      <c r="K163" s="73"/>
      <c r="Q163" s="23"/>
      <c r="R163" s="23"/>
      <c r="S163" s="23"/>
      <c r="T163" s="78"/>
      <c r="U163" s="78"/>
      <c r="V163" s="79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23"/>
      <c r="BO163" s="80"/>
      <c r="GI163" s="151"/>
      <c r="HH163" s="74"/>
      <c r="HJ163" s="74"/>
    </row>
    <row r="164" spans="1:221" s="56" customFormat="1" ht="15.75" outlineLevel="1">
      <c r="A164" s="56" t="s">
        <v>142</v>
      </c>
      <c r="B164" s="57">
        <v>22</v>
      </c>
      <c r="D164" s="36"/>
      <c r="E164" s="56">
        <v>3</v>
      </c>
      <c r="F164" s="56" t="s">
        <v>297</v>
      </c>
      <c r="G164" s="56" t="s">
        <v>143</v>
      </c>
      <c r="H164" s="58">
        <v>36306</v>
      </c>
      <c r="I164" s="56" t="s">
        <v>123</v>
      </c>
      <c r="J164" s="56" t="s">
        <v>124</v>
      </c>
      <c r="K164" s="57">
        <v>38011</v>
      </c>
      <c r="L164" s="56" t="s">
        <v>125</v>
      </c>
      <c r="N164" s="56" t="s">
        <v>298</v>
      </c>
      <c r="Q164" s="59">
        <v>8527</v>
      </c>
      <c r="R164" s="59"/>
      <c r="S164" s="59">
        <f>+Q164</f>
        <v>8527</v>
      </c>
      <c r="T164" s="60" t="s">
        <v>299</v>
      </c>
      <c r="U164" s="60"/>
      <c r="V164" s="183">
        <f>S164</f>
        <v>8527</v>
      </c>
      <c r="W164" s="60">
        <f t="shared" ref="W164:AX164" si="172">V164</f>
        <v>8527</v>
      </c>
      <c r="X164" s="60">
        <f t="shared" si="172"/>
        <v>8527</v>
      </c>
      <c r="Y164" s="60">
        <f t="shared" si="172"/>
        <v>8527</v>
      </c>
      <c r="Z164" s="60">
        <f t="shared" si="172"/>
        <v>8527</v>
      </c>
      <c r="AA164" s="60">
        <f t="shared" si="172"/>
        <v>8527</v>
      </c>
      <c r="AB164" s="60">
        <f t="shared" si="172"/>
        <v>8527</v>
      </c>
      <c r="AC164" s="60">
        <f t="shared" si="172"/>
        <v>8527</v>
      </c>
      <c r="AD164" s="60">
        <f t="shared" si="172"/>
        <v>8527</v>
      </c>
      <c r="AE164" s="60">
        <f t="shared" si="172"/>
        <v>8527</v>
      </c>
      <c r="AF164" s="60">
        <f t="shared" si="172"/>
        <v>8527</v>
      </c>
      <c r="AG164" s="60">
        <f t="shared" si="172"/>
        <v>8527</v>
      </c>
      <c r="AH164" s="60">
        <f t="shared" si="172"/>
        <v>8527</v>
      </c>
      <c r="AI164" s="60">
        <f t="shared" si="172"/>
        <v>8527</v>
      </c>
      <c r="AJ164" s="60">
        <f t="shared" si="172"/>
        <v>8527</v>
      </c>
      <c r="AK164" s="60">
        <f t="shared" si="172"/>
        <v>8527</v>
      </c>
      <c r="AL164" s="60">
        <f t="shared" si="172"/>
        <v>8527</v>
      </c>
      <c r="AM164" s="60">
        <f t="shared" si="172"/>
        <v>8527</v>
      </c>
      <c r="AN164" s="60">
        <f t="shared" si="172"/>
        <v>8527</v>
      </c>
      <c r="AO164" s="60">
        <f t="shared" si="172"/>
        <v>8527</v>
      </c>
      <c r="AP164" s="60">
        <f t="shared" si="172"/>
        <v>8527</v>
      </c>
      <c r="AQ164" s="60">
        <f t="shared" si="172"/>
        <v>8527</v>
      </c>
      <c r="AR164" s="60">
        <f t="shared" si="172"/>
        <v>8527</v>
      </c>
      <c r="AS164" s="60">
        <f t="shared" si="172"/>
        <v>8527</v>
      </c>
      <c r="AT164" s="60">
        <f t="shared" si="172"/>
        <v>8527</v>
      </c>
      <c r="AU164" s="60">
        <f t="shared" si="172"/>
        <v>8527</v>
      </c>
      <c r="AV164" s="60">
        <f t="shared" si="172"/>
        <v>8527</v>
      </c>
      <c r="AW164" s="60">
        <f t="shared" si="172"/>
        <v>8527</v>
      </c>
      <c r="AX164" s="60">
        <f t="shared" si="172"/>
        <v>8527</v>
      </c>
      <c r="AY164" s="60">
        <f>AX164</f>
        <v>8527</v>
      </c>
      <c r="AZ164" s="60">
        <f>AY164</f>
        <v>8527</v>
      </c>
      <c r="BA164" s="60"/>
      <c r="BB164" s="60">
        <f>SUM(V164:AX164)</f>
        <v>247283</v>
      </c>
      <c r="BC164" s="184">
        <f>+BB164/29</f>
        <v>8527</v>
      </c>
      <c r="BD164" s="60">
        <f>MAX(V164:AX164)</f>
        <v>8527</v>
      </c>
      <c r="BE164" s="60"/>
      <c r="BF164" s="59"/>
      <c r="BO164" s="62"/>
      <c r="HH164" s="63"/>
      <c r="HJ164" s="63"/>
      <c r="HL164" s="59">
        <f>Q164-SUM(BG164:FA164)</f>
        <v>8527</v>
      </c>
      <c r="HM164" s="59"/>
    </row>
    <row r="165" spans="1:221" s="56" customFormat="1" ht="15.75" outlineLevel="1">
      <c r="A165" s="56" t="s">
        <v>142</v>
      </c>
      <c r="B165" s="57">
        <v>22</v>
      </c>
      <c r="D165" s="36"/>
      <c r="E165" s="56">
        <v>3</v>
      </c>
      <c r="F165" s="56" t="s">
        <v>297</v>
      </c>
      <c r="G165" s="56" t="s">
        <v>143</v>
      </c>
      <c r="H165" s="58">
        <v>36306</v>
      </c>
      <c r="I165" s="56" t="s">
        <v>123</v>
      </c>
      <c r="J165" s="56" t="s">
        <v>124</v>
      </c>
      <c r="K165" s="57">
        <v>51875</v>
      </c>
      <c r="L165" s="56" t="s">
        <v>125</v>
      </c>
      <c r="N165" s="56" t="s">
        <v>298</v>
      </c>
      <c r="Q165" s="59">
        <v>3473</v>
      </c>
      <c r="R165" s="59"/>
      <c r="S165" s="59">
        <f>+Q165</f>
        <v>3473</v>
      </c>
      <c r="T165" s="60" t="s">
        <v>299</v>
      </c>
      <c r="U165" s="60"/>
      <c r="V165" s="183">
        <f>S165</f>
        <v>3473</v>
      </c>
      <c r="W165" s="60">
        <f t="shared" ref="W165:AW165" si="173">V165</f>
        <v>3473</v>
      </c>
      <c r="X165" s="60">
        <f t="shared" si="173"/>
        <v>3473</v>
      </c>
      <c r="Y165" s="60">
        <f t="shared" si="173"/>
        <v>3473</v>
      </c>
      <c r="Z165" s="60">
        <f t="shared" si="173"/>
        <v>3473</v>
      </c>
      <c r="AA165" s="60">
        <f t="shared" si="173"/>
        <v>3473</v>
      </c>
      <c r="AB165" s="60">
        <f t="shared" si="173"/>
        <v>3473</v>
      </c>
      <c r="AC165" s="60">
        <f t="shared" si="173"/>
        <v>3473</v>
      </c>
      <c r="AD165" s="60">
        <f t="shared" si="173"/>
        <v>3473</v>
      </c>
      <c r="AE165" s="60">
        <f t="shared" si="173"/>
        <v>3473</v>
      </c>
      <c r="AF165" s="60">
        <f t="shared" si="173"/>
        <v>3473</v>
      </c>
      <c r="AG165" s="60">
        <f t="shared" si="173"/>
        <v>3473</v>
      </c>
      <c r="AH165" s="60">
        <f t="shared" si="173"/>
        <v>3473</v>
      </c>
      <c r="AI165" s="60">
        <f t="shared" si="173"/>
        <v>3473</v>
      </c>
      <c r="AJ165" s="60">
        <f t="shared" si="173"/>
        <v>3473</v>
      </c>
      <c r="AK165" s="60">
        <f t="shared" si="173"/>
        <v>3473</v>
      </c>
      <c r="AL165" s="60">
        <f t="shared" si="173"/>
        <v>3473</v>
      </c>
      <c r="AM165" s="60">
        <f t="shared" si="173"/>
        <v>3473</v>
      </c>
      <c r="AN165" s="60">
        <f t="shared" si="173"/>
        <v>3473</v>
      </c>
      <c r="AO165" s="60">
        <f t="shared" si="173"/>
        <v>3473</v>
      </c>
      <c r="AP165" s="60">
        <f t="shared" si="173"/>
        <v>3473</v>
      </c>
      <c r="AQ165" s="60">
        <f t="shared" si="173"/>
        <v>3473</v>
      </c>
      <c r="AR165" s="60">
        <f t="shared" si="173"/>
        <v>3473</v>
      </c>
      <c r="AS165" s="60">
        <f t="shared" si="173"/>
        <v>3473</v>
      </c>
      <c r="AT165" s="60">
        <f t="shared" si="173"/>
        <v>3473</v>
      </c>
      <c r="AU165" s="60">
        <f t="shared" si="173"/>
        <v>3473</v>
      </c>
      <c r="AV165" s="60">
        <f t="shared" si="173"/>
        <v>3473</v>
      </c>
      <c r="AW165" s="60">
        <f t="shared" si="173"/>
        <v>3473</v>
      </c>
      <c r="AX165" s="60">
        <f>AW165</f>
        <v>3473</v>
      </c>
      <c r="AY165" s="60">
        <f>AX165</f>
        <v>3473</v>
      </c>
      <c r="AZ165" s="60">
        <f>AY165</f>
        <v>3473</v>
      </c>
      <c r="BA165" s="60"/>
      <c r="BB165" s="60">
        <f>SUM(V165:AX165)</f>
        <v>100717</v>
      </c>
      <c r="BC165" s="184">
        <f>+BB165/29</f>
        <v>3473</v>
      </c>
      <c r="BD165" s="60">
        <f>MAX(V165:AX165)</f>
        <v>3473</v>
      </c>
      <c r="BE165" s="60"/>
      <c r="BF165" s="59"/>
      <c r="BO165" s="62"/>
      <c r="HH165" s="63"/>
      <c r="HJ165" s="63"/>
      <c r="HL165" s="59">
        <f>Q165-SUM(BG165:FA165)</f>
        <v>3473</v>
      </c>
      <c r="HM165" s="59"/>
    </row>
    <row r="166" spans="1:221" s="56" customFormat="1" ht="15.75" outlineLevel="1">
      <c r="A166" s="56" t="s">
        <v>142</v>
      </c>
      <c r="B166" s="57">
        <v>22</v>
      </c>
      <c r="D166" s="36"/>
      <c r="E166" s="56">
        <v>3</v>
      </c>
      <c r="F166" s="56" t="s">
        <v>297</v>
      </c>
      <c r="G166" s="56" t="s">
        <v>143</v>
      </c>
      <c r="H166" s="58">
        <v>36306</v>
      </c>
      <c r="I166" s="56" t="s">
        <v>123</v>
      </c>
      <c r="J166" s="56" t="s">
        <v>124</v>
      </c>
      <c r="K166" s="57">
        <v>60599</v>
      </c>
      <c r="L166" s="56" t="s">
        <v>125</v>
      </c>
      <c r="N166" s="56" t="s">
        <v>298</v>
      </c>
      <c r="Q166" s="59">
        <v>2081</v>
      </c>
      <c r="R166" s="59"/>
      <c r="S166" s="59">
        <f>+Q166</f>
        <v>2081</v>
      </c>
      <c r="T166" s="60" t="s">
        <v>299</v>
      </c>
      <c r="U166" s="60"/>
      <c r="V166" s="183">
        <f>S166</f>
        <v>2081</v>
      </c>
      <c r="W166" s="60">
        <f t="shared" ref="W166:AW166" si="174">V166</f>
        <v>2081</v>
      </c>
      <c r="X166" s="60">
        <f t="shared" si="174"/>
        <v>2081</v>
      </c>
      <c r="Y166" s="60">
        <f t="shared" si="174"/>
        <v>2081</v>
      </c>
      <c r="Z166" s="60">
        <f t="shared" si="174"/>
        <v>2081</v>
      </c>
      <c r="AA166" s="60">
        <f t="shared" si="174"/>
        <v>2081</v>
      </c>
      <c r="AB166" s="60">
        <f t="shared" si="174"/>
        <v>2081</v>
      </c>
      <c r="AC166" s="60">
        <f t="shared" si="174"/>
        <v>2081</v>
      </c>
      <c r="AD166" s="60">
        <f t="shared" si="174"/>
        <v>2081</v>
      </c>
      <c r="AE166" s="60">
        <f t="shared" si="174"/>
        <v>2081</v>
      </c>
      <c r="AF166" s="60">
        <f t="shared" si="174"/>
        <v>2081</v>
      </c>
      <c r="AG166" s="60">
        <f t="shared" si="174"/>
        <v>2081</v>
      </c>
      <c r="AH166" s="60">
        <f t="shared" si="174"/>
        <v>2081</v>
      </c>
      <c r="AI166" s="60">
        <f t="shared" si="174"/>
        <v>2081</v>
      </c>
      <c r="AJ166" s="60">
        <f t="shared" si="174"/>
        <v>2081</v>
      </c>
      <c r="AK166" s="60">
        <f t="shared" si="174"/>
        <v>2081</v>
      </c>
      <c r="AL166" s="60">
        <f t="shared" si="174"/>
        <v>2081</v>
      </c>
      <c r="AM166" s="60">
        <f t="shared" si="174"/>
        <v>2081</v>
      </c>
      <c r="AN166" s="60">
        <f t="shared" si="174"/>
        <v>2081</v>
      </c>
      <c r="AO166" s="60">
        <f t="shared" si="174"/>
        <v>2081</v>
      </c>
      <c r="AP166" s="60">
        <f t="shared" si="174"/>
        <v>2081</v>
      </c>
      <c r="AQ166" s="60">
        <f t="shared" si="174"/>
        <v>2081</v>
      </c>
      <c r="AR166" s="60">
        <f t="shared" si="174"/>
        <v>2081</v>
      </c>
      <c r="AS166" s="60">
        <f t="shared" si="174"/>
        <v>2081</v>
      </c>
      <c r="AT166" s="60">
        <f t="shared" si="174"/>
        <v>2081</v>
      </c>
      <c r="AU166" s="60">
        <f t="shared" si="174"/>
        <v>2081</v>
      </c>
      <c r="AV166" s="60">
        <f t="shared" si="174"/>
        <v>2081</v>
      </c>
      <c r="AW166" s="60">
        <f t="shared" si="174"/>
        <v>2081</v>
      </c>
      <c r="AX166" s="60">
        <v>2069</v>
      </c>
      <c r="AY166" s="60">
        <v>2069</v>
      </c>
      <c r="AZ166" s="60">
        <v>2069</v>
      </c>
      <c r="BA166" s="60"/>
      <c r="BB166" s="60">
        <f>SUM(V166:AX166)</f>
        <v>60337</v>
      </c>
      <c r="BC166" s="184">
        <f>+BB166/29</f>
        <v>2080.5862068965516</v>
      </c>
      <c r="BD166" s="60">
        <f>MAX(V166:AX166)</f>
        <v>2081</v>
      </c>
      <c r="BE166" s="60"/>
      <c r="BF166" s="59"/>
      <c r="BO166" s="62"/>
      <c r="HH166" s="63"/>
      <c r="HJ166" s="63"/>
      <c r="HL166" s="59">
        <f>Q166-SUM(BG166:FA166)</f>
        <v>2081</v>
      </c>
      <c r="HM166" s="59"/>
    </row>
    <row r="167" spans="1:221" s="56" customFormat="1" ht="15.75" outlineLevel="1">
      <c r="A167" s="56" t="s">
        <v>142</v>
      </c>
      <c r="B167" s="57">
        <v>22</v>
      </c>
      <c r="D167" s="36"/>
      <c r="E167" s="56">
        <v>3</v>
      </c>
      <c r="F167" s="56" t="s">
        <v>297</v>
      </c>
      <c r="G167" s="56" t="s">
        <v>143</v>
      </c>
      <c r="H167" s="58">
        <v>36306</v>
      </c>
      <c r="I167" s="56" t="s">
        <v>123</v>
      </c>
      <c r="J167" s="56" t="s">
        <v>124</v>
      </c>
      <c r="K167" s="57">
        <v>63895</v>
      </c>
      <c r="L167" s="56" t="s">
        <v>125</v>
      </c>
      <c r="N167" s="56" t="s">
        <v>298</v>
      </c>
      <c r="Q167" s="59">
        <v>0</v>
      </c>
      <c r="R167" s="59"/>
      <c r="S167" s="59">
        <f>+Q167</f>
        <v>0</v>
      </c>
      <c r="T167" s="60" t="s">
        <v>299</v>
      </c>
      <c r="U167" s="60"/>
      <c r="V167" s="183">
        <f>S167</f>
        <v>0</v>
      </c>
      <c r="W167" s="60">
        <f t="shared" ref="W167:AW167" si="175">V167</f>
        <v>0</v>
      </c>
      <c r="X167" s="60">
        <f t="shared" si="175"/>
        <v>0</v>
      </c>
      <c r="Y167" s="60">
        <f t="shared" si="175"/>
        <v>0</v>
      </c>
      <c r="Z167" s="60">
        <f t="shared" si="175"/>
        <v>0</v>
      </c>
      <c r="AA167" s="60">
        <f t="shared" si="175"/>
        <v>0</v>
      </c>
      <c r="AB167" s="60">
        <f t="shared" si="175"/>
        <v>0</v>
      </c>
      <c r="AC167" s="60">
        <f t="shared" si="175"/>
        <v>0</v>
      </c>
      <c r="AD167" s="60">
        <f t="shared" si="175"/>
        <v>0</v>
      </c>
      <c r="AE167" s="60">
        <f t="shared" si="175"/>
        <v>0</v>
      </c>
      <c r="AF167" s="60">
        <f t="shared" si="175"/>
        <v>0</v>
      </c>
      <c r="AG167" s="60">
        <f t="shared" si="175"/>
        <v>0</v>
      </c>
      <c r="AH167" s="60">
        <f t="shared" si="175"/>
        <v>0</v>
      </c>
      <c r="AI167" s="60">
        <f t="shared" si="175"/>
        <v>0</v>
      </c>
      <c r="AJ167" s="60">
        <f t="shared" si="175"/>
        <v>0</v>
      </c>
      <c r="AK167" s="60">
        <f t="shared" si="175"/>
        <v>0</v>
      </c>
      <c r="AL167" s="60">
        <f t="shared" si="175"/>
        <v>0</v>
      </c>
      <c r="AM167" s="60">
        <f t="shared" si="175"/>
        <v>0</v>
      </c>
      <c r="AN167" s="60">
        <f t="shared" si="175"/>
        <v>0</v>
      </c>
      <c r="AO167" s="60">
        <f t="shared" si="175"/>
        <v>0</v>
      </c>
      <c r="AP167" s="60">
        <f t="shared" si="175"/>
        <v>0</v>
      </c>
      <c r="AQ167" s="60">
        <f t="shared" si="175"/>
        <v>0</v>
      </c>
      <c r="AR167" s="60">
        <f t="shared" si="175"/>
        <v>0</v>
      </c>
      <c r="AS167" s="60">
        <f t="shared" si="175"/>
        <v>0</v>
      </c>
      <c r="AT167" s="60">
        <f t="shared" si="175"/>
        <v>0</v>
      </c>
      <c r="AU167" s="60">
        <f t="shared" si="175"/>
        <v>0</v>
      </c>
      <c r="AV167" s="60">
        <f t="shared" si="175"/>
        <v>0</v>
      </c>
      <c r="AW167" s="60">
        <f t="shared" si="175"/>
        <v>0</v>
      </c>
      <c r="AX167" s="60">
        <f t="shared" ref="AX167:AZ168" si="176">AW167</f>
        <v>0</v>
      </c>
      <c r="AY167" s="60">
        <f t="shared" si="176"/>
        <v>0</v>
      </c>
      <c r="AZ167" s="60">
        <f t="shared" si="176"/>
        <v>0</v>
      </c>
      <c r="BA167" s="60"/>
      <c r="BB167" s="60">
        <f>SUM(V167:AX167)</f>
        <v>0</v>
      </c>
      <c r="BC167" s="184">
        <f>+BB167/29</f>
        <v>0</v>
      </c>
      <c r="BD167" s="60">
        <f>MAX(V167:AX167)</f>
        <v>0</v>
      </c>
      <c r="BE167" s="60"/>
      <c r="BF167" s="59"/>
      <c r="BO167" s="62"/>
      <c r="HH167" s="63"/>
      <c r="HJ167" s="63"/>
      <c r="HL167" s="59">
        <f>Q167-SUM(BG167:FA167)</f>
        <v>0</v>
      </c>
      <c r="HM167" s="59"/>
    </row>
    <row r="168" spans="1:221" s="56" customFormat="1" ht="15.75">
      <c r="A168" s="56" t="s">
        <v>324</v>
      </c>
      <c r="B168" s="57">
        <v>24</v>
      </c>
      <c r="D168" s="36">
        <v>35</v>
      </c>
      <c r="E168" s="56">
        <v>8</v>
      </c>
      <c r="F168" s="56" t="s">
        <v>58</v>
      </c>
      <c r="G168" s="56" t="s">
        <v>143</v>
      </c>
      <c r="H168" s="185"/>
      <c r="K168" s="57">
        <v>64939</v>
      </c>
      <c r="L168" s="56" t="s">
        <v>125</v>
      </c>
      <c r="Q168" s="59">
        <v>1400</v>
      </c>
      <c r="R168" s="59"/>
      <c r="S168" s="59">
        <v>1400</v>
      </c>
      <c r="T168" s="60" t="s">
        <v>278</v>
      </c>
      <c r="U168" s="60"/>
      <c r="V168" s="61">
        <v>1400</v>
      </c>
      <c r="W168" s="60">
        <f t="shared" ref="W168:AW168" si="177">V168</f>
        <v>1400</v>
      </c>
      <c r="X168" s="60">
        <f t="shared" si="177"/>
        <v>1400</v>
      </c>
      <c r="Y168" s="60">
        <f t="shared" si="177"/>
        <v>1400</v>
      </c>
      <c r="Z168" s="60">
        <f t="shared" si="177"/>
        <v>1400</v>
      </c>
      <c r="AA168" s="60">
        <f t="shared" si="177"/>
        <v>1400</v>
      </c>
      <c r="AB168" s="60">
        <f t="shared" si="177"/>
        <v>1400</v>
      </c>
      <c r="AC168" s="60">
        <f t="shared" si="177"/>
        <v>1400</v>
      </c>
      <c r="AD168" s="60">
        <f t="shared" si="177"/>
        <v>1400</v>
      </c>
      <c r="AE168" s="60">
        <f t="shared" si="177"/>
        <v>1400</v>
      </c>
      <c r="AF168" s="60">
        <f t="shared" si="177"/>
        <v>1400</v>
      </c>
      <c r="AG168" s="60">
        <f t="shared" si="177"/>
        <v>1400</v>
      </c>
      <c r="AH168" s="60">
        <f t="shared" si="177"/>
        <v>1400</v>
      </c>
      <c r="AI168" s="60">
        <f t="shared" si="177"/>
        <v>1400</v>
      </c>
      <c r="AJ168" s="60">
        <f t="shared" si="177"/>
        <v>1400</v>
      </c>
      <c r="AK168" s="60">
        <f t="shared" si="177"/>
        <v>1400</v>
      </c>
      <c r="AL168" s="60">
        <f t="shared" si="177"/>
        <v>1400</v>
      </c>
      <c r="AM168" s="60">
        <f t="shared" si="177"/>
        <v>1400</v>
      </c>
      <c r="AN168" s="60">
        <f t="shared" si="177"/>
        <v>1400</v>
      </c>
      <c r="AO168" s="60">
        <f t="shared" si="177"/>
        <v>1400</v>
      </c>
      <c r="AP168" s="60">
        <f t="shared" si="177"/>
        <v>1400</v>
      </c>
      <c r="AQ168" s="60">
        <f t="shared" si="177"/>
        <v>1400</v>
      </c>
      <c r="AR168" s="60">
        <f t="shared" si="177"/>
        <v>1400</v>
      </c>
      <c r="AS168" s="60">
        <f t="shared" si="177"/>
        <v>1400</v>
      </c>
      <c r="AT168" s="60">
        <f t="shared" si="177"/>
        <v>1400</v>
      </c>
      <c r="AU168" s="60">
        <f t="shared" si="177"/>
        <v>1400</v>
      </c>
      <c r="AV168" s="60">
        <f t="shared" si="177"/>
        <v>1400</v>
      </c>
      <c r="AW168" s="60">
        <f t="shared" si="177"/>
        <v>1400</v>
      </c>
      <c r="AX168" s="60">
        <f t="shared" si="176"/>
        <v>1400</v>
      </c>
      <c r="AY168" s="60">
        <f t="shared" si="176"/>
        <v>1400</v>
      </c>
      <c r="AZ168" s="60">
        <f t="shared" si="176"/>
        <v>1400</v>
      </c>
      <c r="BA168" s="60"/>
      <c r="BB168" s="60">
        <f>SUM(V168:AX168)</f>
        <v>40600</v>
      </c>
      <c r="BC168" s="60">
        <f>+BB168/29</f>
        <v>1400</v>
      </c>
      <c r="BD168" s="60">
        <f>MAX(V168:AX168)</f>
        <v>1400</v>
      </c>
      <c r="BE168" s="60"/>
      <c r="BF168" s="59"/>
      <c r="BO168" s="62"/>
      <c r="HH168" s="63"/>
      <c r="HJ168" s="63"/>
    </row>
    <row r="169" spans="1:221" s="72" customFormat="1" ht="15.75">
      <c r="B169" s="73"/>
      <c r="D169" s="14"/>
      <c r="I169" s="28"/>
      <c r="J169" s="28"/>
      <c r="K169" s="73"/>
      <c r="Q169" s="160"/>
      <c r="R169" s="15"/>
      <c r="S169" s="23"/>
      <c r="T169" s="78"/>
      <c r="U169" s="78"/>
      <c r="V169" s="79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23"/>
      <c r="BO169" s="80"/>
      <c r="HH169" s="74"/>
      <c r="HJ169" s="74"/>
    </row>
    <row r="170" spans="1:221" s="72" customFormat="1" ht="15.75" outlineLevel="1">
      <c r="B170" s="73"/>
      <c r="D170" s="14"/>
      <c r="H170" s="161" t="s">
        <v>300</v>
      </c>
      <c r="I170" s="161" t="s">
        <v>300</v>
      </c>
      <c r="J170" s="161" t="s">
        <v>301</v>
      </c>
      <c r="K170" s="161" t="s">
        <v>301</v>
      </c>
      <c r="Q170" s="160"/>
      <c r="R170" s="15"/>
      <c r="S170" s="23"/>
      <c r="T170" s="78"/>
      <c r="U170" s="78"/>
      <c r="V170" s="79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23"/>
      <c r="BO170" s="80"/>
      <c r="HH170" s="74"/>
      <c r="HJ170" s="74"/>
    </row>
    <row r="171" spans="1:221" s="72" customFormat="1" ht="13.9" customHeight="1" outlineLevel="1">
      <c r="B171" s="73"/>
      <c r="D171" s="14"/>
      <c r="F171" s="147" t="s">
        <v>302</v>
      </c>
      <c r="G171" s="162" t="s">
        <v>51</v>
      </c>
      <c r="H171" s="163" t="s">
        <v>303</v>
      </c>
      <c r="I171" s="163" t="s">
        <v>304</v>
      </c>
      <c r="J171" s="163" t="s">
        <v>303</v>
      </c>
      <c r="K171" s="163" t="s">
        <v>304</v>
      </c>
      <c r="P171" s="147" t="s">
        <v>102</v>
      </c>
      <c r="Q171" s="162" t="s">
        <v>51</v>
      </c>
      <c r="R171" s="164" t="s">
        <v>305</v>
      </c>
      <c r="S171" s="23"/>
      <c r="T171" s="78"/>
      <c r="U171" s="78"/>
      <c r="V171" s="79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23"/>
      <c r="BO171" s="80"/>
      <c r="HH171" s="74"/>
      <c r="HJ171" s="74"/>
    </row>
    <row r="172" spans="1:221" s="72" customFormat="1" ht="13.9" customHeight="1" outlineLevel="1">
      <c r="B172" s="73"/>
      <c r="D172" s="14"/>
      <c r="F172" s="72" t="s">
        <v>119</v>
      </c>
      <c r="G172" s="23">
        <f>SUMIF($B$8:$B$143,"30CS",$Q$8:$Q$143)</f>
        <v>0</v>
      </c>
      <c r="H172" s="23">
        <f>SUMIF($O$8:$O$143,"30CSrbase",$Q$8:$Q$143)</f>
        <v>0</v>
      </c>
      <c r="I172" s="23">
        <f>SUMIF($O$8:$O$143,"30CSrinc",$Q$8:$Q$143)</f>
        <v>0</v>
      </c>
      <c r="J172" s="23">
        <f>SUMIF($O$8:$O$143,"30CSWbase",$Q$8:$Q$143)</f>
        <v>0</v>
      </c>
      <c r="K172" s="23">
        <f>SUMIF($O$8:$O$143,"30CSWinc",$Q$8:$Q$143)</f>
        <v>0</v>
      </c>
      <c r="P172" s="72">
        <v>1</v>
      </c>
      <c r="Q172" s="23">
        <f>SUMIF($E$8:$E$143,1,$Q$8:$Q$143)</f>
        <v>0</v>
      </c>
      <c r="R172" s="23">
        <f>SUMIF($E$8:$E$143,1,$R$8:$R$143)</f>
        <v>0</v>
      </c>
      <c r="S172" s="23"/>
      <c r="T172" s="78"/>
      <c r="U172" s="78"/>
      <c r="V172" s="79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23"/>
      <c r="BO172" s="80"/>
      <c r="HH172" s="74"/>
      <c r="HJ172" s="74"/>
    </row>
    <row r="173" spans="1:221" s="72" customFormat="1" ht="13.9" customHeight="1" outlineLevel="1">
      <c r="B173" s="73"/>
      <c r="D173" s="14"/>
      <c r="F173" s="72" t="s">
        <v>129</v>
      </c>
      <c r="G173" s="23">
        <f>SUMIF($B$8:$B$143,"30RV",$Q$8:$Q$143)</f>
        <v>0</v>
      </c>
      <c r="H173" s="23">
        <f>SUMIF($O$8:$O$143,"30RVrbase",$Q$8:$Q$143)</f>
        <v>0</v>
      </c>
      <c r="I173" s="23">
        <f>SUMIF($O$8:$O$143,"30RVrinc",$Q$8:$Q$143)</f>
        <v>0</v>
      </c>
      <c r="J173" s="23">
        <f>SUMIF($O$8:$O$143,"30RVWbase",$Q$8:$Q$143)</f>
        <v>0</v>
      </c>
      <c r="K173" s="23">
        <f>SUMIF($O$8:$O$143,"30RVWinc",$Q$8:$Q$143)</f>
        <v>0</v>
      </c>
      <c r="P173" s="72">
        <v>2</v>
      </c>
      <c r="Q173" s="23">
        <f>SUMIF($E$8:$E$143,2,$Q$8:$Q$143)</f>
        <v>0</v>
      </c>
      <c r="R173" s="23">
        <f>SUMIF($E$8:$E$143,2,$R$8:$R$143)</f>
        <v>0</v>
      </c>
      <c r="S173" s="23"/>
      <c r="T173" s="78"/>
      <c r="U173" s="78"/>
      <c r="V173" s="79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  <c r="BD173" s="78"/>
      <c r="BE173" s="78"/>
      <c r="BF173" s="23"/>
      <c r="BO173" s="80"/>
      <c r="HH173" s="74"/>
      <c r="HJ173" s="74"/>
    </row>
    <row r="174" spans="1:221" s="72" customFormat="1" ht="13.9" customHeight="1" outlineLevel="1">
      <c r="B174" s="73"/>
      <c r="D174" s="14"/>
      <c r="F174" s="72" t="s">
        <v>134</v>
      </c>
      <c r="G174" s="23">
        <f>SUMIF($B$8:$B$143,833866,$Q$8:$Q$143)</f>
        <v>0</v>
      </c>
      <c r="H174" s="23">
        <f>SUMIF($O$8:$O$143,"833866rbase",$Q$8:$Q$143)</f>
        <v>0</v>
      </c>
      <c r="I174" s="23">
        <f>SUMIF($O$8:$O$143,"833866rinc",$Q$8:$Q$143)</f>
        <v>0</v>
      </c>
      <c r="J174" s="23">
        <f>SUMIF($O$8:$O$143,"833866Wbase",$Q$8:$Q$143)</f>
        <v>0</v>
      </c>
      <c r="K174" s="23">
        <f>SUMIF($O$8:$O$143,"833866Winc",$Q$8:$Q$143)</f>
        <v>0</v>
      </c>
      <c r="P174" s="72">
        <v>3</v>
      </c>
      <c r="Q174" s="23">
        <f>SUMIF($E$8:$E$143,3,$Q$8:$Q$143)</f>
        <v>0</v>
      </c>
      <c r="R174" s="23">
        <f>SUMIF($E$8:$E$143,3,$R$8:$R$143)</f>
        <v>0</v>
      </c>
      <c r="S174" s="23"/>
      <c r="T174" s="78"/>
      <c r="U174" s="78"/>
      <c r="V174" s="79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  <c r="BD174" s="78"/>
      <c r="BE174" s="78"/>
      <c r="BF174" s="23"/>
      <c r="BO174" s="80"/>
      <c r="HH174" s="74"/>
      <c r="HJ174" s="74"/>
    </row>
    <row r="175" spans="1:221" s="72" customFormat="1" ht="13.9" customHeight="1" outlineLevel="1">
      <c r="B175" s="73"/>
      <c r="D175" s="14"/>
      <c r="F175" s="72" t="s">
        <v>137</v>
      </c>
      <c r="G175" s="23">
        <f>SUMIF($B$8:$B$143,833469,$Q$8:$Q$143)</f>
        <v>0</v>
      </c>
      <c r="H175" s="23">
        <f>SUMIF($O$8:$O$143,"833469rbase",$Q$8:$Q$143)</f>
        <v>0</v>
      </c>
      <c r="I175" s="23">
        <f>SUMIF($O$8:$O$143,"833469rinc",$Q$8:$Q$143)</f>
        <v>0</v>
      </c>
      <c r="J175" s="23">
        <f>SUMIF($O$8:$O$143,"833469Wbase",$Q$8:$Q$143)</f>
        <v>0</v>
      </c>
      <c r="K175" s="23">
        <f>SUMIF($O$8:$O$143,"833469Winc",$Q$8:$Q$143)</f>
        <v>0</v>
      </c>
      <c r="P175" s="72">
        <v>4</v>
      </c>
      <c r="Q175" s="23">
        <f>SUMIF($E$8:$E$143,4,$Q$8:$Q$143)</f>
        <v>0</v>
      </c>
      <c r="R175" s="23">
        <f>SUMIF($E$8:$E$143,4,$R$8:$R$143)</f>
        <v>0</v>
      </c>
      <c r="S175" s="23"/>
      <c r="T175" s="78"/>
      <c r="U175" s="78"/>
      <c r="V175" s="79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  <c r="BD175" s="78"/>
      <c r="BE175" s="78"/>
      <c r="BF175" s="23"/>
      <c r="BO175" s="80"/>
      <c r="HH175" s="74"/>
      <c r="HJ175" s="74"/>
    </row>
    <row r="176" spans="1:221" s="72" customFormat="1" ht="13.9" customHeight="1" outlineLevel="1">
      <c r="B176" s="73"/>
      <c r="D176" s="14"/>
      <c r="F176" s="72" t="s">
        <v>306</v>
      </c>
      <c r="G176" s="23">
        <f>SUMIF($B$8:$B$143,831095,$Q$8:$Q$143)</f>
        <v>0</v>
      </c>
      <c r="H176" s="23">
        <f>SUMIF($O$8:$O$143,"831095rbase",$Q$8:$Q$143)</f>
        <v>0</v>
      </c>
      <c r="I176" s="23">
        <f>SUMIF($O$8:$O$143,"831095rinc",$Q$8:$Q$143)</f>
        <v>0</v>
      </c>
      <c r="J176" s="23">
        <f>SUMIF($O$8:$O$143,"831095Wbase",$Q$8:$Q$143)</f>
        <v>0</v>
      </c>
      <c r="K176" s="23">
        <f>SUMIF($O$8:$O$143,"831095Winc",$Q$8:$Q$143)</f>
        <v>0</v>
      </c>
      <c r="P176" s="72">
        <v>5</v>
      </c>
      <c r="Q176" s="23">
        <f>SUMIF($E$8:$E$143,5,$Q$8:$Q$143)</f>
        <v>0</v>
      </c>
      <c r="R176" s="23">
        <f>SUMIF($E$8:$E$143,5,$R$8:$R$143)</f>
        <v>0</v>
      </c>
      <c r="S176" s="23"/>
      <c r="T176" s="78"/>
      <c r="U176" s="78"/>
      <c r="V176" s="79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23"/>
      <c r="BO176" s="80"/>
      <c r="HH176" s="74"/>
      <c r="HJ176" s="74"/>
    </row>
    <row r="177" spans="2:218" s="72" customFormat="1" ht="13.9" customHeight="1" outlineLevel="1">
      <c r="B177" s="73"/>
      <c r="D177" s="14"/>
      <c r="F177" s="72" t="s">
        <v>353</v>
      </c>
      <c r="G177" s="23">
        <f>SUMIF($B$8:$B$143,21,$Q$8:$Q$143)</f>
        <v>0</v>
      </c>
      <c r="H177" s="23">
        <f>SUMIF($O$8:$O$143,"21rbase",$Q$8:$Q$143)</f>
        <v>0</v>
      </c>
      <c r="I177" s="23">
        <f>SUMIF($O$8:$O$143,"21rinc",$Q$8:$Q$143)</f>
        <v>0</v>
      </c>
      <c r="J177" s="23">
        <f>SUMIF($O$8:$O$143,"21Wbase",$Q$8:$Q$143)</f>
        <v>0</v>
      </c>
      <c r="K177" s="23">
        <f>SUMIF($O$8:$O$143,"21Winc",$Q$8:$Q$143)</f>
        <v>0</v>
      </c>
      <c r="P177" s="72">
        <v>6</v>
      </c>
      <c r="Q177" s="23">
        <f>SUMIF($E$8:$E$143,6,$Q$8:$Q$143)</f>
        <v>0</v>
      </c>
      <c r="R177" s="23">
        <f>SUMIF($E$8:$E$143,6,$R$8:$R$143)</f>
        <v>0</v>
      </c>
      <c r="S177" s="23"/>
      <c r="T177" s="78"/>
      <c r="U177" s="78"/>
      <c r="V177" s="79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23"/>
      <c r="BO177" s="80"/>
      <c r="HH177" s="74"/>
      <c r="HJ177" s="74"/>
    </row>
    <row r="178" spans="2:218" s="72" customFormat="1" ht="13.9" customHeight="1" outlineLevel="1">
      <c r="B178" s="73"/>
      <c r="D178" s="14"/>
      <c r="F178" s="72" t="s">
        <v>142</v>
      </c>
      <c r="G178" s="23">
        <f>SUMIF($B$8:$B$143,22,$Q$8:$Q$143)</f>
        <v>0</v>
      </c>
      <c r="H178" s="23">
        <f>SUMIF($O$8:$O$143,"22rbase",$Q$8:$Q$143)</f>
        <v>0</v>
      </c>
      <c r="I178" s="23">
        <f>SUMIF($O$8:$O$143,"22rinc",$Q$8:$Q$143)</f>
        <v>0</v>
      </c>
      <c r="J178" s="23">
        <f>SUMIF($O$8:$O$143,"22Wbase",$Q$8:$Q$143)</f>
        <v>0</v>
      </c>
      <c r="K178" s="23">
        <f>SUMIF($O$8:$O$143,"22Winc",$Q$8:$Q$143)</f>
        <v>0</v>
      </c>
      <c r="P178" s="72">
        <v>7</v>
      </c>
      <c r="Q178" s="23">
        <f>SUMIF($E$8:$E$143,7,$Q$8:$Q$143)</f>
        <v>0</v>
      </c>
      <c r="R178" s="23">
        <f>SUMIF($E$8:$E$143,7,$R$8:$R$143)</f>
        <v>0</v>
      </c>
      <c r="S178" s="23"/>
      <c r="T178" s="78"/>
      <c r="U178" s="78"/>
      <c r="V178" s="79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23"/>
      <c r="BO178" s="80"/>
      <c r="HH178" s="74"/>
      <c r="HJ178" s="74"/>
    </row>
    <row r="179" spans="2:218" s="72" customFormat="1" ht="13.9" customHeight="1" outlineLevel="1">
      <c r="B179" s="73"/>
      <c r="D179" s="14"/>
      <c r="F179" s="72" t="s">
        <v>150</v>
      </c>
      <c r="G179" s="23">
        <f>SUMIF($B$8:$B$143,17,$Q$8:$Q$143)</f>
        <v>0</v>
      </c>
      <c r="H179" s="23">
        <f>SUMIF($O$8:$O$143,"17rbase",$Q$8:$Q$143)</f>
        <v>0</v>
      </c>
      <c r="I179" s="23">
        <f>SUMIF($O$8:$O$143,"17rinc",$Q$8:$Q$143)</f>
        <v>0</v>
      </c>
      <c r="J179" s="23">
        <f>SUMIF($O$8:$O$143,"17Wbase",$Q$8:$Q$143)</f>
        <v>0</v>
      </c>
      <c r="K179" s="23">
        <f>SUMIF($O$8:$O$143,"17Winc",$Q$8:$Q$143)</f>
        <v>0</v>
      </c>
      <c r="P179" s="72">
        <v>8</v>
      </c>
      <c r="Q179" s="23">
        <f>SUMIF($E$8:$E$143,8,$Q$8:$Q$143)</f>
        <v>0</v>
      </c>
      <c r="R179" s="23">
        <f>SUMIF($E$8:$E$143,8,$R$8:$R$143)</f>
        <v>0</v>
      </c>
      <c r="S179" s="23"/>
      <c r="T179" s="78"/>
      <c r="U179" s="78"/>
      <c r="V179" s="79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23"/>
      <c r="BO179" s="80"/>
      <c r="HH179" s="74"/>
      <c r="HJ179" s="74"/>
    </row>
    <row r="180" spans="2:218" s="72" customFormat="1" ht="13.9" customHeight="1" outlineLevel="1">
      <c r="B180" s="73"/>
      <c r="D180" s="14"/>
      <c r="F180" s="72" t="s">
        <v>154</v>
      </c>
      <c r="G180" s="23">
        <f>SUMIF($B$8:$B$143,"27",$Q$8:$Q$143)</f>
        <v>0</v>
      </c>
      <c r="H180" s="23">
        <f>SUMIF($O$8:$O$143,"27rbase",$Q$8:$Q$143)</f>
        <v>0</v>
      </c>
      <c r="I180" s="23">
        <f>SUMIF($O$8:$O$143,"27rinc",$Q$8:$Q$143)</f>
        <v>0</v>
      </c>
      <c r="J180" s="23">
        <f>SUMIF($O$8:$O$143,"27Wbase",$Q$8:$Q$143)</f>
        <v>0</v>
      </c>
      <c r="K180" s="23">
        <f>SUMIF($O$8:$O$143,"27Winc",$Q$8:$Q$143)</f>
        <v>0</v>
      </c>
      <c r="P180" s="72">
        <v>9</v>
      </c>
      <c r="Q180" s="23">
        <f>SUMIF($E$8:$E$143,9,$Q$8:$Q$143)</f>
        <v>0</v>
      </c>
      <c r="R180" s="23">
        <f>SUMIF($E$8:$E$143,9,$R$8:$R$143)</f>
        <v>0</v>
      </c>
      <c r="S180" s="23"/>
      <c r="T180" s="78"/>
      <c r="U180" s="78"/>
      <c r="V180" s="79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23"/>
      <c r="BO180" s="80"/>
      <c r="HH180" s="74"/>
      <c r="HJ180" s="74"/>
    </row>
    <row r="181" spans="2:218" s="72" customFormat="1" ht="13.9" customHeight="1" outlineLevel="1">
      <c r="B181" s="73"/>
      <c r="D181" s="14"/>
      <c r="F181" s="72" t="s">
        <v>307</v>
      </c>
      <c r="G181" s="23">
        <f>SUMIF($B$8:$B$143,"25E",$Q$8:$Q$143)</f>
        <v>0</v>
      </c>
      <c r="H181" s="23">
        <f>SUMIF($O$8:$O$143,"25Erbase",$Q$8:$Q$143)</f>
        <v>0</v>
      </c>
      <c r="I181" s="23">
        <f>SUMIF($O$8:$O$143,"25Erinc",$Q$8:$Q$143)</f>
        <v>0</v>
      </c>
      <c r="J181" s="23">
        <f>SUMIF($O$8:$O$143,"25EWbase",$Q$8:$Q$143)</f>
        <v>0</v>
      </c>
      <c r="K181" s="23">
        <f>SUMIF($O$8:$O$143,"25EWinc",$Q$8:$Q$143)</f>
        <v>0</v>
      </c>
      <c r="P181" s="72">
        <v>10</v>
      </c>
      <c r="Q181" s="23">
        <f>SUMIF($E$8:$E$143,10,$Q$8:$Q$143)</f>
        <v>0</v>
      </c>
      <c r="R181" s="23">
        <f>SUMIF($E$8:$E$143,10,$R$8:$R$143)</f>
        <v>0</v>
      </c>
      <c r="S181" s="23"/>
      <c r="T181" s="78"/>
      <c r="U181" s="78"/>
      <c r="V181" s="79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23"/>
      <c r="BO181" s="80"/>
      <c r="HH181" s="74"/>
      <c r="HJ181" s="74"/>
    </row>
    <row r="182" spans="2:218" s="72" customFormat="1" ht="13.9" customHeight="1" outlineLevel="1">
      <c r="B182" s="73"/>
      <c r="D182" s="14"/>
      <c r="F182" s="72" t="s">
        <v>308</v>
      </c>
      <c r="G182" s="23">
        <f>SUMIF($B$8:$B$143,"19E",$Q$8:$Q$143)</f>
        <v>0</v>
      </c>
      <c r="H182" s="23">
        <f>SUMIF($O$8:$O$143,"19Erbase",$Q$8:$Q$143)</f>
        <v>0</v>
      </c>
      <c r="I182" s="23">
        <f>SUMIF($O$8:$O$143,"19Erinc",$Q$8:$Q$143)</f>
        <v>0</v>
      </c>
      <c r="J182" s="23">
        <f>SUMIF($O$8:$O$143,"19EWbase",$Q$8:$Q$143)</f>
        <v>0</v>
      </c>
      <c r="K182" s="23">
        <f>SUMIF($O$8:$O$143,"19EWinc",$Q$8:$Q$143)</f>
        <v>0</v>
      </c>
      <c r="P182" s="72" t="s">
        <v>253</v>
      </c>
      <c r="Q182" s="23">
        <f>SUMIF($E$8:$E$143,"ST",$Q$8:$Q$143)</f>
        <v>0</v>
      </c>
      <c r="R182" s="23">
        <f>SUMIF($E$8:$E$143,"ST",$R$8:$R$143)</f>
        <v>0</v>
      </c>
      <c r="S182" s="23"/>
      <c r="T182" s="78"/>
      <c r="U182" s="78"/>
      <c r="V182" s="79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  <c r="BC182" s="78"/>
      <c r="BD182" s="78"/>
      <c r="BE182" s="78"/>
      <c r="BF182" s="23"/>
      <c r="BO182" s="80"/>
      <c r="HH182" s="74"/>
      <c r="HJ182" s="74"/>
    </row>
    <row r="183" spans="2:218" s="72" customFormat="1" ht="13.9" customHeight="1" outlineLevel="1">
      <c r="B183" s="73"/>
      <c r="D183" s="14"/>
      <c r="F183" s="72" t="s">
        <v>309</v>
      </c>
      <c r="G183" s="23">
        <f>SUMIF($B$8:$B$143,"56",$Q$8:$Q$143)</f>
        <v>0</v>
      </c>
      <c r="H183" s="23">
        <f>SUMIF($O$8:$O$143,"56rbase",$Q$8:$Q$143)</f>
        <v>0</v>
      </c>
      <c r="I183" s="23">
        <f>SUMIF($O$8:$O$143,"56rinc",$Q$8:$Q$143)</f>
        <v>0</v>
      </c>
      <c r="J183" s="23">
        <f>SUMIF($O$8:$O$143,"56Wbase",$Q$8:$Q$143)</f>
        <v>0</v>
      </c>
      <c r="K183" s="23">
        <f>SUMIF($O$8:$O$143,"56Winc",$Q$8:$Q$143)</f>
        <v>0</v>
      </c>
      <c r="Q183" s="23"/>
      <c r="R183" s="23"/>
      <c r="S183" s="23"/>
      <c r="T183" s="78"/>
      <c r="U183" s="78"/>
      <c r="V183" s="79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23"/>
      <c r="BO183" s="80"/>
      <c r="HH183" s="74"/>
      <c r="HJ183" s="74"/>
    </row>
    <row r="184" spans="2:218" s="72" customFormat="1" ht="13.9" customHeight="1" outlineLevel="1">
      <c r="B184" s="73"/>
      <c r="D184" s="14"/>
      <c r="F184" s="72" t="s">
        <v>310</v>
      </c>
      <c r="G184" s="23">
        <f>SUMIF($B$8:$B$143,107,$Q$8:$Q$143)</f>
        <v>0</v>
      </c>
      <c r="H184" s="23">
        <f>SUMIF($O$8:$O$143,"107rbase",$Q$8:$Q$143)</f>
        <v>0</v>
      </c>
      <c r="I184" s="23">
        <f>SUMIF($O$8:$O$143,"107rinc",$Q$8:$Q$143)</f>
        <v>0</v>
      </c>
      <c r="J184" s="23">
        <f>SUMIF($O$8:$O$143,"107Wbase",$Q$8:$Q$143)</f>
        <v>0</v>
      </c>
      <c r="K184" s="23">
        <f>SUMIF($O$8:$O$143,"107Winc",$Q$8:$Q$143)</f>
        <v>0</v>
      </c>
      <c r="M184" s="13" t="s">
        <v>114</v>
      </c>
      <c r="N184" s="13"/>
      <c r="O184" s="13"/>
      <c r="P184" s="14"/>
      <c r="Q184" s="15">
        <f>SUM(Q172:Q182)</f>
        <v>0</v>
      </c>
      <c r="R184" s="15">
        <f>SUM(R172:R182)</f>
        <v>0</v>
      </c>
      <c r="S184" s="23"/>
      <c r="T184" s="78"/>
      <c r="U184" s="78"/>
      <c r="V184" s="79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23"/>
      <c r="BO184" s="80"/>
      <c r="HH184" s="74"/>
      <c r="HJ184" s="74"/>
    </row>
    <row r="185" spans="2:218" s="72" customFormat="1" ht="13.9" customHeight="1" outlineLevel="1">
      <c r="B185" s="73"/>
      <c r="D185" s="14"/>
      <c r="F185" s="72" t="s">
        <v>187</v>
      </c>
      <c r="G185" s="23">
        <f>SUMIF($B$8:$B$143,54,$Q$8:$Q$143)</f>
        <v>0</v>
      </c>
      <c r="H185" s="23">
        <f>SUMIF($O$8:$O$143,"54rbase",$Q$8:$Q$143)</f>
        <v>0</v>
      </c>
      <c r="I185" s="23">
        <f>SUMIF($O$8:$O$143,"54rinc",$Q$8:$Q$143)</f>
        <v>0</v>
      </c>
      <c r="J185" s="23">
        <f>SUMIF($O$8:$O$143,"54Wbase",$Q$8:$Q$143)</f>
        <v>0</v>
      </c>
      <c r="K185" s="23">
        <f>SUMIF($O$8:$O$143,"54Winc",$Q$8:$Q$143)</f>
        <v>0</v>
      </c>
      <c r="Q185" s="23"/>
      <c r="R185" s="23"/>
      <c r="S185" s="23"/>
      <c r="T185" s="78"/>
      <c r="U185" s="78"/>
      <c r="V185" s="79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23"/>
      <c r="BO185" s="80"/>
      <c r="HH185" s="74"/>
      <c r="HJ185" s="74"/>
    </row>
    <row r="186" spans="2:218" s="72" customFormat="1" ht="13.9" customHeight="1" outlineLevel="1">
      <c r="B186" s="73"/>
      <c r="D186" s="14"/>
      <c r="F186" s="72" t="s">
        <v>311</v>
      </c>
      <c r="G186" s="23">
        <f>SUMIF($B$8:$B$143,"23N",$Q$8:$Q$143)</f>
        <v>0</v>
      </c>
      <c r="H186" s="23">
        <f>SUMIF($O$8:$O$143,"23Nrbase",$Q$8:$Q$143)</f>
        <v>0</v>
      </c>
      <c r="I186" s="23">
        <f>SUMIF($O$8:$O$143,"23Nrinc",$Q$8:$Q$143)</f>
        <v>0</v>
      </c>
      <c r="J186" s="23">
        <f>SUMIF($O$8:$O$143,"23NWbase",$Q$8:$Q$143)</f>
        <v>0</v>
      </c>
      <c r="K186" s="23">
        <f>SUMIF($O$8:$O$143,"23NWinc",$Q$8:$Q$143)</f>
        <v>0</v>
      </c>
      <c r="Q186" s="23"/>
      <c r="R186" s="23"/>
      <c r="S186" s="23"/>
      <c r="T186" s="78"/>
      <c r="U186" s="78"/>
      <c r="V186" s="79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23"/>
      <c r="BO186" s="80"/>
      <c r="HH186" s="74"/>
      <c r="HJ186" s="74"/>
    </row>
    <row r="187" spans="2:218" s="72" customFormat="1" ht="13.9" customHeight="1" outlineLevel="1">
      <c r="B187" s="73"/>
      <c r="D187" s="14"/>
      <c r="F187" s="72" t="s">
        <v>312</v>
      </c>
      <c r="G187" s="23">
        <f>SUMIF($B$8:$B$143,18,$Q$8:$Q$143)</f>
        <v>0</v>
      </c>
      <c r="H187" s="23">
        <f>SUMIF($O$8:$O$143,"18rbase",$Q$8:$Q$143)</f>
        <v>0</v>
      </c>
      <c r="I187" s="23">
        <f>SUMIF($O$8:$O$143,"18rinc",$Q$8:$Q$143)</f>
        <v>0</v>
      </c>
      <c r="J187" s="23">
        <f>SUMIF($O$8:$O$143,"18Wbase",$Q$8:$Q$143)</f>
        <v>0</v>
      </c>
      <c r="K187" s="23">
        <f>SUMIF($O$8:$O$143,"18Winc",$Q$8:$Q$143)</f>
        <v>0</v>
      </c>
      <c r="N187" s="165"/>
      <c r="O187" s="165"/>
      <c r="P187" s="23"/>
      <c r="Q187" s="166" t="s">
        <v>62</v>
      </c>
      <c r="R187" s="167" t="s">
        <v>313</v>
      </c>
      <c r="S187" s="168" t="s">
        <v>314</v>
      </c>
      <c r="T187" s="78"/>
      <c r="U187" s="78"/>
      <c r="V187" s="79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23"/>
      <c r="BO187" s="80"/>
      <c r="HH187" s="74"/>
      <c r="HJ187" s="74"/>
    </row>
    <row r="188" spans="2:218" s="72" customFormat="1" ht="13.9" customHeight="1" outlineLevel="1">
      <c r="B188" s="73"/>
      <c r="D188" s="14"/>
      <c r="F188" s="72" t="s">
        <v>198</v>
      </c>
      <c r="G188" s="23">
        <f>SUMIF($B$8:$B$143,73,$Q$8:$Q$143)</f>
        <v>0</v>
      </c>
      <c r="H188" s="23">
        <f>SUMIF($O$8:$O$143,"73rbase",$Q$8:$Q$143)</f>
        <v>0</v>
      </c>
      <c r="I188" s="23">
        <f>SUMIF($O$8:$O$143,"73rinc",$Q$8:$Q$143)</f>
        <v>0</v>
      </c>
      <c r="J188" s="23">
        <f>SUMIF($O$8:$O$143,"73Wbase",$Q$8:$Q$143)</f>
        <v>0</v>
      </c>
      <c r="K188" s="23">
        <f>SUMIF($O$8:$O$143,"73Winc",$Q$8:$Q$143)</f>
        <v>0</v>
      </c>
      <c r="M188" s="165" t="s">
        <v>315</v>
      </c>
      <c r="N188" s="23"/>
      <c r="O188" s="23"/>
      <c r="P188" s="23"/>
      <c r="Q188" s="169">
        <v>37147</v>
      </c>
      <c r="R188" s="23">
        <f>SUMIF($T$8:$T$143,37147,$Q$8:$Q$143)</f>
        <v>0</v>
      </c>
      <c r="S188" s="23">
        <f>+R188/$Q$193</f>
        <v>0</v>
      </c>
      <c r="T188" s="78"/>
      <c r="U188" s="78"/>
      <c r="V188" s="79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  <c r="BC188" s="78"/>
      <c r="BD188" s="78"/>
      <c r="BE188" s="78"/>
      <c r="BF188" s="23"/>
      <c r="BO188" s="80"/>
      <c r="HH188" s="74"/>
      <c r="HJ188" s="74"/>
    </row>
    <row r="189" spans="2:218" s="72" customFormat="1" ht="13.9" customHeight="1" outlineLevel="1">
      <c r="B189" s="73"/>
      <c r="D189" s="14"/>
      <c r="F189" s="72" t="s">
        <v>17</v>
      </c>
      <c r="G189" s="23">
        <f>SUMIF($B$8:$B$143,23,$Q$8:$Q$143)</f>
        <v>0</v>
      </c>
      <c r="H189" s="23">
        <f>SUMIF($O$8:$O$143,"23rbase",$Q$8:$Q$143)</f>
        <v>0</v>
      </c>
      <c r="I189" s="23">
        <f>SUMIF($O$8:$O$143,"23rinc",$Q$8:$Q$143)</f>
        <v>0</v>
      </c>
      <c r="J189" s="23">
        <f>SUMIF($O$8:$O$143,"23Wbase",$Q$8:$Q$143)</f>
        <v>0</v>
      </c>
      <c r="K189" s="23">
        <f>SUMIF($O$8:$O$143,"23Winc",$Q$8:$Q$143)</f>
        <v>0</v>
      </c>
      <c r="M189" s="23" t="s">
        <v>361</v>
      </c>
      <c r="N189" s="23"/>
      <c r="O189" s="23"/>
      <c r="P189" s="23"/>
      <c r="Q189" s="169">
        <v>39999</v>
      </c>
      <c r="R189" s="23">
        <f>SUMIF($T$8:$T$143,39999,$Q$8:$Q$143)</f>
        <v>0</v>
      </c>
      <c r="S189" s="23">
        <f>+R189/$Q$193</f>
        <v>0</v>
      </c>
      <c r="T189" s="78"/>
      <c r="U189" s="78"/>
      <c r="V189" s="79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  <c r="BC189" s="78"/>
      <c r="BD189" s="78"/>
      <c r="BE189" s="78"/>
      <c r="BF189" s="23"/>
      <c r="BO189" s="80"/>
      <c r="HH189" s="74"/>
      <c r="HJ189" s="74"/>
    </row>
    <row r="190" spans="2:218" s="72" customFormat="1" ht="13.9" customHeight="1" outlineLevel="1">
      <c r="B190" s="73"/>
      <c r="D190" s="14"/>
      <c r="F190" s="72" t="s">
        <v>316</v>
      </c>
      <c r="G190" s="23">
        <f>SUMIF($B$8:$B$143,"732999",$Q$8:$Q$143)</f>
        <v>0</v>
      </c>
      <c r="H190" s="23">
        <f>SUMIF($O$8:$O$143,"732999rbase",$Q$8:$Q$143)</f>
        <v>0</v>
      </c>
      <c r="I190" s="23">
        <f>SUMIF($O$8:$O$143,"732999rinc",$Q$8:$Q$143)</f>
        <v>0</v>
      </c>
      <c r="J190" s="23">
        <f>SUMIF($O$8:$O$143,"732999Wbase",$Q$8:$Q$143)</f>
        <v>0</v>
      </c>
      <c r="K190" s="23">
        <f>SUMIF($O$8:$O$143,"732999Winc",$Q$8:$Q$143)</f>
        <v>0</v>
      </c>
      <c r="M190" s="23" t="s">
        <v>317</v>
      </c>
      <c r="N190" s="23"/>
      <c r="O190" s="23"/>
      <c r="P190" s="23"/>
      <c r="Q190" s="113" t="s">
        <v>318</v>
      </c>
      <c r="R190" s="170">
        <f>SUMIF($T$8:$T$143,"A03",$Q$8:$Q$143)</f>
        <v>0</v>
      </c>
      <c r="S190" s="170">
        <f>+R190/$Q$193</f>
        <v>0</v>
      </c>
      <c r="T190" s="78"/>
      <c r="U190" s="78"/>
      <c r="V190" s="79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  <c r="BC190" s="78"/>
      <c r="BD190" s="78"/>
      <c r="BE190" s="78"/>
      <c r="BF190" s="23"/>
      <c r="BO190" s="80"/>
      <c r="HH190" s="74"/>
      <c r="HJ190" s="74"/>
    </row>
    <row r="191" spans="2:218" s="72" customFormat="1" ht="13.9" customHeight="1" outlineLevel="1">
      <c r="B191" s="73"/>
      <c r="D191" s="14"/>
      <c r="F191" s="72" t="s">
        <v>213</v>
      </c>
      <c r="G191" s="23">
        <f>SUMIF($B$8:$B$143,80,$Q$8:$Q$143)</f>
        <v>0</v>
      </c>
      <c r="H191" s="23">
        <f>SUMIF($O$8:$O$143,"80rbase",$Q$8:$Q$143)</f>
        <v>0</v>
      </c>
      <c r="I191" s="23">
        <f>SUMIF($O$8:$O$143,"80rinc",$Q$8:$Q$143)</f>
        <v>0</v>
      </c>
      <c r="J191" s="23">
        <f>SUMIF($O$8:$O$143,"80Wbase",$Q$8:$Q$143)</f>
        <v>0</v>
      </c>
      <c r="K191" s="23">
        <f>SUMIF($O$8:$O$143,"80Winc",$Q$8:$Q$143)</f>
        <v>0</v>
      </c>
      <c r="M191" s="23" t="s">
        <v>362</v>
      </c>
      <c r="N191" s="23"/>
      <c r="O191" s="23"/>
      <c r="P191" s="23"/>
      <c r="Q191" s="113"/>
      <c r="R191" s="15">
        <f>SUM(R188:R190)</f>
        <v>0</v>
      </c>
      <c r="S191" s="15">
        <f>SUM(S188:S190)</f>
        <v>0</v>
      </c>
      <c r="T191" s="171" t="s">
        <v>320</v>
      </c>
      <c r="U191" s="171"/>
      <c r="V191" s="172"/>
      <c r="W191" s="171"/>
      <c r="X191" s="171"/>
      <c r="Y191" s="171"/>
      <c r="Z191" s="171"/>
      <c r="AA191" s="171"/>
      <c r="AB191" s="171"/>
      <c r="AC191" s="171"/>
      <c r="AD191" s="171"/>
      <c r="AE191" s="171"/>
      <c r="AF191" s="171"/>
      <c r="AG191" s="171"/>
      <c r="AH191" s="171"/>
      <c r="AI191" s="171"/>
      <c r="AJ191" s="171"/>
      <c r="AK191" s="171"/>
      <c r="AL191" s="171"/>
      <c r="AM191" s="171"/>
      <c r="AN191" s="171"/>
      <c r="AO191" s="171"/>
      <c r="AP191" s="171"/>
      <c r="AQ191" s="171"/>
      <c r="AR191" s="171"/>
      <c r="AS191" s="171"/>
      <c r="AT191" s="171"/>
      <c r="AU191" s="171"/>
      <c r="AV191" s="171"/>
      <c r="AW191" s="171"/>
      <c r="AX191" s="171"/>
      <c r="AY191" s="171"/>
      <c r="AZ191" s="171"/>
      <c r="BA191" s="171"/>
      <c r="BB191" s="171"/>
      <c r="BC191" s="171"/>
      <c r="BD191" s="171"/>
      <c r="BE191" s="171"/>
      <c r="BF191" s="23"/>
      <c r="BO191" s="80"/>
      <c r="HH191" s="74"/>
      <c r="HJ191" s="74"/>
    </row>
    <row r="192" spans="2:218" s="72" customFormat="1" ht="15.75" outlineLevel="1">
      <c r="B192" s="73"/>
      <c r="D192" s="14"/>
      <c r="F192" s="72" t="s">
        <v>319</v>
      </c>
      <c r="G192" s="23">
        <f>SUMIF($B$8:$B$143,67,$Q$8:$Q$143)</f>
        <v>0</v>
      </c>
      <c r="H192" s="23">
        <f>SUMIF($O$8:$O$143,"67rbase",$Q$8:$Q$143)</f>
        <v>0</v>
      </c>
      <c r="I192" s="23">
        <f>SUMIF($O$8:$O$143,"67rinc",$Q$8:$Q$143)</f>
        <v>0</v>
      </c>
      <c r="J192" s="23">
        <f>SUMIF($O$8:$O$143,"67Wbase",$Q$8:$Q$143)</f>
        <v>0</v>
      </c>
      <c r="K192" s="23">
        <f>SUMIF($O$8:$O$143,"67Winc",$Q$8:$Q$143)</f>
        <v>0</v>
      </c>
      <c r="O192" s="23"/>
      <c r="P192" s="23"/>
      <c r="U192" s="78"/>
      <c r="V192" s="79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  <c r="BD192" s="78"/>
      <c r="BE192" s="78"/>
      <c r="BF192" s="23"/>
      <c r="BO192" s="80"/>
      <c r="HH192" s="74"/>
      <c r="HJ192" s="74"/>
    </row>
    <row r="193" spans="2:218" s="72" customFormat="1" ht="15.75" outlineLevel="1">
      <c r="B193" s="73"/>
      <c r="D193" s="14"/>
      <c r="F193" s="72" t="s">
        <v>321</v>
      </c>
      <c r="G193" s="23">
        <f>SUMIF($B$8:$B$143,48,$Q$8:$Q$143)</f>
        <v>0</v>
      </c>
      <c r="H193" s="23">
        <f>SUMIF($O$8:$O$143,"48rbase",$Q$8:$Q$143)</f>
        <v>0</v>
      </c>
      <c r="I193" s="23">
        <f>SUMIF($O$8:$O$143,"48rinc",$Q$8:$Q$143)</f>
        <v>0</v>
      </c>
      <c r="J193" s="23">
        <f>SUMIF($O$8:$O$143,"48Wbase",$Q$8:$Q$143)</f>
        <v>0</v>
      </c>
      <c r="K193" s="23">
        <f>SUMIF($O$8:$O$143,"48Winc",$Q$8:$Q$143)</f>
        <v>0</v>
      </c>
      <c r="Q193" s="173">
        <v>0.97884000000000004</v>
      </c>
      <c r="R193" s="23"/>
      <c r="S193" s="169"/>
      <c r="T193" s="78"/>
      <c r="U193" s="78"/>
      <c r="V193" s="79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23"/>
      <c r="BO193" s="80"/>
      <c r="HH193" s="74"/>
      <c r="HJ193" s="74"/>
    </row>
    <row r="194" spans="2:218" s="72" customFormat="1" ht="15.75" outlineLevel="1">
      <c r="B194" s="73"/>
      <c r="D194" s="14"/>
      <c r="F194" s="72" t="s">
        <v>322</v>
      </c>
      <c r="G194" s="23">
        <f>SUMIF($B$8:$B$143,348,$Q$8:$Q$143)</f>
        <v>0</v>
      </c>
      <c r="H194" s="23">
        <f>SUMIF($O$8:$O$143,"348rbase",$Q$8:$Q$143)</f>
        <v>0</v>
      </c>
      <c r="I194" s="23">
        <f>SUMIF($O$8:$O$143,"348rinc",$Q$8:$Q$143)</f>
        <v>0</v>
      </c>
      <c r="J194" s="23">
        <f>SUMIF($O$8:$O$143,"348Wbase",$Q$8:$Q$143)</f>
        <v>0</v>
      </c>
      <c r="K194" s="23">
        <f>SUMIF($O$8:$O$143,"348Winc",$Q$8:$Q$143)</f>
        <v>0</v>
      </c>
      <c r="Q194" s="23"/>
      <c r="R194" s="23"/>
      <c r="S194" s="23"/>
      <c r="T194" s="78"/>
      <c r="U194" s="78"/>
      <c r="V194" s="79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  <c r="BD194" s="78"/>
      <c r="BE194" s="78"/>
      <c r="BF194" s="23"/>
      <c r="BO194" s="80"/>
      <c r="HH194" s="74"/>
      <c r="HJ194" s="74"/>
    </row>
    <row r="195" spans="2:218" s="72" customFormat="1" ht="18" customHeight="1" outlineLevel="1">
      <c r="B195" s="73"/>
      <c r="D195" s="14"/>
      <c r="F195" s="72" t="s">
        <v>323</v>
      </c>
      <c r="G195" s="23">
        <f>SUMIF($B$8:$B$143,44,$Q$8:$Q$143)</f>
        <v>0</v>
      </c>
      <c r="H195" s="23">
        <f>SUMIF($O$8:$O$143,"44rbase",$Q$8:$Q$143)</f>
        <v>0</v>
      </c>
      <c r="I195" s="23">
        <f>SUMIF($O$8:$O$143,"44rinc",$Q$8:$Q$143)</f>
        <v>0</v>
      </c>
      <c r="J195" s="23">
        <f>SUMIF($O$8:$O$143,"44Wbase",$Q$8:$Q$143)</f>
        <v>0</v>
      </c>
      <c r="K195" s="23">
        <f>SUMIF($O$8:$O$143,"44Winc",$Q$8:$Q$143)</f>
        <v>0</v>
      </c>
      <c r="N195" s="23"/>
      <c r="O195" s="23"/>
      <c r="P195" s="23"/>
      <c r="Q195" s="78" t="s">
        <v>255</v>
      </c>
      <c r="R195" s="23">
        <f>SUMIF($T$8:$T$143,"beth gas",$Q$8:$Q$143)</f>
        <v>0</v>
      </c>
      <c r="S195" s="23">
        <f>+R195/$Q$193</f>
        <v>0</v>
      </c>
      <c r="T195" s="78"/>
      <c r="U195" s="78"/>
      <c r="V195" s="79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/>
      <c r="AZ195" s="78"/>
      <c r="BA195" s="78"/>
      <c r="BB195" s="78"/>
      <c r="BC195" s="78"/>
      <c r="BD195" s="78"/>
      <c r="BE195" s="78"/>
      <c r="BF195" s="23"/>
      <c r="BO195" s="80"/>
      <c r="HH195" s="74"/>
      <c r="HJ195" s="74"/>
    </row>
    <row r="196" spans="2:218" s="72" customFormat="1" ht="15.75" outlineLevel="1">
      <c r="B196" s="73"/>
      <c r="D196" s="14"/>
      <c r="F196" s="72" t="s">
        <v>351</v>
      </c>
      <c r="G196" s="23">
        <f>SUMIF($B$8:$B$143,6,$Q$8:$Q$143)</f>
        <v>0</v>
      </c>
      <c r="H196" s="23">
        <f>SUMIF($O$8:$O$143,"6rbase",$Q$8:$Q$143)</f>
        <v>0</v>
      </c>
      <c r="I196" s="23">
        <f>SUMIF($O$8:$O$143,"6rinc",$Q$8:$Q$143)</f>
        <v>0</v>
      </c>
      <c r="J196" s="23">
        <f>SUMIF($O$8:$O$143,"6Wbase",$Q$8:$Q$143)</f>
        <v>0</v>
      </c>
      <c r="K196" s="23">
        <f>SUMIF($O$8:$O$143,"6Winc",$Q$8:$Q$143)</f>
        <v>0</v>
      </c>
      <c r="N196" s="23"/>
      <c r="O196" s="23"/>
      <c r="P196" s="23"/>
      <c r="Q196" s="23"/>
      <c r="R196" s="23"/>
      <c r="S196" s="23"/>
      <c r="T196" s="78"/>
      <c r="U196" s="78"/>
      <c r="V196" s="79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/>
      <c r="AZ196" s="78"/>
      <c r="BA196" s="78"/>
      <c r="BB196" s="78"/>
      <c r="BC196" s="78"/>
      <c r="BD196" s="78"/>
      <c r="BE196" s="78"/>
      <c r="BF196" s="23"/>
      <c r="BO196" s="80"/>
      <c r="HH196" s="74"/>
      <c r="HJ196" s="74"/>
    </row>
    <row r="197" spans="2:218" s="72" customFormat="1" ht="15.75" outlineLevel="1">
      <c r="B197" s="73"/>
      <c r="D197" s="14"/>
      <c r="F197" s="72" t="s">
        <v>324</v>
      </c>
      <c r="G197" s="23">
        <f>SUMIF($B$8:$B$143,24,$Q$8:$Q$143)</f>
        <v>0</v>
      </c>
      <c r="H197" s="23">
        <f>SUMIF($O$8:$O$143,"24rbase",$Q$8:$Q$143)</f>
        <v>0</v>
      </c>
      <c r="I197" s="23">
        <f>SUMIF($O$8:$O$143,"24rinc",$Q$8:$Q$143)</f>
        <v>0</v>
      </c>
      <c r="J197" s="23">
        <f>SUMIF($O$8:$O$143,"24Wbase",$Q$8:$Q$143)</f>
        <v>0</v>
      </c>
      <c r="K197" s="23">
        <f>SUMIF($O$8:$O$143,"24Winc",$Q$8:$Q$143)</f>
        <v>0</v>
      </c>
      <c r="P197" s="23"/>
      <c r="Q197" s="23"/>
      <c r="R197" s="23"/>
      <c r="S197" s="23"/>
      <c r="T197" s="78"/>
      <c r="U197" s="78"/>
      <c r="V197" s="79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/>
      <c r="AZ197" s="78"/>
      <c r="BA197" s="78"/>
      <c r="BB197" s="78"/>
      <c r="BC197" s="78"/>
      <c r="BD197" s="78"/>
      <c r="BE197" s="78"/>
      <c r="BF197" s="23"/>
      <c r="BO197" s="80"/>
      <c r="HH197" s="74"/>
      <c r="HJ197" s="74"/>
    </row>
    <row r="198" spans="2:218" s="72" customFormat="1" ht="15.75" outlineLevel="1">
      <c r="B198" s="73"/>
      <c r="D198" s="14"/>
      <c r="F198" s="72" t="s">
        <v>325</v>
      </c>
      <c r="G198" s="23">
        <f>SUMIF($B$8:$B$143,25,$Q$8:$Q$143)</f>
        <v>0</v>
      </c>
      <c r="H198" s="23">
        <f>SUMIF($O$8:$O$143,"25rbase",$Q$8:$Q$143)</f>
        <v>0</v>
      </c>
      <c r="I198" s="23">
        <f>SUMIF($O$8:$O$143,"25rinc",$Q$8:$Q$143)</f>
        <v>0</v>
      </c>
      <c r="J198" s="23">
        <f>SUMIF($O$8:$O$143,"25Wbase",$Q$8:$Q$143)</f>
        <v>0</v>
      </c>
      <c r="K198" s="23">
        <f>SUMIF($O$8:$O$143,"25Winc",$Q$8:$Q$143)</f>
        <v>0</v>
      </c>
      <c r="Q198" s="23"/>
      <c r="R198" s="23"/>
      <c r="S198" s="23"/>
      <c r="T198" s="78"/>
      <c r="U198" s="78"/>
      <c r="V198" s="79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/>
      <c r="AZ198" s="78"/>
      <c r="BA198" s="78"/>
      <c r="BB198" s="78"/>
      <c r="BC198" s="78"/>
      <c r="BD198" s="78"/>
      <c r="BE198" s="78"/>
      <c r="BF198" s="23"/>
      <c r="BO198" s="80"/>
      <c r="HH198" s="74"/>
      <c r="HJ198" s="74"/>
    </row>
    <row r="199" spans="2:218" s="72" customFormat="1" ht="15.75" outlineLevel="1">
      <c r="B199" s="73"/>
      <c r="D199" s="14"/>
      <c r="F199" s="72" t="s">
        <v>326</v>
      </c>
      <c r="G199" s="23">
        <f>SUMIF($B$8:$B$143,19,$Q$8:$Q$143)</f>
        <v>0</v>
      </c>
      <c r="H199" s="23">
        <f>SUMIF($O$8:$O$143,"19rbase",$Q$8:$Q$143)</f>
        <v>0</v>
      </c>
      <c r="I199" s="23">
        <f>SUMIF($O$8:$O$143,"19rinc",$Q$8:$Q$143)</f>
        <v>0</v>
      </c>
      <c r="J199" s="23">
        <f>SUMIF($O$8:$O$143,"19Wbase",$Q$8:$Q$143)</f>
        <v>0</v>
      </c>
      <c r="K199" s="23">
        <f>SUMIF($O$8:$O$143,"19Winc",$Q$8:$Q$143)</f>
        <v>0</v>
      </c>
      <c r="Q199" s="23"/>
      <c r="R199" s="23"/>
      <c r="S199" s="23"/>
      <c r="T199" s="78"/>
      <c r="U199" s="78"/>
      <c r="V199" s="79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/>
      <c r="AZ199" s="78"/>
      <c r="BA199" s="78"/>
      <c r="BB199" s="78"/>
      <c r="BC199" s="78"/>
      <c r="BD199" s="78"/>
      <c r="BE199" s="78"/>
      <c r="BF199" s="23"/>
      <c r="BO199" s="80"/>
      <c r="HH199" s="74"/>
      <c r="HJ199" s="74"/>
    </row>
    <row r="200" spans="2:218" s="72" customFormat="1" ht="15.75" outlineLevel="1">
      <c r="B200" s="73"/>
      <c r="D200" s="14"/>
      <c r="F200" s="72" t="s">
        <v>230</v>
      </c>
      <c r="G200" s="23">
        <f>SUMIF($B$8:$B$143,29,$Q$8:$Q$143)</f>
        <v>0</v>
      </c>
      <c r="H200" s="23">
        <f>SUMIF($O$8:$O$143,"29rbase",$Q$8:$Q$143)</f>
        <v>0</v>
      </c>
      <c r="I200" s="23">
        <f>SUMIF($O$8:$O$143,"29rinc",$Q$8:$Q$143)</f>
        <v>0</v>
      </c>
      <c r="J200" s="23">
        <f>SUMIF($O$8:$O$143,"29Wbase",$Q$8:$Q$143)</f>
        <v>0</v>
      </c>
      <c r="K200" s="23">
        <f>SUMIF($O$8:$O$143,"29Winc",$Q$8:$Q$143)</f>
        <v>0</v>
      </c>
      <c r="Q200" s="23"/>
      <c r="R200" s="23"/>
      <c r="S200" s="23"/>
      <c r="T200" s="78"/>
      <c r="U200" s="78"/>
      <c r="V200" s="79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/>
      <c r="AZ200" s="78"/>
      <c r="BA200" s="78"/>
      <c r="BB200" s="78"/>
      <c r="BC200" s="78"/>
      <c r="BD200" s="78"/>
      <c r="BE200" s="78"/>
      <c r="BF200" s="23"/>
      <c r="BO200" s="80"/>
      <c r="HH200" s="74"/>
      <c r="HJ200" s="74"/>
    </row>
    <row r="201" spans="2:218" s="72" customFormat="1" ht="15.75" outlineLevel="1">
      <c r="B201" s="73"/>
      <c r="D201" s="14"/>
      <c r="F201" s="72" t="s">
        <v>309</v>
      </c>
      <c r="G201" s="23">
        <f>SUMIF($B$8:$B$143,"56W",$Q$8:$Q$143)</f>
        <v>0</v>
      </c>
      <c r="H201" s="23">
        <f>SUMIF($O$8:$O$143,"56Wrbase",$Q$8:$Q$143)</f>
        <v>0</v>
      </c>
      <c r="I201" s="23">
        <f>SUMIF($O$8:$O$143,"56Wrinc",$Q$8:$Q$143)</f>
        <v>0</v>
      </c>
      <c r="J201" s="23">
        <f>SUMIF($O$8:$O$143,"56WWbase",$Q$8:$Q$143)</f>
        <v>0</v>
      </c>
      <c r="K201" s="23">
        <f>SUMIF($O$8:$O$143,"56WWinc",$Q$8:$Q$143)</f>
        <v>0</v>
      </c>
      <c r="Q201" s="23"/>
      <c r="R201" s="23"/>
      <c r="S201" s="23"/>
      <c r="T201" s="78"/>
      <c r="U201" s="78"/>
      <c r="V201" s="79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  <c r="BD201" s="78"/>
      <c r="BE201" s="78"/>
      <c r="BF201" s="23"/>
      <c r="BO201" s="80"/>
      <c r="HH201" s="74"/>
      <c r="HJ201" s="74"/>
    </row>
    <row r="202" spans="2:218" s="72" customFormat="1" ht="15.75" outlineLevel="1">
      <c r="B202" s="73"/>
      <c r="D202" s="14"/>
      <c r="F202" s="72" t="s">
        <v>233</v>
      </c>
      <c r="G202" s="23">
        <f>SUMIF($B$8:$B$143,4,$Q$8:$Q$143)</f>
        <v>0</v>
      </c>
      <c r="H202" s="23">
        <f>SUMIF($O$8:$O$143,"4rbase",$Q$8:$Q$143)</f>
        <v>0</v>
      </c>
      <c r="I202" s="23">
        <f>SUMIF($O$8:$O$143,"4rinc",$Q$8:$Q$143)</f>
        <v>0</v>
      </c>
      <c r="J202" s="23">
        <f>SUMIF($O$8:$O$143,"4Wbase",$Q$8:$Q$143)</f>
        <v>0</v>
      </c>
      <c r="K202" s="23">
        <f>SUMIF($O$8:$O$143,"4Winc",$Q$8:$Q$143)</f>
        <v>0</v>
      </c>
      <c r="Q202" s="23"/>
      <c r="R202" s="23"/>
      <c r="S202" s="23"/>
      <c r="T202" s="78"/>
      <c r="U202" s="78"/>
      <c r="V202" s="79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/>
      <c r="AZ202" s="78"/>
      <c r="BA202" s="78"/>
      <c r="BB202" s="78"/>
      <c r="BC202" s="78"/>
      <c r="BD202" s="78"/>
      <c r="BE202" s="78"/>
      <c r="BF202" s="23"/>
      <c r="BO202" s="80"/>
      <c r="HH202" s="74"/>
      <c r="HJ202" s="74"/>
    </row>
    <row r="203" spans="2:218" s="72" customFormat="1" ht="15.75" outlineLevel="1">
      <c r="B203" s="73"/>
      <c r="D203" s="14"/>
      <c r="F203" s="72" t="s">
        <v>239</v>
      </c>
      <c r="G203" s="23">
        <f>SUMIF($B$8:$B$143,"loudoun",$Q$8:$Q$143)</f>
        <v>0</v>
      </c>
      <c r="H203" s="23">
        <f>SUMIF($O$8:$O$143,"LOUDOUNrbase",$Q$8:$Q$143)</f>
        <v>0</v>
      </c>
      <c r="I203" s="23">
        <f>SUMIF($O$8:$O$143,"LOUDOUNrinc",$Q$8:$Q$143)</f>
        <v>0</v>
      </c>
      <c r="J203" s="23">
        <f>SUMIF($O$8:$O$143,"LOUDOUNWbase",$Q$8:$Q$143)</f>
        <v>0</v>
      </c>
      <c r="K203" s="23">
        <f>SUMIF($O$8:$O$143,"LOUDOUNWinc",$Q$8:$Q$143)</f>
        <v>0</v>
      </c>
      <c r="Q203" s="23"/>
      <c r="R203" s="23"/>
      <c r="S203" s="23"/>
      <c r="T203" s="78"/>
      <c r="U203" s="78"/>
      <c r="V203" s="79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  <c r="AY203" s="78"/>
      <c r="AZ203" s="78"/>
      <c r="BA203" s="78"/>
      <c r="BB203" s="78"/>
      <c r="BC203" s="78"/>
      <c r="BD203" s="78"/>
      <c r="BE203" s="78"/>
      <c r="BF203" s="23"/>
      <c r="BO203" s="80"/>
      <c r="HH203" s="74"/>
      <c r="HJ203" s="74"/>
    </row>
    <row r="204" spans="2:218" s="72" customFormat="1" ht="15.75" outlineLevel="1">
      <c r="B204" s="73"/>
      <c r="D204" s="14"/>
      <c r="F204" s="72" t="s">
        <v>28</v>
      </c>
      <c r="G204" s="23">
        <f>SUMIF($B$8:$B$143,"46",$Q$8:$Q$143)</f>
        <v>0</v>
      </c>
      <c r="H204" s="23">
        <f>SUMIF($O$8:$O$143,"46rbase",$Q$8:$Q$143)</f>
        <v>0</v>
      </c>
      <c r="I204" s="23">
        <f>SUMIF($O$8:$O$143,"46rinc",$Q$8:$Q$143)</f>
        <v>0</v>
      </c>
      <c r="J204" s="23">
        <f>SUMIF($O$8:$O$143,"46Wbase",$Q$8:$Q$143)</f>
        <v>0</v>
      </c>
      <c r="K204" s="23">
        <f>SUMIF($O$8:$O$143,"46Winc",$Q$8:$Q$143)</f>
        <v>0</v>
      </c>
      <c r="Q204" s="23"/>
      <c r="R204" s="23"/>
      <c r="S204" s="23"/>
      <c r="T204" s="78"/>
      <c r="U204" s="78"/>
      <c r="V204" s="79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78"/>
      <c r="AZ204" s="78"/>
      <c r="BA204" s="78"/>
      <c r="BB204" s="78"/>
      <c r="BC204" s="78"/>
      <c r="BD204" s="78"/>
      <c r="BE204" s="78"/>
      <c r="BF204" s="23"/>
      <c r="BO204" s="80"/>
      <c r="HH204" s="74"/>
      <c r="HJ204" s="74"/>
    </row>
    <row r="205" spans="2:218" s="72" customFormat="1" ht="15.75" outlineLevel="1">
      <c r="B205" s="73"/>
      <c r="D205" s="14"/>
      <c r="F205" s="72" t="s">
        <v>327</v>
      </c>
      <c r="G205" s="23">
        <f>SUMIF($B$8:$B$143,62,$Q$8:$Q$143)</f>
        <v>0</v>
      </c>
      <c r="H205" s="23">
        <f>SUMIF($O$8:$O$143,"62rbase",$Q$8:$Q$143)</f>
        <v>0</v>
      </c>
      <c r="I205" s="23">
        <f>SUMIF($O$8:$O$143,"62rinc",$Q$8:$Q$143)</f>
        <v>0</v>
      </c>
      <c r="J205" s="23">
        <f>SUMIF($O$8:$O$143,"62Wbase",$Q$8:$Q$143)</f>
        <v>0</v>
      </c>
      <c r="K205" s="23">
        <f>SUMIF($O$8:$O$143,"62Winc",$Q$8:$Q$143)</f>
        <v>0</v>
      </c>
      <c r="Q205" s="23"/>
      <c r="R205" s="23"/>
      <c r="S205" s="23"/>
      <c r="T205" s="78"/>
      <c r="U205" s="78"/>
      <c r="V205" s="79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  <c r="AY205" s="78"/>
      <c r="AZ205" s="78"/>
      <c r="BA205" s="78"/>
      <c r="BB205" s="78"/>
      <c r="BC205" s="78"/>
      <c r="BD205" s="78"/>
      <c r="BE205" s="78"/>
      <c r="BF205" s="23"/>
      <c r="BO205" s="80"/>
      <c r="HH205" s="74"/>
      <c r="HJ205" s="74"/>
    </row>
    <row r="206" spans="2:218" s="72" customFormat="1" ht="15.75" outlineLevel="1">
      <c r="B206" s="73"/>
      <c r="D206" s="14"/>
      <c r="F206" s="72" t="s">
        <v>246</v>
      </c>
      <c r="G206" s="23">
        <f>SUMIF($B$8:$B$143,78,$Q$8:$Q$143)</f>
        <v>0</v>
      </c>
      <c r="H206" s="23">
        <f>SUMIF($O$8:$O$143,"78rbase",$Q$8:$Q$143)</f>
        <v>0</v>
      </c>
      <c r="I206" s="23">
        <f>SUMIF($O$8:$O$143,"78rinc",$Q$8:$Q$143)</f>
        <v>0</v>
      </c>
      <c r="J206" s="23">
        <f>SUMIF($O$8:$O$143,"78Wbase",$Q$8:$Q$143)</f>
        <v>0</v>
      </c>
      <c r="K206" s="23">
        <f>SUMIF($O$8:$O$143,"78Winc",$Q$8:$Q$143)</f>
        <v>0</v>
      </c>
      <c r="Q206" s="23"/>
      <c r="R206" s="23"/>
      <c r="S206" s="23"/>
      <c r="T206" s="78"/>
      <c r="U206" s="78"/>
      <c r="V206" s="79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23"/>
      <c r="BO206" s="80"/>
      <c r="HH206" s="74"/>
      <c r="HJ206" s="74"/>
    </row>
    <row r="207" spans="2:218" s="72" customFormat="1" ht="15.75" outlineLevel="1">
      <c r="B207" s="73"/>
      <c r="D207" s="14"/>
      <c r="F207" s="72" t="s">
        <v>354</v>
      </c>
      <c r="G207" s="23">
        <f>SUMIF($B$8:$B$143,52,$Q$8:$Q$143)</f>
        <v>0</v>
      </c>
      <c r="H207" s="23">
        <f>SUMIF($O$8:$O$143,"52rbase",$Q$8:$Q$143)</f>
        <v>0</v>
      </c>
      <c r="I207" s="23">
        <f>SUMIF($O$8:$O$143,"52rinc",$Q$8:$Q$143)</f>
        <v>0</v>
      </c>
      <c r="J207" s="23">
        <f>SUMIF($O$8:$O$143,"52Wbase",$Q$8:$Q$143)</f>
        <v>0</v>
      </c>
      <c r="K207" s="23">
        <f>SUMIF($O$8:$O$143,"52Winc",$Q$8:$Q$143)</f>
        <v>0</v>
      </c>
      <c r="Q207" s="23"/>
      <c r="R207" s="23"/>
      <c r="S207" s="23"/>
      <c r="T207" s="78"/>
      <c r="U207" s="78"/>
      <c r="V207" s="79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  <c r="BD207" s="78"/>
      <c r="BE207" s="78"/>
      <c r="BF207" s="23"/>
      <c r="BO207" s="80"/>
      <c r="HH207" s="74"/>
      <c r="HJ207" s="74"/>
    </row>
    <row r="208" spans="2:218" s="72" customFormat="1" ht="15.75" outlineLevel="1">
      <c r="B208" s="73"/>
      <c r="D208" s="14"/>
      <c r="F208" s="72" t="s">
        <v>188</v>
      </c>
      <c r="G208" s="23">
        <f>SUMIF($B$8:$B$143,88,$Q$8:$Q$143)</f>
        <v>0</v>
      </c>
      <c r="H208" s="23">
        <f>SUMIF($O$8:$O$143,"88rbase",$Q$8:$Q$143)</f>
        <v>0</v>
      </c>
      <c r="I208" s="23">
        <f>SUMIF($O$8:$O$143,"78rinc",$Q$8:$Q$143)</f>
        <v>0</v>
      </c>
      <c r="J208" s="23">
        <f>SUMIF($O$8:$O$143,"88Wbase",$Q$8:$Q$143)</f>
        <v>0</v>
      </c>
      <c r="K208" s="23">
        <f>SUMIF($O$8:$O$143,"78Winc",$Q$8:$Q$143)</f>
        <v>0</v>
      </c>
      <c r="Q208" s="23"/>
      <c r="R208" s="23"/>
      <c r="S208" s="23"/>
      <c r="T208" s="78"/>
      <c r="U208" s="78"/>
      <c r="V208" s="79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  <c r="BD208" s="78"/>
      <c r="BE208" s="78"/>
      <c r="BF208" s="23"/>
      <c r="BO208" s="80"/>
      <c r="HH208" s="74"/>
      <c r="HJ208" s="74"/>
    </row>
    <row r="209" spans="1:221" s="72" customFormat="1" ht="15.75" outlineLevel="1">
      <c r="B209" s="73"/>
      <c r="D209" s="14"/>
      <c r="F209" s="72" t="s">
        <v>252</v>
      </c>
      <c r="G209" s="23">
        <f>SUMIF($B$8:$B$143,"STOI",$Q$8:$Q$143)</f>
        <v>0</v>
      </c>
      <c r="H209" s="23">
        <f>SUMIF($O$8:$O$143,"STOIrbase",$Q$8:$Q$143)</f>
        <v>0</v>
      </c>
      <c r="I209" s="23">
        <f>SUMIF($O$8:$O$143,"STOIrinc",$Q$8:$Q$143)</f>
        <v>0</v>
      </c>
      <c r="J209" s="23">
        <f>SUMIF($O$8:$O$143,"STOIWbase",$Q$8:$Q$143)</f>
        <v>0</v>
      </c>
      <c r="K209" s="23">
        <f>SUMIF($O$8:$O$143,"STOIWinc",$Q$8:$Q$143)</f>
        <v>0</v>
      </c>
      <c r="Q209" s="23"/>
      <c r="R209" s="23"/>
      <c r="S209" s="23"/>
      <c r="T209" s="78"/>
      <c r="U209" s="78"/>
      <c r="V209" s="79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  <c r="BD209" s="78"/>
      <c r="BE209" s="78"/>
      <c r="BF209" s="23"/>
      <c r="BO209" s="80"/>
      <c r="HH209" s="74"/>
      <c r="HJ209" s="74"/>
    </row>
    <row r="210" spans="1:221" s="72" customFormat="1" ht="15.75" outlineLevel="1">
      <c r="B210" s="73"/>
      <c r="D210" s="14"/>
      <c r="G210" s="23"/>
      <c r="H210" s="23"/>
      <c r="Q210" s="23"/>
      <c r="R210" s="23"/>
      <c r="S210" s="23"/>
      <c r="T210" s="78"/>
      <c r="U210" s="78"/>
      <c r="V210" s="79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  <c r="BD210" s="78"/>
      <c r="BE210" s="78"/>
      <c r="BF210" s="23"/>
      <c r="BO210" s="80"/>
      <c r="HH210" s="74"/>
      <c r="HJ210" s="74"/>
    </row>
    <row r="211" spans="1:221" s="72" customFormat="1" ht="15.75" outlineLevel="1">
      <c r="B211" s="73"/>
      <c r="D211" s="14"/>
      <c r="F211" s="14" t="s">
        <v>114</v>
      </c>
      <c r="G211" s="15">
        <f>SUM(G172:G209)</f>
        <v>0</v>
      </c>
      <c r="H211" s="15">
        <f>SUM(H172:H209)</f>
        <v>0</v>
      </c>
      <c r="I211" s="15">
        <f>SUM(I172:I209)</f>
        <v>0</v>
      </c>
      <c r="J211" s="15">
        <f>SUM(J172:J209)</f>
        <v>0</v>
      </c>
      <c r="K211" s="15">
        <f>SUM(K172:K209)</f>
        <v>0</v>
      </c>
      <c r="Q211" s="23"/>
      <c r="R211" s="23"/>
      <c r="S211" s="23"/>
      <c r="T211" s="78"/>
      <c r="U211" s="78"/>
      <c r="V211" s="79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  <c r="BD211" s="78"/>
      <c r="BE211" s="78"/>
      <c r="BF211" s="23"/>
      <c r="BO211" s="80"/>
      <c r="HH211" s="74"/>
      <c r="HJ211" s="74"/>
    </row>
    <row r="212" spans="1:221" s="72" customFormat="1" ht="15.75" outlineLevel="1">
      <c r="B212" s="73"/>
      <c r="D212" s="14"/>
      <c r="F212" s="14"/>
      <c r="G212" s="15"/>
      <c r="H212" s="15"/>
      <c r="J212" s="15"/>
      <c r="Q212" s="23"/>
      <c r="R212" s="23"/>
      <c r="S212" s="23"/>
      <c r="T212" s="78"/>
      <c r="U212" s="78"/>
      <c r="V212" s="79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  <c r="BD212" s="78"/>
      <c r="BE212" s="78"/>
      <c r="BF212" s="23"/>
      <c r="BO212" s="80"/>
      <c r="HH212" s="74"/>
      <c r="HJ212" s="74"/>
    </row>
    <row r="213" spans="1:221" s="72" customFormat="1" ht="15.75" outlineLevel="1">
      <c r="B213" s="73"/>
      <c r="D213" s="14"/>
      <c r="F213" s="14" t="s">
        <v>328</v>
      </c>
      <c r="G213" s="15">
        <v>0</v>
      </c>
      <c r="H213" s="15">
        <v>0</v>
      </c>
      <c r="J213" s="15"/>
      <c r="Q213" s="23"/>
      <c r="R213" s="23"/>
      <c r="S213" s="23"/>
      <c r="T213" s="78"/>
      <c r="U213" s="78"/>
      <c r="V213" s="79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  <c r="BD213" s="78"/>
      <c r="BE213" s="78"/>
      <c r="BF213" s="23"/>
      <c r="BO213" s="80"/>
      <c r="HH213" s="74"/>
      <c r="HJ213" s="74"/>
    </row>
    <row r="214" spans="1:221" s="72" customFormat="1" ht="15.75" outlineLevel="1">
      <c r="B214" s="73"/>
      <c r="D214" s="14"/>
      <c r="F214" s="14" t="s">
        <v>329</v>
      </c>
      <c r="G214" s="15"/>
      <c r="H214" s="15"/>
      <c r="J214" s="15">
        <f>-Q142</f>
        <v>0</v>
      </c>
      <c r="Q214" s="23"/>
      <c r="R214" s="23"/>
      <c r="S214" s="23"/>
      <c r="T214" s="78"/>
      <c r="U214" s="78"/>
      <c r="V214" s="79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  <c r="BD214" s="78"/>
      <c r="BE214" s="78"/>
      <c r="BF214" s="23"/>
      <c r="BO214" s="80"/>
      <c r="HH214" s="74"/>
      <c r="HJ214" s="74"/>
    </row>
    <row r="215" spans="1:221" s="72" customFormat="1" ht="15.75" outlineLevel="1">
      <c r="A215" s="147"/>
      <c r="B215" s="73"/>
      <c r="D215" s="14"/>
      <c r="G215" s="23"/>
      <c r="Q215" s="23"/>
      <c r="R215" s="23"/>
      <c r="S215" s="23"/>
      <c r="T215" s="78"/>
      <c r="U215" s="78"/>
      <c r="V215" s="79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  <c r="BD215" s="78"/>
      <c r="BE215" s="78"/>
      <c r="BF215" s="23"/>
      <c r="BO215" s="80"/>
      <c r="GI215" s="13"/>
      <c r="HH215" s="74"/>
      <c r="HJ215" s="74"/>
    </row>
    <row r="216" spans="1:221" s="14" customFormat="1" ht="15.75" outlineLevel="1">
      <c r="B216" s="13"/>
      <c r="G216" s="15">
        <f>+G211+G213+G214</f>
        <v>0</v>
      </c>
      <c r="H216" s="15">
        <f>+H211+H213+H214</f>
        <v>0</v>
      </c>
      <c r="I216" s="15">
        <f>+I211+I213+I214</f>
        <v>0</v>
      </c>
      <c r="J216" s="15">
        <f>+J211+J213+J214</f>
        <v>0</v>
      </c>
      <c r="K216" s="15">
        <f>+K211+K213+K214</f>
        <v>0</v>
      </c>
      <c r="Q216" s="160"/>
      <c r="R216" s="28"/>
      <c r="S216" s="28"/>
      <c r="T216" s="30"/>
      <c r="U216" s="30"/>
      <c r="V216" s="17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18"/>
      <c r="BG216" s="13"/>
      <c r="BH216" s="13"/>
      <c r="BI216" s="13"/>
      <c r="BJ216" s="13"/>
      <c r="BK216" s="13"/>
      <c r="BL216" s="13"/>
      <c r="BM216" s="13"/>
      <c r="BN216" s="13"/>
      <c r="BO216" s="3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/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13"/>
      <c r="GI216" s="48"/>
      <c r="GJ216" s="13"/>
      <c r="GK216" s="13"/>
      <c r="GL216" s="13"/>
      <c r="GM216" s="13"/>
      <c r="GN216" s="13"/>
      <c r="GO216" s="13"/>
      <c r="GP216" s="13"/>
      <c r="GQ216" s="13"/>
      <c r="GR216" s="13"/>
      <c r="GS216" s="13"/>
      <c r="GT216" s="13"/>
      <c r="GU216" s="13"/>
      <c r="GV216" s="13"/>
      <c r="GW216" s="13"/>
      <c r="GX216" s="13"/>
      <c r="GY216" s="13"/>
      <c r="GZ216" s="13"/>
      <c r="HA216" s="13"/>
      <c r="HB216" s="13"/>
      <c r="HC216" s="13"/>
      <c r="HD216" s="13"/>
      <c r="HE216" s="13"/>
      <c r="HF216" s="13"/>
      <c r="HG216" s="13"/>
      <c r="HH216" s="35"/>
      <c r="HI216" s="13"/>
      <c r="HJ216" s="35"/>
      <c r="HK216" s="13"/>
    </row>
    <row r="217" spans="1:221" s="48" customFormat="1" ht="15.75" outlineLevel="1">
      <c r="B217" s="49"/>
      <c r="F217" s="48">
        <v>0.97884000000000004</v>
      </c>
      <c r="R217" s="27"/>
      <c r="S217" s="27"/>
      <c r="T217" s="49"/>
      <c r="U217" s="49"/>
      <c r="V217" s="50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51"/>
      <c r="BG217" s="49"/>
      <c r="BO217" s="53"/>
      <c r="GI217" s="72"/>
      <c r="HH217" s="55"/>
      <c r="HJ217" s="55"/>
    </row>
    <row r="218" spans="1:221" s="72" customFormat="1" ht="15.75" outlineLevel="1">
      <c r="B218" s="73"/>
      <c r="D218" s="14"/>
      <c r="F218" s="72" t="s">
        <v>330</v>
      </c>
      <c r="G218" s="15">
        <f>+G216/$F$217</f>
        <v>0</v>
      </c>
      <c r="H218" s="15">
        <f>+H216/$F$217</f>
        <v>0</v>
      </c>
      <c r="I218" s="15"/>
      <c r="J218" s="15">
        <f>+J216/$F$217</f>
        <v>0</v>
      </c>
      <c r="Q218" s="23"/>
      <c r="R218" s="23"/>
      <c r="S218" s="23"/>
      <c r="T218" s="78"/>
      <c r="U218" s="78"/>
      <c r="V218" s="79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23"/>
      <c r="BO218" s="80"/>
      <c r="HH218" s="74"/>
      <c r="HJ218" s="74"/>
      <c r="HL218" s="23"/>
      <c r="HM218" s="23"/>
    </row>
    <row r="219" spans="1:221" s="72" customFormat="1" ht="15.75" outlineLevel="1">
      <c r="B219" s="73"/>
      <c r="D219" s="14"/>
      <c r="H219" s="114"/>
      <c r="K219" s="73"/>
      <c r="Q219" s="23"/>
      <c r="R219" s="23"/>
      <c r="S219" s="23"/>
      <c r="T219" s="78"/>
      <c r="U219" s="78"/>
      <c r="V219" s="79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23"/>
      <c r="BO219" s="80"/>
      <c r="HH219" s="74"/>
      <c r="HJ219" s="74"/>
      <c r="HL219" s="23"/>
      <c r="HM219" s="23"/>
    </row>
    <row r="220" spans="1:221" s="72" customFormat="1" ht="12.6" customHeight="1">
      <c r="B220" s="73"/>
      <c r="D220" s="14"/>
      <c r="H220" s="114"/>
      <c r="K220" s="73"/>
      <c r="Q220" s="23"/>
      <c r="R220" s="23"/>
      <c r="S220" s="23"/>
      <c r="T220" s="78"/>
      <c r="U220" s="78"/>
      <c r="V220" s="79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23"/>
      <c r="BO220" s="80"/>
      <c r="HH220" s="74"/>
      <c r="HJ220" s="74"/>
      <c r="HL220" s="23"/>
      <c r="HM220" s="23"/>
    </row>
    <row r="221" spans="1:221" s="72" customFormat="1" ht="15.75">
      <c r="B221" s="73"/>
      <c r="D221" s="14"/>
      <c r="H221" s="114"/>
      <c r="K221" s="73"/>
      <c r="Q221" s="23"/>
      <c r="R221" s="23"/>
      <c r="S221" s="23"/>
      <c r="T221" s="78"/>
      <c r="U221" s="78"/>
      <c r="V221" s="79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23"/>
      <c r="BO221" s="80"/>
      <c r="HH221" s="74"/>
      <c r="HJ221" s="74"/>
      <c r="HL221" s="23"/>
      <c r="HM221" s="23"/>
    </row>
    <row r="222" spans="1:221" s="72" customFormat="1" ht="13.9" customHeight="1">
      <c r="B222" s="73"/>
      <c r="D222" s="14"/>
      <c r="H222" s="114"/>
      <c r="K222" s="73"/>
      <c r="Q222" s="23"/>
      <c r="R222" s="23"/>
      <c r="S222" s="23"/>
      <c r="T222" s="78"/>
      <c r="U222" s="78"/>
      <c r="V222" s="79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23"/>
      <c r="BO222" s="80"/>
      <c r="HH222" s="74"/>
      <c r="HJ222" s="74"/>
      <c r="HL222" s="23"/>
      <c r="HM222" s="23"/>
    </row>
    <row r="223" spans="1:221" s="72" customFormat="1" ht="15.75">
      <c r="B223" s="73"/>
      <c r="D223" s="14"/>
      <c r="K223" s="73"/>
      <c r="Q223" s="23"/>
      <c r="R223" s="23"/>
      <c r="S223" s="23"/>
      <c r="T223" s="78"/>
      <c r="U223" s="78"/>
      <c r="V223" s="79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23"/>
      <c r="BO223" s="80"/>
      <c r="HH223" s="74"/>
      <c r="HJ223" s="74"/>
    </row>
    <row r="224" spans="1:221" s="72" customFormat="1" ht="15.75">
      <c r="B224" s="73"/>
      <c r="D224" s="14"/>
      <c r="H224" s="159"/>
      <c r="K224" s="73"/>
      <c r="Q224" s="23"/>
      <c r="R224" s="23"/>
      <c r="S224" s="23"/>
      <c r="T224" s="78"/>
      <c r="U224" s="78"/>
      <c r="V224" s="79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23"/>
      <c r="BO224" s="80"/>
      <c r="HH224" s="74"/>
      <c r="HJ224" s="74"/>
    </row>
    <row r="225" spans="1:221" s="72" customFormat="1" ht="15.75">
      <c r="B225" s="73"/>
      <c r="D225" s="14"/>
      <c r="H225" s="159"/>
      <c r="K225" s="73"/>
      <c r="Q225" s="23"/>
      <c r="R225" s="23"/>
      <c r="S225" s="23"/>
      <c r="T225" s="78"/>
      <c r="U225" s="78"/>
      <c r="V225" s="79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23"/>
      <c r="BO225" s="80"/>
      <c r="HH225" s="74"/>
      <c r="HJ225" s="74"/>
    </row>
    <row r="226" spans="1:221" s="72" customFormat="1" ht="15.75">
      <c r="B226" s="73"/>
      <c r="D226" s="14"/>
      <c r="H226" s="159"/>
      <c r="K226" s="73"/>
      <c r="Q226" s="23"/>
      <c r="R226" s="23"/>
      <c r="S226" s="23"/>
      <c r="T226" s="78"/>
      <c r="U226" s="78"/>
      <c r="V226" s="79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23"/>
      <c r="BO226" s="80"/>
      <c r="HH226" s="74"/>
      <c r="HJ226" s="74"/>
    </row>
    <row r="227" spans="1:221" s="72" customFormat="1" ht="15.75">
      <c r="B227" s="73"/>
      <c r="D227" s="14"/>
      <c r="H227" s="159"/>
      <c r="K227" s="73"/>
      <c r="Q227" s="23"/>
      <c r="R227" s="23"/>
      <c r="S227" s="23"/>
      <c r="T227" s="78"/>
      <c r="U227" s="78"/>
      <c r="V227" s="79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23"/>
      <c r="BO227" s="80"/>
      <c r="HH227" s="74"/>
      <c r="HJ227" s="74"/>
    </row>
    <row r="228" spans="1:221" s="72" customFormat="1" ht="15.75">
      <c r="B228" s="73"/>
      <c r="D228" s="14"/>
      <c r="H228" s="159"/>
      <c r="K228" s="73"/>
      <c r="Q228" s="23"/>
      <c r="R228" s="23"/>
      <c r="S228" s="23"/>
      <c r="T228" s="78"/>
      <c r="U228" s="78"/>
      <c r="V228" s="79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23"/>
      <c r="BO228" s="80"/>
      <c r="HH228" s="74"/>
      <c r="HJ228" s="74"/>
    </row>
    <row r="229" spans="1:221" s="72" customFormat="1" ht="15.75">
      <c r="B229" s="73"/>
      <c r="D229" s="14"/>
      <c r="H229" s="159"/>
      <c r="K229" s="73"/>
      <c r="Q229" s="23"/>
      <c r="R229" s="23"/>
      <c r="S229" s="23"/>
      <c r="T229" s="78"/>
      <c r="U229" s="78"/>
      <c r="V229" s="79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23"/>
      <c r="BO229" s="80"/>
      <c r="HH229" s="74"/>
      <c r="HJ229" s="74"/>
    </row>
    <row r="230" spans="1:221" s="72" customFormat="1" ht="15.75">
      <c r="B230" s="73"/>
      <c r="D230" s="14"/>
      <c r="H230" s="159"/>
      <c r="K230" s="73"/>
      <c r="Q230" s="23"/>
      <c r="R230" s="23"/>
      <c r="S230" s="23"/>
      <c r="T230" s="78"/>
      <c r="U230" s="78"/>
      <c r="V230" s="79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23"/>
      <c r="BO230" s="80"/>
      <c r="HH230" s="74"/>
      <c r="HJ230" s="74"/>
    </row>
    <row r="231" spans="1:221" s="72" customFormat="1" ht="15.75">
      <c r="B231" s="73"/>
      <c r="D231" s="14"/>
      <c r="H231" s="159"/>
      <c r="K231" s="73"/>
      <c r="Q231" s="23"/>
      <c r="R231" s="23"/>
      <c r="S231" s="23"/>
      <c r="T231" s="78"/>
      <c r="U231" s="78"/>
      <c r="V231" s="79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23"/>
      <c r="BO231" s="80"/>
      <c r="HH231" s="74"/>
      <c r="HJ231" s="74"/>
    </row>
    <row r="232" spans="1:221" s="72" customFormat="1" ht="15.75">
      <c r="B232" s="73"/>
      <c r="D232" s="14"/>
      <c r="H232" s="159"/>
      <c r="K232" s="73"/>
      <c r="Q232" s="23"/>
      <c r="R232" s="23"/>
      <c r="S232" s="23"/>
      <c r="T232" s="78"/>
      <c r="U232" s="78"/>
      <c r="V232" s="79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23"/>
      <c r="BO232" s="80"/>
      <c r="HH232" s="74"/>
      <c r="HJ232" s="74"/>
    </row>
    <row r="233" spans="1:221" s="72" customFormat="1" ht="15.75">
      <c r="B233" s="73"/>
      <c r="D233" s="14"/>
      <c r="H233" s="159"/>
      <c r="K233" s="73"/>
      <c r="Q233" s="23"/>
      <c r="R233" s="23"/>
      <c r="S233" s="23"/>
      <c r="T233" s="78"/>
      <c r="U233" s="78"/>
      <c r="V233" s="79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23"/>
      <c r="BO233" s="80"/>
      <c r="HH233" s="74"/>
      <c r="HJ233" s="74"/>
    </row>
    <row r="234" spans="1:221" s="72" customFormat="1" ht="15.75">
      <c r="A234" s="147"/>
      <c r="B234" s="73"/>
      <c r="D234" s="14"/>
      <c r="K234" s="73"/>
      <c r="Q234" s="23"/>
      <c r="R234" s="23"/>
      <c r="S234" s="23"/>
      <c r="T234" s="78"/>
      <c r="U234" s="78"/>
      <c r="V234" s="79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23"/>
      <c r="BO234" s="80"/>
      <c r="HH234" s="74"/>
      <c r="HJ234" s="74"/>
    </row>
    <row r="235" spans="1:221" s="72" customFormat="1" ht="15.75">
      <c r="B235" s="73"/>
      <c r="D235" s="14"/>
      <c r="H235" s="114"/>
      <c r="K235" s="73"/>
      <c r="Q235" s="23"/>
      <c r="R235" s="23"/>
      <c r="S235" s="23"/>
      <c r="T235" s="78"/>
      <c r="U235" s="78"/>
      <c r="V235" s="79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23"/>
      <c r="BO235" s="80"/>
      <c r="HH235" s="74"/>
      <c r="HJ235" s="74"/>
      <c r="HL235" s="23"/>
      <c r="HM235" s="23"/>
    </row>
    <row r="236" spans="1:221" s="72" customFormat="1" ht="15.75">
      <c r="B236" s="73"/>
      <c r="D236" s="14"/>
      <c r="K236" s="73"/>
      <c r="Q236" s="23"/>
      <c r="R236" s="23"/>
      <c r="S236" s="23"/>
      <c r="T236" s="78"/>
      <c r="U236" s="78"/>
      <c r="V236" s="79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23"/>
      <c r="BO236" s="80"/>
      <c r="HH236" s="74"/>
      <c r="HJ236" s="74"/>
    </row>
    <row r="237" spans="1:221" s="72" customFormat="1" ht="15.75">
      <c r="B237" s="73"/>
      <c r="D237" s="14"/>
      <c r="K237" s="73"/>
      <c r="Q237" s="23"/>
      <c r="R237" s="23"/>
      <c r="S237" s="23"/>
      <c r="T237" s="78"/>
      <c r="U237" s="78"/>
      <c r="V237" s="79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23"/>
      <c r="BO237" s="80"/>
      <c r="HH237" s="74"/>
      <c r="HJ237" s="74"/>
    </row>
    <row r="238" spans="1:221" s="72" customFormat="1" ht="15.75">
      <c r="B238" s="73"/>
      <c r="D238" s="14"/>
      <c r="K238" s="73"/>
      <c r="Q238" s="23"/>
      <c r="R238" s="23"/>
      <c r="S238" s="23"/>
      <c r="T238" s="78"/>
      <c r="U238" s="78"/>
      <c r="V238" s="79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23"/>
      <c r="BO238" s="80"/>
      <c r="HH238" s="74"/>
      <c r="HJ238" s="74"/>
    </row>
    <row r="239" spans="1:221" s="72" customFormat="1" ht="15.75">
      <c r="B239" s="73"/>
      <c r="D239" s="14"/>
      <c r="K239" s="73"/>
      <c r="Q239" s="23"/>
      <c r="R239" s="23"/>
      <c r="S239" s="23"/>
      <c r="T239" s="78"/>
      <c r="U239" s="78"/>
      <c r="V239" s="79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23"/>
      <c r="BO239" s="80"/>
      <c r="GI239" s="174"/>
      <c r="HH239" s="74"/>
      <c r="HJ239" s="74"/>
    </row>
  </sheetData>
  <mergeCells count="2">
    <mergeCell ref="R4:S4"/>
    <mergeCell ref="R149:S149"/>
  </mergeCells>
  <printOptions gridLines="1"/>
  <pageMargins left="0" right="0" top="0" bottom="0.5" header="0" footer="0"/>
  <pageSetup paperSize="5" scale="41" fitToWidth="18" pageOrder="overThenDown" orientation="portrait" horizontalDpi="4294967292" r:id="rId1"/>
  <headerFooter alignWithMargins="0">
    <oddFooter>&amp;Lc:\mydocuments\&amp;F
&amp;P of &amp;N&amp;C&amp;A&amp;R&amp;D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Mar  Setup</vt:lpstr>
      <vt:lpstr>'Mar  Setup'!Print_Area</vt:lpstr>
      <vt:lpstr>'Mar  Setup'!Print_Titles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Jan Havlíček</cp:lastModifiedBy>
  <cp:lastPrinted>2000-01-29T19:42:21Z</cp:lastPrinted>
  <dcterms:created xsi:type="dcterms:W3CDTF">1999-12-17T18:07:33Z</dcterms:created>
  <dcterms:modified xsi:type="dcterms:W3CDTF">2023-09-17T19:15:18Z</dcterms:modified>
</cp:coreProperties>
</file>