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FA5A9B-68F3-4FE9-8BFF-BF4A5E7DB2E0}" xr6:coauthVersionLast="47" xr6:coauthVersionMax="47" xr10:uidLastSave="{00000000-0000-0000-0000-000000000000}"/>
  <bookViews>
    <workbookView xWindow="-120" yWindow="-120" windowWidth="38640" windowHeight="15720"/>
  </bookViews>
  <sheets>
    <sheet name="IBIT - .40" sheetId="1" r:id="rId1"/>
    <sheet name="NI - .40 &amp; 18%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 localSheetId="1">#REF!</definedName>
    <definedName name="\A">#REF!</definedName>
    <definedName name="\P">#REF!</definedName>
    <definedName name="_1" localSheetId="1">#REF!</definedName>
    <definedName name="_1">#REF!</definedName>
    <definedName name="_Order1" hidden="1">255</definedName>
    <definedName name="_Order2" hidden="1">255</definedName>
    <definedName name="allheads">#REF!</definedName>
    <definedName name="CAPITAL">#REF!</definedName>
    <definedName name="CAPT" localSheetId="1">#REF!</definedName>
    <definedName name="CAPT">#REF!</definedName>
    <definedName name="Cash" localSheetId="1">#REF!</definedName>
    <definedName name="Cash">#REF!</definedName>
    <definedName name="CASH_DET" localSheetId="1">#REF!</definedName>
    <definedName name="CASH_DET">#REF!</definedName>
    <definedName name="CASH_FORM" localSheetId="1">#REF!</definedName>
    <definedName name="CASH_FORM">#REF!</definedName>
    <definedName name="CASH_ORIG" localSheetId="1">#REF!</definedName>
    <definedName name="CASH_ORIG">#REF!</definedName>
    <definedName name="CASH_PLAN" localSheetId="1">#REF!</definedName>
    <definedName name="CASH_PLAN">#REF!</definedName>
    <definedName name="CASH_VAR" localSheetId="1">#REF!</definedName>
    <definedName name="CASH_VAR">#REF!</definedName>
    <definedName name="CASH_YTD" localSheetId="1">#REF!</definedName>
    <definedName name="CASH_YTD">#REF!</definedName>
    <definedName name="causey_heads" localSheetId="1">#REF!</definedName>
    <definedName name="causey_heads">#REF!</definedName>
    <definedName name="CHECK" localSheetId="0">'IBIT - .40'!#REF!</definedName>
    <definedName name="CHECK" localSheetId="1">'NI - .40 &amp; 18%'!#REF!</definedName>
    <definedName name="COMM_COS">#REF!</definedName>
    <definedName name="COMPANY_SUMMARY_TITLE_LOOK">#REF!</definedName>
    <definedName name="CORP_COST_DETAIL">#REF!</definedName>
    <definedName name="CORP_FIT">#REF!</definedName>
    <definedName name="CORP_IBIT">#REF!</definedName>
    <definedName name="CORP_INT">#REF!</definedName>
    <definedName name="Date_Copy1">#REF!</definedName>
    <definedName name="Date_Copy2">#REF!</definedName>
    <definedName name="Deferred_Cash_Flow" localSheetId="1">#REF!</definedName>
    <definedName name="Deferred_Cash_Flow">#REF!</definedName>
    <definedName name="ENRON" localSheetId="0">#REF!</definedName>
    <definedName name="ENRON" localSheetId="1">#REF!</definedName>
    <definedName name="ENRON">#REF!</definedName>
    <definedName name="file_date_name">#REF!</definedName>
    <definedName name="FORMAT" localSheetId="1">#REF!</definedName>
    <definedName name="FORMAT">#REF!</definedName>
    <definedName name="INC_DET">#REF!</definedName>
    <definedName name="INC_FORM" localSheetId="1">#REF!</definedName>
    <definedName name="INC_FORM">#REF!</definedName>
    <definedName name="INC_ORIG" localSheetId="1">#REF!</definedName>
    <definedName name="INC_ORIG">#REF!</definedName>
    <definedName name="INC_PLAN" localSheetId="1">#REF!</definedName>
    <definedName name="INC_PLAN">#REF!</definedName>
    <definedName name="INC_VAR">#REF!</definedName>
    <definedName name="INC_YTD" localSheetId="1">#REF!</definedName>
    <definedName name="INC_YTD">#REF!</definedName>
    <definedName name="INCOME" localSheetId="0">#REF!</definedName>
    <definedName name="INCOME" localSheetId="1">'NI - .40 &amp; 18%'!$A$1:$A$46</definedName>
    <definedName name="INCOME">#REF!</definedName>
    <definedName name="Ind_Co_Variance_Range">#REF!,#REF!,#REF!,#REF!,#REF!,#REF!</definedName>
    <definedName name="OBLIGATIONS" localSheetId="1">#REF!</definedName>
    <definedName name="OBLIGATIONS">#REF!</definedName>
    <definedName name="_xlnm.Print_Area" localSheetId="0">'IBIT - .40'!$A$1:$R$88</definedName>
    <definedName name="_xlnm.Print_Area" localSheetId="1">'NI - .40 &amp; 18%'!$A$1:$L$69</definedName>
    <definedName name="QTR" localSheetId="0">#REF!</definedName>
    <definedName name="QTR" localSheetId="1">#REF!</definedName>
    <definedName name="QTR">#REF!</definedName>
    <definedName name="RPTER1">#REF!</definedName>
    <definedName name="rpter2">#REF!</definedName>
    <definedName name="SUPPORT" localSheetId="0">#REF!</definedName>
    <definedName name="SUPPORT" localSheetId="1">#REF!</definedName>
    <definedName name="SUPPORT">#REF!</definedName>
    <definedName name="TOP" localSheetId="1">#REF!</definedName>
    <definedName name="TOP">#REF!</definedName>
    <definedName name="Var_Copy_Range">#REF!</definedName>
    <definedName name="VARIANCE_RANGE">#REF!,#REF!,#REF!</definedName>
    <definedName name="WORK_CAP" localSheetId="1">#REF!</definedName>
    <definedName name="WORK_CAP">#REF!</definedName>
    <definedName name="xxx">#REF!</definedName>
  </definedNames>
  <calcPr calcId="0"/>
</workbook>
</file>

<file path=xl/calcChain.xml><?xml version="1.0" encoding="utf-8"?>
<calcChain xmlns="http://schemas.openxmlformats.org/spreadsheetml/2006/main">
  <c r="C10" i="1" l="1"/>
  <c r="E10" i="1"/>
  <c r="G10" i="1"/>
  <c r="K10" i="1"/>
  <c r="P10" i="1"/>
  <c r="R10" i="1"/>
  <c r="C11" i="1"/>
  <c r="E11" i="1"/>
  <c r="G11" i="1"/>
  <c r="K11" i="1"/>
  <c r="P11" i="1"/>
  <c r="R11" i="1"/>
  <c r="C12" i="1"/>
  <c r="E12" i="1"/>
  <c r="G12" i="1"/>
  <c r="I12" i="1"/>
  <c r="K12" i="1"/>
  <c r="N12" i="1"/>
  <c r="P12" i="1"/>
  <c r="R12" i="1"/>
  <c r="C15" i="1"/>
  <c r="E15" i="1"/>
  <c r="G15" i="1"/>
  <c r="K15" i="1"/>
  <c r="P15" i="1"/>
  <c r="R15" i="1"/>
  <c r="C16" i="1"/>
  <c r="E16" i="1"/>
  <c r="G16" i="1"/>
  <c r="K16" i="1"/>
  <c r="P16" i="1"/>
  <c r="R16" i="1"/>
  <c r="C17" i="1"/>
  <c r="E17" i="1"/>
  <c r="G17" i="1"/>
  <c r="K17" i="1"/>
  <c r="K18" i="1"/>
  <c r="C19" i="1"/>
  <c r="E19" i="1"/>
  <c r="G19" i="1"/>
  <c r="K19" i="1"/>
  <c r="P19" i="1"/>
  <c r="C20" i="1"/>
  <c r="E20" i="1"/>
  <c r="G20" i="1"/>
  <c r="K20" i="1"/>
  <c r="P20" i="1"/>
  <c r="C21" i="1"/>
  <c r="E21" i="1"/>
  <c r="G21" i="1"/>
  <c r="K21" i="1"/>
  <c r="P21" i="1"/>
  <c r="C22" i="1"/>
  <c r="E22" i="1"/>
  <c r="G22" i="1"/>
  <c r="K22" i="1"/>
  <c r="P22" i="1"/>
  <c r="C23" i="1"/>
  <c r="E23" i="1"/>
  <c r="G23" i="1"/>
  <c r="K23" i="1"/>
  <c r="P23" i="1"/>
  <c r="C24" i="1"/>
  <c r="E24" i="1"/>
  <c r="G24" i="1"/>
  <c r="K24" i="1"/>
  <c r="N24" i="1"/>
  <c r="C25" i="1"/>
  <c r="E25" i="1"/>
  <c r="G25" i="1"/>
  <c r="I25" i="1"/>
  <c r="K25" i="1"/>
  <c r="N25" i="1"/>
  <c r="P25" i="1"/>
  <c r="R25" i="1"/>
  <c r="C26" i="1"/>
  <c r="E26" i="1"/>
  <c r="G26" i="1"/>
  <c r="K26" i="1"/>
  <c r="N26" i="1"/>
  <c r="P26" i="1"/>
  <c r="R26" i="1"/>
  <c r="C27" i="1"/>
  <c r="E27" i="1"/>
  <c r="G27" i="1"/>
  <c r="K27" i="1"/>
  <c r="E28" i="1"/>
  <c r="K28" i="1"/>
  <c r="E29" i="1"/>
  <c r="K29" i="1"/>
  <c r="E30" i="1"/>
  <c r="G30" i="1"/>
  <c r="I30" i="1"/>
  <c r="K30" i="1"/>
  <c r="N30" i="1"/>
  <c r="C31" i="1"/>
  <c r="E31" i="1"/>
  <c r="G31" i="1"/>
  <c r="I31" i="1"/>
  <c r="K31" i="1"/>
  <c r="N31" i="1"/>
  <c r="P31" i="1"/>
  <c r="R31" i="1"/>
  <c r="C33" i="1"/>
  <c r="E33" i="1"/>
  <c r="G33" i="1"/>
  <c r="K33" i="1"/>
  <c r="C34" i="1"/>
  <c r="E34" i="1"/>
  <c r="G34" i="1"/>
  <c r="K34" i="1"/>
  <c r="C35" i="1"/>
  <c r="E35" i="1"/>
  <c r="G35" i="1"/>
  <c r="K35" i="1"/>
  <c r="N35" i="1"/>
  <c r="C36" i="1"/>
  <c r="E36" i="1"/>
  <c r="G36" i="1"/>
  <c r="I36" i="1"/>
  <c r="K36" i="1"/>
  <c r="N36" i="1"/>
  <c r="P36" i="1"/>
  <c r="R36" i="1"/>
  <c r="C38" i="1"/>
  <c r="E38" i="1"/>
  <c r="G38" i="1"/>
  <c r="K38" i="1"/>
  <c r="N41" i="1"/>
  <c r="N42" i="1"/>
  <c r="K43" i="1"/>
  <c r="C46" i="1"/>
  <c r="E46" i="1"/>
  <c r="G46" i="1"/>
  <c r="K46" i="1"/>
  <c r="C47" i="1"/>
  <c r="E47" i="1"/>
  <c r="G47" i="1"/>
  <c r="K47" i="1"/>
  <c r="C48" i="1"/>
  <c r="E48" i="1"/>
  <c r="G48" i="1"/>
  <c r="K48" i="1"/>
  <c r="C49" i="1"/>
  <c r="E49" i="1"/>
  <c r="G49" i="1"/>
  <c r="K49" i="1"/>
  <c r="C50" i="1"/>
  <c r="E50" i="1"/>
  <c r="G50" i="1"/>
  <c r="K50" i="1"/>
  <c r="C51" i="1"/>
  <c r="E51" i="1"/>
  <c r="G51" i="1"/>
  <c r="K51" i="1"/>
  <c r="N51" i="1"/>
  <c r="E52" i="1"/>
  <c r="K52" i="1"/>
  <c r="E53" i="1"/>
  <c r="K53" i="1"/>
  <c r="C54" i="1"/>
  <c r="E54" i="1"/>
  <c r="G54" i="1"/>
  <c r="K54" i="1"/>
  <c r="C55" i="1"/>
  <c r="E55" i="1"/>
  <c r="G55" i="1"/>
  <c r="K55" i="1"/>
  <c r="N55" i="1"/>
  <c r="C56" i="1"/>
  <c r="E56" i="1"/>
  <c r="G56" i="1"/>
  <c r="I56" i="1"/>
  <c r="K56" i="1"/>
  <c r="N56" i="1"/>
  <c r="C58" i="1"/>
  <c r="E58" i="1"/>
  <c r="G58" i="1"/>
  <c r="I58" i="1"/>
  <c r="K58" i="1"/>
  <c r="C60" i="1"/>
  <c r="E60" i="1"/>
  <c r="G60" i="1"/>
  <c r="I60" i="1"/>
  <c r="K60" i="1"/>
  <c r="N60" i="1"/>
  <c r="P60" i="1"/>
  <c r="R60" i="1"/>
  <c r="C62" i="1"/>
  <c r="E62" i="1"/>
  <c r="G62" i="1"/>
  <c r="K62" i="1"/>
  <c r="P62" i="1"/>
  <c r="R62" i="1"/>
  <c r="C63" i="1"/>
  <c r="E63" i="1"/>
  <c r="G63" i="1"/>
  <c r="K63" i="1"/>
  <c r="C64" i="1"/>
  <c r="E64" i="1"/>
  <c r="G64" i="1"/>
  <c r="K64" i="1"/>
  <c r="N64" i="1"/>
  <c r="C66" i="1"/>
  <c r="E66" i="1"/>
  <c r="G66" i="1"/>
  <c r="I66" i="1"/>
  <c r="K66" i="1"/>
  <c r="N66" i="1"/>
  <c r="C67" i="1"/>
  <c r="E67" i="1"/>
  <c r="G67" i="1"/>
  <c r="I67" i="1"/>
  <c r="K67" i="1"/>
  <c r="C68" i="1"/>
  <c r="E68" i="1"/>
  <c r="G68" i="1"/>
  <c r="I68" i="1"/>
  <c r="K68" i="1"/>
  <c r="N68" i="1"/>
  <c r="E70" i="1"/>
  <c r="K70" i="1"/>
  <c r="C72" i="1"/>
  <c r="E72" i="1"/>
  <c r="G72" i="1"/>
  <c r="I72" i="1"/>
  <c r="K72" i="1"/>
  <c r="N72" i="1"/>
  <c r="P72" i="1"/>
  <c r="R72" i="1"/>
  <c r="C76" i="1"/>
  <c r="E76" i="1"/>
  <c r="G76" i="1"/>
  <c r="I76" i="1"/>
  <c r="K76" i="1"/>
  <c r="N76" i="1"/>
  <c r="C79" i="1"/>
  <c r="E79" i="1"/>
  <c r="G79" i="1"/>
  <c r="I79" i="1"/>
  <c r="K79" i="1"/>
  <c r="N79" i="1"/>
  <c r="P79" i="1"/>
  <c r="R79" i="1"/>
  <c r="C80" i="1"/>
  <c r="E80" i="1"/>
  <c r="G80" i="1"/>
  <c r="K80" i="1"/>
  <c r="N80" i="1"/>
  <c r="C81" i="1"/>
  <c r="E81" i="1"/>
  <c r="G81" i="1"/>
  <c r="I81" i="1"/>
  <c r="K81" i="1"/>
  <c r="N81" i="1"/>
  <c r="G83" i="1"/>
  <c r="K83" i="1"/>
  <c r="C85" i="1"/>
  <c r="G85" i="1"/>
  <c r="K85" i="1"/>
  <c r="N85" i="1"/>
  <c r="A87" i="1"/>
  <c r="A88" i="1"/>
  <c r="G91" i="1"/>
  <c r="K91" i="1"/>
  <c r="C97" i="1"/>
  <c r="E97" i="1"/>
  <c r="G97" i="1"/>
  <c r="I97" i="1"/>
  <c r="C98" i="1"/>
  <c r="E98" i="1"/>
  <c r="G98" i="1"/>
  <c r="I98" i="1"/>
  <c r="C99" i="1"/>
  <c r="E99" i="1"/>
  <c r="G99" i="1"/>
  <c r="I99" i="1"/>
  <c r="E100" i="1"/>
  <c r="G100" i="1"/>
  <c r="C102" i="1"/>
  <c r="E102" i="1"/>
  <c r="G102" i="1"/>
  <c r="I102" i="1"/>
  <c r="G6" i="2"/>
  <c r="C9" i="2"/>
  <c r="E9" i="2"/>
  <c r="G9" i="2"/>
  <c r="I9" i="2"/>
  <c r="K9" i="2"/>
  <c r="C11" i="2"/>
  <c r="E11" i="2"/>
  <c r="G11" i="2"/>
  <c r="I11" i="2"/>
  <c r="K11" i="2"/>
  <c r="C14" i="2"/>
  <c r="E14" i="2"/>
  <c r="G14" i="2"/>
  <c r="K14" i="2"/>
  <c r="C15" i="2"/>
  <c r="E15" i="2"/>
  <c r="G15" i="2"/>
  <c r="K15" i="2"/>
  <c r="C16" i="2"/>
  <c r="E16" i="2"/>
  <c r="G16" i="2"/>
  <c r="K16" i="2"/>
  <c r="C17" i="2"/>
  <c r="E17" i="2"/>
  <c r="G17" i="2"/>
  <c r="K17" i="2"/>
  <c r="C18" i="2"/>
  <c r="E18" i="2"/>
  <c r="G18" i="2"/>
  <c r="K18" i="2"/>
  <c r="C19" i="2"/>
  <c r="E19" i="2"/>
  <c r="G19" i="2"/>
  <c r="K19" i="2"/>
  <c r="C20" i="2"/>
  <c r="E20" i="2"/>
  <c r="G20" i="2"/>
  <c r="I20" i="2"/>
  <c r="K20" i="2"/>
  <c r="C22" i="2"/>
  <c r="E22" i="2"/>
  <c r="G22" i="2"/>
  <c r="K22" i="2"/>
  <c r="C23" i="2"/>
  <c r="E23" i="2"/>
  <c r="G23" i="2"/>
  <c r="K23" i="2"/>
  <c r="C25" i="2"/>
  <c r="E25" i="2"/>
  <c r="G25" i="2"/>
  <c r="I25" i="2"/>
  <c r="K25" i="2"/>
  <c r="N25" i="2"/>
  <c r="C27" i="2"/>
  <c r="E27" i="2"/>
  <c r="G27" i="2"/>
  <c r="K27" i="2"/>
  <c r="C28" i="2"/>
  <c r="E28" i="2"/>
  <c r="G28" i="2"/>
  <c r="K28" i="2"/>
  <c r="C30" i="2"/>
  <c r="E30" i="2"/>
  <c r="G30" i="2"/>
  <c r="I30" i="2"/>
  <c r="K30" i="2"/>
  <c r="C32" i="2"/>
  <c r="E32" i="2"/>
  <c r="G32" i="2"/>
  <c r="K32" i="2"/>
  <c r="C34" i="2"/>
  <c r="E34" i="2"/>
  <c r="G34" i="2"/>
  <c r="I34" i="2"/>
  <c r="K34" i="2"/>
  <c r="C36" i="2"/>
  <c r="E36" i="2"/>
  <c r="G36" i="2"/>
  <c r="K36" i="2"/>
  <c r="C37" i="2"/>
  <c r="E37" i="2"/>
  <c r="G37" i="2"/>
  <c r="I37" i="2"/>
  <c r="K37" i="2"/>
  <c r="C39" i="2"/>
  <c r="E39" i="2"/>
  <c r="G39" i="2"/>
  <c r="I39" i="2"/>
  <c r="K39" i="2"/>
  <c r="C41" i="2"/>
  <c r="E41" i="2"/>
  <c r="G41" i="2"/>
  <c r="K41" i="2"/>
  <c r="C43" i="2"/>
  <c r="E43" i="2"/>
  <c r="G43" i="2"/>
  <c r="I43" i="2"/>
  <c r="K43" i="2"/>
  <c r="E44" i="2"/>
  <c r="G44" i="2"/>
  <c r="I44" i="2"/>
  <c r="K44" i="2"/>
  <c r="C45" i="2"/>
  <c r="E45" i="2"/>
  <c r="G45" i="2"/>
  <c r="K45" i="2"/>
  <c r="C46" i="2"/>
  <c r="E46" i="2"/>
  <c r="G46" i="2"/>
  <c r="I46" i="2"/>
  <c r="K46" i="2"/>
  <c r="C48" i="2"/>
  <c r="E48" i="2"/>
  <c r="G48" i="2"/>
  <c r="I48" i="2"/>
  <c r="K48" i="2"/>
  <c r="C50" i="2"/>
  <c r="E50" i="2"/>
  <c r="G50" i="2"/>
  <c r="I50" i="2"/>
  <c r="K50" i="2"/>
  <c r="E52" i="2"/>
  <c r="I52" i="2"/>
  <c r="C54" i="2"/>
  <c r="E54" i="2"/>
  <c r="G54" i="2"/>
  <c r="I54" i="2"/>
  <c r="K54" i="2"/>
  <c r="C58" i="2"/>
  <c r="E58" i="2"/>
  <c r="G58" i="2"/>
  <c r="I58" i="2"/>
  <c r="K58" i="2"/>
  <c r="C61" i="2"/>
  <c r="E61" i="2"/>
  <c r="G61" i="2"/>
  <c r="I61" i="2"/>
  <c r="K61" i="2"/>
  <c r="C63" i="2"/>
  <c r="E63" i="2"/>
  <c r="G63" i="2"/>
  <c r="I63" i="2"/>
  <c r="K63" i="2"/>
  <c r="C65" i="2"/>
  <c r="G65" i="2"/>
  <c r="K65" i="2"/>
  <c r="A68" i="2"/>
  <c r="A69" i="2"/>
  <c r="C72" i="2"/>
  <c r="G72" i="2"/>
  <c r="K72" i="2"/>
</calcChain>
</file>

<file path=xl/sharedStrings.xml><?xml version="1.0" encoding="utf-8"?>
<sst xmlns="http://schemas.openxmlformats.org/spreadsheetml/2006/main" count="139" uniqueCount="117">
  <si>
    <t>ENRON</t>
  </si>
  <si>
    <t>EARNINGS RELEASE - EXTERNAL FORMAT</t>
  </si>
  <si>
    <t>(Millions of Dollars, except as noted)</t>
  </si>
  <si>
    <t>FIRST QUARTER</t>
  </si>
  <si>
    <t>2000</t>
  </si>
  <si>
    <t>March 30</t>
  </si>
  <si>
    <t>Additional</t>
  </si>
  <si>
    <t>Revised</t>
  </si>
  <si>
    <t>1999</t>
  </si>
  <si>
    <t>00 vs 99</t>
  </si>
  <si>
    <t>Plan</t>
  </si>
  <si>
    <t>Update</t>
  </si>
  <si>
    <t>Forecast</t>
  </si>
  <si>
    <t>Earnings</t>
  </si>
  <si>
    <t>Actual</t>
  </si>
  <si>
    <t>Growth</t>
  </si>
  <si>
    <t>Transmission &amp; Distribution</t>
  </si>
  <si>
    <t xml:space="preserve">     Enron Gas Pipeline Group</t>
  </si>
  <si>
    <t xml:space="preserve">     Portland General</t>
  </si>
  <si>
    <t>Total Transmission &amp; Distribution</t>
  </si>
  <si>
    <t>Wholesale Energy Operations &amp; Services</t>
  </si>
  <si>
    <t xml:space="preserve">     North America</t>
  </si>
  <si>
    <t xml:space="preserve">     Europe</t>
  </si>
  <si>
    <t xml:space="preserve">         Prepays</t>
  </si>
  <si>
    <t xml:space="preserve">     International Regions</t>
  </si>
  <si>
    <t xml:space="preserve">        South America</t>
  </si>
  <si>
    <t xml:space="preserve">        India</t>
  </si>
  <si>
    <t xml:space="preserve">        CALME</t>
  </si>
  <si>
    <t xml:space="preserve">        APACHI</t>
  </si>
  <si>
    <t xml:space="preserve">        Engineering &amp; Construction</t>
  </si>
  <si>
    <t xml:space="preserve">        Other</t>
  </si>
  <si>
    <t xml:space="preserve">     Enron Global Finance</t>
  </si>
  <si>
    <t xml:space="preserve">     Enron Global E&amp;P</t>
  </si>
  <si>
    <t xml:space="preserve">     Enron Broadband Services</t>
  </si>
  <si>
    <t xml:space="preserve">     Reclass to EES</t>
  </si>
  <si>
    <t xml:space="preserve">     Reclass to\from Corp &amp; Other</t>
  </si>
  <si>
    <t>Total Wholesale Energy Ops. &amp; Services</t>
  </si>
  <si>
    <t xml:space="preserve">Enron Energy Services </t>
  </si>
  <si>
    <t xml:space="preserve">     Minority Interest in EES</t>
  </si>
  <si>
    <t xml:space="preserve">     Reclass from Wholesale</t>
  </si>
  <si>
    <t>Enron Energy Services , net</t>
  </si>
  <si>
    <t>Enron Broadband Services</t>
  </si>
  <si>
    <t>Exploration &amp; Production</t>
  </si>
  <si>
    <t xml:space="preserve">     EOG</t>
  </si>
  <si>
    <t xml:space="preserve">     Gas and Oil Hedge </t>
  </si>
  <si>
    <t>Corporate and Other</t>
  </si>
  <si>
    <t xml:space="preserve">     Azurix</t>
  </si>
  <si>
    <t xml:space="preserve">     Enron Renewable Energy Corp (EREC)</t>
  </si>
  <si>
    <t xml:space="preserve">       Minority Interest in EREC</t>
  </si>
  <si>
    <t xml:space="preserve">     Clean Fuels</t>
  </si>
  <si>
    <t xml:space="preserve">     EEDC</t>
  </si>
  <si>
    <t xml:space="preserve">     Corporate &amp; Other Expenses</t>
  </si>
  <si>
    <t xml:space="preserve">     Amortization of prior period costs</t>
  </si>
  <si>
    <t xml:space="preserve">     RESCO</t>
  </si>
  <si>
    <t xml:space="preserve">     Structured Transactions</t>
  </si>
  <si>
    <t xml:space="preserve">     Reclass from\to Wholesale</t>
  </si>
  <si>
    <t>Total Corporate &amp; Other</t>
  </si>
  <si>
    <t>Overview</t>
  </si>
  <si>
    <t>INCOME BEFORE INT., M.I. &amp; INC. TAXES</t>
  </si>
  <si>
    <t xml:space="preserve">     Interest Expense, Net</t>
  </si>
  <si>
    <t xml:space="preserve">     Dividends on Preferred Stock of Subsidiaries</t>
  </si>
  <si>
    <t xml:space="preserve">     Minority Interest </t>
  </si>
  <si>
    <t>PRE-TAX INCOME</t>
  </si>
  <si>
    <t xml:space="preserve">     Income Tax Expense</t>
  </si>
  <si>
    <t>NET INCOME - RECURRING</t>
  </si>
  <si>
    <t>Whitewing Dividends</t>
  </si>
  <si>
    <t>NET INCOME</t>
  </si>
  <si>
    <t>NON-RECURRING</t>
  </si>
  <si>
    <t>TOTAL NET INCOME</t>
  </si>
  <si>
    <t>DILUTED EPS</t>
  </si>
  <si>
    <t xml:space="preserve">   Recurring</t>
  </si>
  <si>
    <t xml:space="preserve">   Non-recurring</t>
  </si>
  <si>
    <t>TOTAL DILUTED EPS</t>
  </si>
  <si>
    <t>Avg shares outstanding  - Diluted</t>
  </si>
  <si>
    <t>Effective Tax Rate - Recurring Earnings</t>
  </si>
  <si>
    <t>Pre-Tax</t>
  </si>
  <si>
    <t>Net</t>
  </si>
  <si>
    <t>Tax</t>
  </si>
  <si>
    <t>Income</t>
  </si>
  <si>
    <t>Taxes</t>
  </si>
  <si>
    <t>Rate</t>
  </si>
  <si>
    <t>Additional earnings</t>
  </si>
  <si>
    <t>Tax adjustment</t>
  </si>
  <si>
    <t>NET INCOME - INTERNAL FORMAT</t>
  </si>
  <si>
    <t>(In Millions, except as noted)</t>
  </si>
  <si>
    <t xml:space="preserve"> </t>
  </si>
  <si>
    <t>North America</t>
  </si>
  <si>
    <t>Europe</t>
  </si>
  <si>
    <t>International Regions</t>
  </si>
  <si>
    <t xml:space="preserve">   South America</t>
  </si>
  <si>
    <t xml:space="preserve">   India</t>
  </si>
  <si>
    <t xml:space="preserve">  CALME</t>
  </si>
  <si>
    <t xml:space="preserve">  APACHI</t>
  </si>
  <si>
    <t xml:space="preserve">  Engineering &amp; Construction</t>
  </si>
  <si>
    <t xml:space="preserve">  Other</t>
  </si>
  <si>
    <t>Subtotal</t>
  </si>
  <si>
    <t xml:space="preserve">Enron Gas Pipeline Group </t>
  </si>
  <si>
    <t xml:space="preserve">    Clean Fuels</t>
  </si>
  <si>
    <t xml:space="preserve">Portland General Group </t>
  </si>
  <si>
    <t xml:space="preserve">    Minority Interest in EES</t>
  </si>
  <si>
    <t>Enron Global E&amp;P</t>
  </si>
  <si>
    <t>Azurix</t>
  </si>
  <si>
    <t>Enron Renewable Energy Corp</t>
  </si>
  <si>
    <t xml:space="preserve">    Minority Interest in EREC</t>
  </si>
  <si>
    <t>Enron Global Finance</t>
  </si>
  <si>
    <t>Enron Economic Development Corp.</t>
  </si>
  <si>
    <t xml:space="preserve">Corporate and Other </t>
  </si>
  <si>
    <t xml:space="preserve">    Resco</t>
  </si>
  <si>
    <t xml:space="preserve">   Structured Transactions</t>
  </si>
  <si>
    <t xml:space="preserve">   Interest and Other Financing Costs</t>
  </si>
  <si>
    <t>OVERVIEW, net of taxes @ 37%</t>
  </si>
  <si>
    <t>Recurring Net Income</t>
  </si>
  <si>
    <t>Whitewing Preferred Dividends</t>
  </si>
  <si>
    <t xml:space="preserve">Recurring Net Income </t>
  </si>
  <si>
    <t>NON-RECURRING Net Income</t>
  </si>
  <si>
    <t xml:space="preserve">       Total Recurring </t>
  </si>
  <si>
    <t xml:space="preserve">       Non-recurring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</si>
</sst>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7" formatCode="0.0%"/>
    <numFmt numFmtId="171" formatCode="0_)"/>
    <numFmt numFmtId="172" formatCode="#,##0.000_);\(#,##0.000\)"/>
    <numFmt numFmtId="174" formatCode="#,##0.0_);[Red]\(#,##0.0\)"/>
    <numFmt numFmtId="176" formatCode="_(&quot;$&quot;* #,##0.0_);_(&quot;$&quot;* \(#,##0.0\);_(&quot;$&quot;* &quot;-&quot;??_);_(@_)"/>
    <numFmt numFmtId="177" formatCode="_(* #,##0.0_);_(* \(#,##0.0\);_(* &quot;-&quot;??_);_(@_)"/>
    <numFmt numFmtId="181" formatCode="00000"/>
    <numFmt numFmtId="183" formatCode="_(* #,##0.0_);_(* \(#,##0.0\);_(* &quot;-&quot;?_);_(@_)"/>
    <numFmt numFmtId="184" formatCode="_(* #,##0_);_(* \(#,##0\);_(* &quot;-&quot;??_);_(@_)"/>
    <numFmt numFmtId="185" formatCode="_(&quot;$&quot;* #,##0_);_(&quot;$&quot;* \(#,##0\);_(&quot;$&quot;* &quot;-&quot;??_);_(@_)"/>
    <numFmt numFmtId="187" formatCode="m/d/yy\ h:mm\ AM/PM"/>
    <numFmt numFmtId="188" formatCode="&quot;$&quot;#,##0.0_);[Red]\(&quot;$&quot;#,##0.0\)"/>
    <numFmt numFmtId="190" formatCode="mm/dd/yy"/>
    <numFmt numFmtId="193" formatCode="0.000"/>
    <numFmt numFmtId="195" formatCode="hh:mm:ss\ AM/PM_)"/>
    <numFmt numFmtId="210" formatCode="0.00_)"/>
    <numFmt numFmtId="212" formatCode="_(* #,##0.0_);_(* \(#,##0.0\);_(* &quot;-&quot;_);_(@_)"/>
    <numFmt numFmtId="225" formatCode="_(* #,##0.00000_);_(* \(#,##0.00000\);_(* &quot;-&quot;?_);_(@_)"/>
    <numFmt numFmtId="229" formatCode="_(* #,##0.000000000_);_(* \(#,##0.000000000\);_(* &quot;-&quot;?_);_(@_)"/>
    <numFmt numFmtId="235" formatCode="_(&quot;$&quot;* #,##0.0_);_(&quot;$&quot;* \(#,##0.0\);_(&quot;$&quot;* &quot;-&quot;?_);_(@_)"/>
    <numFmt numFmtId="239" formatCode="#,##0.0000_);[Red]\(#,##0.0000\)"/>
    <numFmt numFmtId="241" formatCode="&quot;£&quot;#,##0;[Red]\-&quot;£&quot;#,##0"/>
    <numFmt numFmtId="243" formatCode="&quot;£&quot;#,##0.00;[Red]\-&quot;£&quot;#,##0.00"/>
    <numFmt numFmtId="244" formatCode="_-&quot;£&quot;* #,##0_-;\-&quot;£&quot;* #,##0_-;_-&quot;£&quot;* &quot;-&quot;_-;_-@_-"/>
    <numFmt numFmtId="245" formatCode="_-* #,##0_-;\-* #,##0_-;_-* &quot;-&quot;_-;_-@_-"/>
    <numFmt numFmtId="246" formatCode="_-&quot;£&quot;* #,##0.00_-;\-&quot;£&quot;* #,##0.00_-;_-&quot;£&quot;* &quot;-&quot;??_-;_-@_-"/>
    <numFmt numFmtId="247" formatCode="_-* #,##0.00_-;\-* #,##0.00_-;_-* &quot;-&quot;??_-;_-@_-"/>
    <numFmt numFmtId="251" formatCode="#,##0.00_);\(#,##0.00\);\ \-\ "/>
    <numFmt numFmtId="259" formatCode="#,##0.0___;"/>
    <numFmt numFmtId="265" formatCode="#,##0.00___;"/>
    <numFmt numFmtId="272" formatCode="#,##0.0000___;"/>
    <numFmt numFmtId="274" formatCode="#,##0.0000_);\(#,##0.0000_)"/>
    <numFmt numFmtId="277" formatCode="#,##0_);\(#,##0\);\ "/>
    <numFmt numFmtId="279" formatCode="#,##0.00000_);\(#,##0.00000\);\ \-\ \ "/>
    <numFmt numFmtId="285" formatCode="#,###_);\(#,##0\);\ \-\ _ "/>
    <numFmt numFmtId="286" formatCode="#,###.00_);\(#,##0.00\);\ \-\ _ "/>
    <numFmt numFmtId="287" formatCode="#,###.000_);\(#,##0.000\);\ \-\ _ "/>
    <numFmt numFmtId="288" formatCode="#,###.0_);\(#,##0.0\);\ \-\ _ "/>
    <numFmt numFmtId="289" formatCode="0.0_;"/>
    <numFmt numFmtId="290" formatCode="0.00_;"/>
    <numFmt numFmtId="291" formatCode="0.000_;"/>
    <numFmt numFmtId="298" formatCode="#,##0_);[Red]\(#,##0\);\-"/>
    <numFmt numFmtId="299" formatCode="&quot;$&quot;\ \ #,##0_);[Red]\(&quot;$&quot;\ \ #,##0\)"/>
    <numFmt numFmtId="300" formatCode="&quot;$&quot;\ \ #,##0.0_);[Red]\(&quot;$&quot;\ \ #,##0.0\)"/>
    <numFmt numFmtId="302" formatCode="#,##0.0_);[Red]\(#,##0.0\);\-"/>
    <numFmt numFmtId="304" formatCode="&quot;$&quot;\ \ \ #,##0.00_);\(&quot;$&quot;\ \ \ #,##0.00\);&quot;$&quot;\ \ \ \ \ \ \ \ \ \ \-"/>
    <numFmt numFmtId="305" formatCode="&quot;$&quot;\ \ \ #,##0.00_);&quot;$&quot;\ \ \ \ \(#,##0.00\);&quot;$&quot;\ \ \ \ \ \ \ \ \ \ \-"/>
    <numFmt numFmtId="306" formatCode="&quot;$&quot;\ \ \ \ #,##0_);&quot;$&quot;\ \ \ \ \(#,##0\);&quot;$&quot;\ \ \ \ \ \ \ \ \ \-"/>
    <numFmt numFmtId="312" formatCode="&quot;$&quot;\ \ \ \ \ \ \ \ #,###.00_);&quot;$&quot;\ \ \ \ \ \ \ \ \(#,###.00\);&quot;$&quot;\ \ \ \ \ \ \ \ \ \ \ \ \ \ \ \ \-"/>
    <numFmt numFmtId="314" formatCode="&quot;$&quot;\ \ \ \ \ \ \ \ \ #,###.00_);&quot;$&quot;\ \ \ \ \ \ \ \(#,###.00\);&quot;$&quot;\ \ \ \ \ \ \ \ \ \ \ \ \ \ \ \ \-"/>
    <numFmt numFmtId="315" formatCode="#,##0.0000_);\(#,##0.0000\);_ \-\ \ "/>
    <numFmt numFmtId="316" formatCode="0.0_%;\(0.0\)%;\ \-\ \ \ "/>
    <numFmt numFmtId="317" formatCode="0.0%_;\(0.0\)%;\ \-\ \ \ "/>
    <numFmt numFmtId="318" formatCode="0.0%_);\(0.0\)%;\ \-"/>
    <numFmt numFmtId="319" formatCode="0.0%\);\(0.0\)%;\ \-"/>
    <numFmt numFmtId="320" formatCode="0.0%\ \)"/>
    <numFmt numFmtId="321" formatCode="0.0%\ ;\(0.0\)%\ ;\-\ \ \ "/>
    <numFmt numFmtId="322" formatCode="#,##0.00__;"/>
    <numFmt numFmtId="324" formatCode="#,##0.00000___;"/>
    <numFmt numFmtId="325" formatCode="&quot;$&quot;#,##0;\-&quot;$&quot;#,##0"/>
    <numFmt numFmtId="326" formatCode="&quot;$&quot;#,##0.00;\-&quot;$&quot;#,##0.00"/>
    <numFmt numFmtId="327" formatCode="_-&quot;$&quot;* #,##0_-;\-&quot;$&quot;* #,##0_-;_-&quot;$&quot;* &quot;-&quot;_-;_-@_-"/>
    <numFmt numFmtId="328" formatCode="_-&quot;$&quot;* #,##0.00_-;\-&quot;$&quot;* #,##0.00_-;_-&quot;$&quot;* &quot;-&quot;??_-;_-@_-"/>
    <numFmt numFmtId="329" formatCode="#,###.00000_);\(#,##0.00000\);\ \-\ _ "/>
    <numFmt numFmtId="330" formatCode="#,##0___);\(#,##0\);___-\ \ "/>
    <numFmt numFmtId="331" formatCode="#,##0_____);\(#,##0\);_____-\ \ "/>
    <numFmt numFmtId="332" formatCode="#,##0.0____\);\(#,##0.0\);___ \-\ \ "/>
    <numFmt numFmtId="333" formatCode="#,##0.0_____);\(#,##0.0\);____\ \-\ \ "/>
    <numFmt numFmtId="334" formatCode="#,##0.0________\);\(#,##0.0\);_______ \-\ \ "/>
    <numFmt numFmtId="335" formatCode="#,##0.0________\);\(#,##0.0\);________\ \-\ \ "/>
    <numFmt numFmtId="336" formatCode="#,##0.0_________);\(#,##0.0\);________\ \-\ \ "/>
    <numFmt numFmtId="337" formatCode="#,##0.0_________);\(#,##0.0\);\ \-\ \ "/>
    <numFmt numFmtId="339" formatCode="#,##0_______);\(#,##0\);_______-\ \ "/>
    <numFmt numFmtId="340" formatCode="#,##0.0_);\(#,##0.0\);_ \ \-"/>
    <numFmt numFmtId="341" formatCode="#,##0.00__\);\(#,##0.00\);__\ \ \-"/>
    <numFmt numFmtId="342" formatCode="#,##0.00___);\(#,##0.00\);___ \ \-"/>
    <numFmt numFmtId="343" formatCode="#,##0.0___);\(#,##0.0\);___ \ \-"/>
    <numFmt numFmtId="344" formatCode="#,##0__\);\(#,##0\);\ \-\ __"/>
    <numFmt numFmtId="345" formatCode="#,##0___);\(#,##0\);\ \-\ __"/>
    <numFmt numFmtId="346" formatCode="#,###___);\(#,##0\);\ \-\ __"/>
    <numFmt numFmtId="347" formatCode="#,##0___);\(#,##0\);\ \-__\ \ "/>
    <numFmt numFmtId="348" formatCode="#,##0___);\(#,##0\)_;\ \-__\ \ "/>
    <numFmt numFmtId="349" formatCode="#,##0___);\(#,##0\)___;\ \-__\ \ "/>
    <numFmt numFmtId="350" formatCode="#,###_);\(#,##0\);\ \-_ "/>
    <numFmt numFmtId="351" formatCode="&quot;$&quot;\ \ \ #,##0_);[Red]&quot;$&quot;\ \ \ \(#,##0\);&quot;$&quot;\ \ \ \ \ \ \ \ \ \-"/>
    <numFmt numFmtId="353" formatCode="&quot;$&quot;#,##0.00;[Red]\-&quot;$&quot;#,##0.00"/>
    <numFmt numFmtId="354" formatCode="#,###.0000_);\(#,##0.0000\);\ \-\ _ "/>
    <numFmt numFmtId="355" formatCode="#,###.000000_);\(#,##0.000000\);\ \-\ _ "/>
    <numFmt numFmtId="356" formatCode="#,##0_________);\(#,##0\);_________-\ \ "/>
    <numFmt numFmtId="358" formatCode="&quot;$&quot;#,##0;[Red]\-&quot;$&quot;#,##0"/>
  </numFmts>
  <fonts count="76">
    <font>
      <sz val="10"/>
      <name val="Times New Roman"/>
      <family val="1"/>
    </font>
    <font>
      <sz val="10"/>
      <name val="Helv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"/>
    </font>
    <font>
      <b/>
      <sz val="9.5"/>
      <name val="Courier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MS Sans Serif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8"/>
      <name val="SWISS"/>
    </font>
    <font>
      <sz val="12"/>
      <name val="Arial"/>
    </font>
    <font>
      <sz val="10"/>
      <name val="SWISS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Times New Roman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Helv"/>
    </font>
    <font>
      <sz val="8.5"/>
      <name val="MS Sans Serif"/>
      <family val="2"/>
    </font>
    <font>
      <sz val="12"/>
      <name val="SWISS"/>
    </font>
    <font>
      <sz val="11"/>
      <name val="Book Antiqua"/>
      <family val="1"/>
    </font>
    <font>
      <sz val="10"/>
      <color indexed="8"/>
      <name val="MS Sans Serif"/>
    </font>
    <font>
      <sz val="8"/>
      <name val="Tms Rmn"/>
    </font>
    <font>
      <sz val="10"/>
      <name val="TimesNewRomanPS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6"/>
      <color indexed="8"/>
      <name val="Small Fonts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29">
    <xf numFmtId="37" fontId="0" fillId="0" borderId="0"/>
    <xf numFmtId="0" fontId="5" fillId="0" borderId="0"/>
    <xf numFmtId="40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6" fontId="8" fillId="0" borderId="0">
      <protection locked="0"/>
    </xf>
    <xf numFmtId="336" fontId="1" fillId="0" borderId="0">
      <protection locked="0"/>
    </xf>
    <xf numFmtId="38" fontId="23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325" fontId="1" fillId="0" borderId="0">
      <protection locked="0"/>
    </xf>
    <xf numFmtId="325" fontId="1" fillId="0" borderId="0">
      <protection locked="0"/>
    </xf>
    <xf numFmtId="0" fontId="27" fillId="0" borderId="3" applyNumberFormat="0" applyFill="0" applyAlignment="0" applyProtection="0"/>
    <xf numFmtId="10" fontId="23" fillId="4" borderId="4" applyNumberFormat="0" applyBorder="0" applyAlignment="0" applyProtection="0"/>
    <xf numFmtId="210" fontId="28" fillId="0" borderId="0"/>
    <xf numFmtId="164" fontId="31" fillId="0" borderId="0"/>
    <xf numFmtId="37" fontId="2" fillId="0" borderId="0"/>
    <xf numFmtId="164" fontId="31" fillId="0" borderId="0"/>
    <xf numFmtId="37" fontId="2" fillId="0" borderId="0"/>
    <xf numFmtId="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325" fontId="1" fillId="0" borderId="6">
      <protection locked="0"/>
    </xf>
    <xf numFmtId="37" fontId="21" fillId="3" borderId="0" applyNumberFormat="0" applyBorder="0" applyAlignment="0" applyProtection="0"/>
    <xf numFmtId="37" fontId="21" fillId="0" borderId="0"/>
    <xf numFmtId="37" fontId="23" fillId="6" borderId="0" applyNumberFormat="0" applyBorder="0" applyAlignment="0" applyProtection="0"/>
    <xf numFmtId="3" fontId="60" fillId="0" borderId="3" applyProtection="0"/>
  </cellStyleXfs>
  <cellXfs count="159">
    <xf numFmtId="37" fontId="0" fillId="0" borderId="0" xfId="0"/>
    <xf numFmtId="164" fontId="61" fillId="0" borderId="0" xfId="18" applyFont="1" applyAlignment="1" applyProtection="1">
      <alignment horizontal="centerContinuous"/>
    </xf>
    <xf numFmtId="183" fontId="61" fillId="0" borderId="0" xfId="18" applyNumberFormat="1" applyFont="1" applyAlignment="1" applyProtection="1">
      <alignment horizontal="centerContinuous"/>
    </xf>
    <xf numFmtId="164" fontId="62" fillId="0" borderId="0" xfId="18" applyFont="1" applyAlignment="1" applyProtection="1">
      <alignment horizontal="centerContinuous"/>
    </xf>
    <xf numFmtId="183" fontId="23" fillId="0" borderId="0" xfId="20" applyNumberFormat="1" applyFont="1" applyAlignment="1">
      <alignment horizontal="left"/>
    </xf>
    <xf numFmtId="183" fontId="23" fillId="0" borderId="0" xfId="20" applyNumberFormat="1" applyFont="1"/>
    <xf numFmtId="164" fontId="26" fillId="0" borderId="0" xfId="18" applyFont="1" applyAlignment="1" applyProtection="1">
      <alignment horizontal="centerContinuous"/>
    </xf>
    <xf numFmtId="183" fontId="26" fillId="0" borderId="0" xfId="18" applyNumberFormat="1" applyFont="1" applyAlignment="1" applyProtection="1">
      <alignment horizontal="centerContinuous"/>
    </xf>
    <xf numFmtId="164" fontId="23" fillId="0" borderId="0" xfId="18" applyFont="1" applyAlignment="1" applyProtection="1">
      <alignment horizontal="centerContinuous"/>
    </xf>
    <xf numFmtId="183" fontId="23" fillId="0" borderId="0" xfId="18" applyNumberFormat="1" applyFont="1" applyAlignment="1" applyProtection="1">
      <alignment horizontal="centerContinuous"/>
    </xf>
    <xf numFmtId="164" fontId="63" fillId="0" borderId="0" xfId="18" applyFont="1" applyAlignment="1" applyProtection="1">
      <alignment horizontal="centerContinuous"/>
    </xf>
    <xf numFmtId="183" fontId="64" fillId="0" borderId="0" xfId="20" applyNumberFormat="1" applyFont="1" applyAlignment="1">
      <alignment horizontal="left"/>
    </xf>
    <xf numFmtId="183" fontId="64" fillId="0" borderId="0" xfId="20" applyNumberFormat="1" applyFont="1" applyBorder="1" applyAlignment="1">
      <alignment horizontal="left"/>
    </xf>
    <xf numFmtId="183" fontId="62" fillId="0" borderId="0" xfId="20" applyNumberFormat="1" applyFont="1" applyBorder="1" applyAlignment="1">
      <alignment horizontal="left"/>
    </xf>
    <xf numFmtId="183" fontId="23" fillId="0" borderId="0" xfId="20" applyNumberFormat="1" applyFont="1" applyBorder="1"/>
    <xf numFmtId="183" fontId="64" fillId="0" borderId="0" xfId="20" quotePrefix="1" applyNumberFormat="1" applyFont="1" applyBorder="1" applyAlignment="1">
      <alignment horizontal="center"/>
    </xf>
    <xf numFmtId="183" fontId="64" fillId="0" borderId="0" xfId="20" applyNumberFormat="1" applyFont="1" applyBorder="1" applyAlignment="1">
      <alignment horizontal="center"/>
    </xf>
    <xf numFmtId="183" fontId="64" fillId="0" borderId="0" xfId="21" applyNumberFormat="1" applyFont="1" applyAlignment="1">
      <alignment horizontal="center"/>
    </xf>
    <xf numFmtId="183" fontId="64" fillId="0" borderId="8" xfId="20" quotePrefix="1" applyNumberFormat="1" applyFont="1" applyBorder="1" applyAlignment="1">
      <alignment horizontal="center"/>
    </xf>
    <xf numFmtId="183" fontId="62" fillId="0" borderId="0" xfId="20" quotePrefix="1" applyNumberFormat="1" applyFont="1"/>
    <xf numFmtId="183" fontId="64" fillId="0" borderId="9" xfId="20" applyNumberFormat="1" applyFont="1" applyBorder="1" applyAlignment="1">
      <alignment horizontal="center"/>
    </xf>
    <xf numFmtId="183" fontId="64" fillId="0" borderId="10" xfId="20" applyNumberFormat="1" applyFont="1" applyBorder="1" applyAlignment="1">
      <alignment horizontal="center"/>
    </xf>
    <xf numFmtId="183" fontId="65" fillId="0" borderId="9" xfId="20" applyNumberFormat="1" applyFont="1" applyBorder="1" applyAlignment="1">
      <alignment horizontal="center"/>
    </xf>
    <xf numFmtId="183" fontId="62" fillId="0" borderId="9" xfId="20" applyNumberFormat="1" applyFont="1" applyBorder="1"/>
    <xf numFmtId="183" fontId="64" fillId="0" borderId="0" xfId="20" applyNumberFormat="1" applyFont="1" applyBorder="1"/>
    <xf numFmtId="183" fontId="64" fillId="0" borderId="10" xfId="20" applyNumberFormat="1" applyFont="1" applyBorder="1"/>
    <xf numFmtId="183" fontId="63" fillId="0" borderId="0" xfId="20" applyNumberFormat="1" applyFont="1"/>
    <xf numFmtId="183" fontId="64" fillId="0" borderId="0" xfId="20" applyNumberFormat="1" applyFont="1"/>
    <xf numFmtId="183" fontId="4" fillId="0" borderId="0" xfId="20" applyNumberFormat="1" applyFont="1"/>
    <xf numFmtId="183" fontId="4" fillId="0" borderId="0" xfId="20" applyNumberFormat="1" applyFont="1" applyBorder="1"/>
    <xf numFmtId="183" fontId="4" fillId="0" borderId="0" xfId="20" applyNumberFormat="1" applyFont="1" applyFill="1" applyBorder="1"/>
    <xf numFmtId="183" fontId="4" fillId="0" borderId="10" xfId="20" applyNumberFormat="1" applyFont="1" applyFill="1" applyBorder="1"/>
    <xf numFmtId="9" fontId="63" fillId="0" borderId="0" xfId="20" applyNumberFormat="1" applyFont="1"/>
    <xf numFmtId="183" fontId="4" fillId="0" borderId="10" xfId="20" applyNumberFormat="1" applyFont="1" applyBorder="1"/>
    <xf numFmtId="183" fontId="66" fillId="0" borderId="0" xfId="20" applyNumberFormat="1" applyFont="1"/>
    <xf numFmtId="183" fontId="64" fillId="0" borderId="11" xfId="20" applyNumberFormat="1" applyFont="1" applyBorder="1"/>
    <xf numFmtId="183" fontId="4" fillId="0" borderId="11" xfId="20" applyNumberFormat="1" applyFont="1" applyFill="1" applyBorder="1"/>
    <xf numFmtId="183" fontId="4" fillId="0" borderId="11" xfId="20" applyNumberFormat="1" applyFont="1" applyBorder="1"/>
    <xf numFmtId="183" fontId="4" fillId="0" borderId="0" xfId="20" applyNumberFormat="1" applyFont="1" applyFill="1" applyAlignment="1">
      <alignment vertical="top"/>
    </xf>
    <xf numFmtId="183" fontId="23" fillId="0" borderId="0" xfId="20" applyNumberFormat="1" applyFont="1" applyFill="1"/>
    <xf numFmtId="9" fontId="62" fillId="0" borderId="0" xfId="20" applyNumberFormat="1" applyFont="1"/>
    <xf numFmtId="183" fontId="64" fillId="0" borderId="0" xfId="20" applyNumberFormat="1" applyFont="1" applyFill="1" applyBorder="1"/>
    <xf numFmtId="183" fontId="64" fillId="0" borderId="10" xfId="20" applyNumberFormat="1" applyFont="1" applyFill="1" applyBorder="1"/>
    <xf numFmtId="183" fontId="23" fillId="0" borderId="10" xfId="20" applyNumberFormat="1" applyFont="1" applyBorder="1"/>
    <xf numFmtId="183" fontId="67" fillId="0" borderId="0" xfId="20" applyNumberFormat="1" applyFont="1" applyBorder="1"/>
    <xf numFmtId="43" fontId="4" fillId="0" borderId="0" xfId="20" applyNumberFormat="1" applyFont="1" applyBorder="1"/>
    <xf numFmtId="43" fontId="4" fillId="0" borderId="10" xfId="20" applyNumberFormat="1" applyFont="1" applyBorder="1"/>
    <xf numFmtId="183" fontId="4" fillId="0" borderId="9" xfId="20" applyNumberFormat="1" applyFont="1" applyBorder="1"/>
    <xf numFmtId="183" fontId="64" fillId="0" borderId="12" xfId="20" applyNumberFormat="1" applyFont="1" applyBorder="1"/>
    <xf numFmtId="183" fontId="64" fillId="0" borderId="0" xfId="20" applyNumberFormat="1" applyFont="1" applyAlignment="1">
      <alignment horizontal="center"/>
    </xf>
    <xf numFmtId="183" fontId="68" fillId="0" borderId="0" xfId="20" applyNumberFormat="1" applyFont="1"/>
    <xf numFmtId="183" fontId="68" fillId="0" borderId="0" xfId="20" applyNumberFormat="1" applyFont="1" applyFill="1" applyBorder="1"/>
    <xf numFmtId="183" fontId="68" fillId="0" borderId="10" xfId="20" applyNumberFormat="1" applyFont="1" applyFill="1" applyBorder="1"/>
    <xf numFmtId="9" fontId="69" fillId="0" borderId="0" xfId="20" applyNumberFormat="1" applyFont="1"/>
    <xf numFmtId="183" fontId="68" fillId="0" borderId="0" xfId="20" applyNumberFormat="1" applyFont="1" applyFill="1"/>
    <xf numFmtId="183" fontId="70" fillId="0" borderId="0" xfId="20" applyNumberFormat="1" applyFont="1"/>
    <xf numFmtId="183" fontId="23" fillId="0" borderId="0" xfId="20" applyNumberFormat="1" applyFont="1" applyFill="1" applyBorder="1"/>
    <xf numFmtId="183" fontId="23" fillId="0" borderId="10" xfId="20" applyNumberFormat="1" applyFont="1" applyFill="1" applyBorder="1"/>
    <xf numFmtId="37" fontId="64" fillId="0" borderId="0" xfId="0" applyFont="1"/>
    <xf numFmtId="37" fontId="64" fillId="0" borderId="0" xfId="0" applyFont="1" applyBorder="1"/>
    <xf numFmtId="183" fontId="64" fillId="0" borderId="12" xfId="20" applyNumberFormat="1" applyFont="1" applyBorder="1" applyProtection="1"/>
    <xf numFmtId="183" fontId="64" fillId="0" borderId="0" xfId="20" applyNumberFormat="1" applyFont="1" applyBorder="1" applyProtection="1"/>
    <xf numFmtId="183" fontId="64" fillId="0" borderId="10" xfId="20" applyNumberFormat="1" applyFont="1" applyBorder="1" applyProtection="1"/>
    <xf numFmtId="44" fontId="64" fillId="0" borderId="0" xfId="20" applyNumberFormat="1" applyFont="1" applyBorder="1"/>
    <xf numFmtId="44" fontId="64" fillId="0" borderId="10" xfId="20" applyNumberFormat="1" applyFont="1" applyBorder="1"/>
    <xf numFmtId="183" fontId="71" fillId="0" borderId="0" xfId="2" applyNumberFormat="1" applyFont="1" applyProtection="1"/>
    <xf numFmtId="183" fontId="71" fillId="0" borderId="0" xfId="2" applyNumberFormat="1" applyFont="1" applyBorder="1" applyProtection="1"/>
    <xf numFmtId="183" fontId="4" fillId="0" borderId="0" xfId="2" applyNumberFormat="1" applyFont="1" applyBorder="1"/>
    <xf numFmtId="183" fontId="4" fillId="0" borderId="10" xfId="2" applyNumberFormat="1" applyFont="1" applyBorder="1"/>
    <xf numFmtId="183" fontId="4" fillId="0" borderId="0" xfId="2" applyNumberFormat="1" applyFont="1"/>
    <xf numFmtId="183" fontId="4" fillId="0" borderId="0" xfId="2" applyNumberFormat="1" applyFont="1" applyBorder="1" applyProtection="1"/>
    <xf numFmtId="183" fontId="4" fillId="0" borderId="10" xfId="2" applyNumberFormat="1" applyFont="1" applyBorder="1" applyProtection="1"/>
    <xf numFmtId="9" fontId="63" fillId="0" borderId="0" xfId="2" applyNumberFormat="1" applyFont="1"/>
    <xf numFmtId="183" fontId="4" fillId="0" borderId="12" xfId="2" applyNumberFormat="1" applyFont="1" applyBorder="1"/>
    <xf numFmtId="183" fontId="4" fillId="0" borderId="12" xfId="20" applyNumberFormat="1" applyFont="1" applyFill="1" applyBorder="1"/>
    <xf numFmtId="183" fontId="64" fillId="0" borderId="0" xfId="2" applyNumberFormat="1" applyFont="1" applyBorder="1" applyProtection="1"/>
    <xf numFmtId="183" fontId="64" fillId="0" borderId="0" xfId="2" applyNumberFormat="1" applyFont="1" applyBorder="1"/>
    <xf numFmtId="183" fontId="64" fillId="0" borderId="10" xfId="2" applyNumberFormat="1" applyFont="1" applyBorder="1"/>
    <xf numFmtId="9" fontId="62" fillId="0" borderId="0" xfId="2" applyNumberFormat="1" applyFont="1"/>
    <xf numFmtId="183" fontId="64" fillId="0" borderId="0" xfId="2" applyNumberFormat="1" applyFont="1"/>
    <xf numFmtId="177" fontId="4" fillId="0" borderId="9" xfId="20" applyNumberFormat="1" applyFont="1" applyBorder="1"/>
    <xf numFmtId="177" fontId="4" fillId="0" borderId="0" xfId="20" applyNumberFormat="1" applyFont="1" applyBorder="1"/>
    <xf numFmtId="177" fontId="4" fillId="0" borderId="10" xfId="20" applyNumberFormat="1" applyFont="1" applyBorder="1"/>
    <xf numFmtId="183" fontId="64" fillId="0" borderId="0" xfId="0" applyNumberFormat="1" applyFont="1" applyBorder="1"/>
    <xf numFmtId="183" fontId="64" fillId="0" borderId="12" xfId="0" applyNumberFormat="1" applyFont="1" applyBorder="1"/>
    <xf numFmtId="183" fontId="64" fillId="0" borderId="10" xfId="0" applyNumberFormat="1" applyFont="1" applyBorder="1"/>
    <xf numFmtId="183" fontId="4" fillId="0" borderId="0" xfId="0" applyNumberFormat="1" applyFont="1" applyBorder="1"/>
    <xf numFmtId="183" fontId="4" fillId="0" borderId="10" xfId="0" applyNumberFormat="1" applyFont="1" applyBorder="1"/>
    <xf numFmtId="183" fontId="4" fillId="0" borderId="12" xfId="0" applyNumberFormat="1" applyFont="1" applyBorder="1"/>
    <xf numFmtId="183" fontId="64" fillId="0" borderId="13" xfId="20" applyNumberFormat="1" applyFont="1" applyBorder="1"/>
    <xf numFmtId="37" fontId="4" fillId="0" borderId="0" xfId="0" applyFont="1" applyBorder="1"/>
    <xf numFmtId="37" fontId="4" fillId="0" borderId="10" xfId="0" applyFont="1" applyBorder="1"/>
    <xf numFmtId="164" fontId="64" fillId="0" borderId="0" xfId="0" applyNumberFormat="1" applyFont="1" applyBorder="1"/>
    <xf numFmtId="164" fontId="64" fillId="0" borderId="10" xfId="0" applyNumberFormat="1" applyFont="1" applyBorder="1"/>
    <xf numFmtId="44" fontId="4" fillId="0" borderId="0" xfId="5" applyNumberFormat="1" applyFont="1" applyBorder="1"/>
    <xf numFmtId="43" fontId="4" fillId="0" borderId="0" xfId="5" applyNumberFormat="1" applyFont="1" applyBorder="1"/>
    <xf numFmtId="44" fontId="4" fillId="0" borderId="10" xfId="5" applyNumberFormat="1" applyFont="1" applyBorder="1"/>
    <xf numFmtId="43" fontId="4" fillId="0" borderId="9" xfId="5" applyNumberFormat="1" applyFont="1" applyBorder="1"/>
    <xf numFmtId="183" fontId="4" fillId="0" borderId="9" xfId="5" applyNumberFormat="1" applyFont="1" applyBorder="1"/>
    <xf numFmtId="43" fontId="4" fillId="0" borderId="10" xfId="5" applyNumberFormat="1" applyFont="1" applyBorder="1"/>
    <xf numFmtId="44" fontId="64" fillId="0" borderId="14" xfId="5" applyNumberFormat="1" applyFont="1" applyBorder="1"/>
    <xf numFmtId="44" fontId="64" fillId="0" borderId="0" xfId="5" applyNumberFormat="1" applyFont="1" applyBorder="1"/>
    <xf numFmtId="43" fontId="64" fillId="0" borderId="14" xfId="5" applyNumberFormat="1" applyFont="1" applyBorder="1"/>
    <xf numFmtId="44" fontId="64" fillId="0" borderId="10" xfId="5" applyNumberFormat="1" applyFont="1" applyBorder="1"/>
    <xf numFmtId="183" fontId="63" fillId="0" borderId="0" xfId="20" applyNumberFormat="1" applyFont="1" applyBorder="1"/>
    <xf numFmtId="183" fontId="63" fillId="0" borderId="0" xfId="0" applyNumberFormat="1" applyFont="1" applyBorder="1"/>
    <xf numFmtId="183" fontId="63" fillId="0" borderId="10" xfId="0" applyNumberFormat="1" applyFont="1" applyBorder="1"/>
    <xf numFmtId="183" fontId="0" fillId="0" borderId="0" xfId="0" applyNumberFormat="1"/>
    <xf numFmtId="37" fontId="0" fillId="0" borderId="10" xfId="0" applyBorder="1"/>
    <xf numFmtId="37" fontId="0" fillId="0" borderId="0" xfId="0" applyBorder="1"/>
    <xf numFmtId="167" fontId="63" fillId="0" borderId="0" xfId="22" applyNumberFormat="1" applyFont="1"/>
    <xf numFmtId="183" fontId="63" fillId="0" borderId="0" xfId="22" applyNumberFormat="1" applyFont="1"/>
    <xf numFmtId="167" fontId="63" fillId="0" borderId="10" xfId="22" applyNumberFormat="1" applyFont="1" applyBorder="1"/>
    <xf numFmtId="164" fontId="72" fillId="0" borderId="0" xfId="18" applyFont="1" applyAlignment="1">
      <alignment horizontal="left"/>
    </xf>
    <xf numFmtId="164" fontId="72" fillId="0" borderId="0" xfId="18" applyFont="1"/>
    <xf numFmtId="183" fontId="72" fillId="0" borderId="0" xfId="18" applyNumberFormat="1" applyFont="1"/>
    <xf numFmtId="164" fontId="73" fillId="0" borderId="0" xfId="18" applyFont="1"/>
    <xf numFmtId="187" fontId="74" fillId="0" borderId="0" xfId="0" applyNumberFormat="1" applyFont="1" applyBorder="1" applyAlignment="1">
      <alignment horizontal="left"/>
    </xf>
    <xf numFmtId="187" fontId="74" fillId="0" borderId="0" xfId="0" applyNumberFormat="1" applyFont="1" applyFill="1" applyBorder="1" applyAlignment="1">
      <alignment horizontal="left"/>
    </xf>
    <xf numFmtId="183" fontId="74" fillId="0" borderId="0" xfId="0" applyNumberFormat="1" applyFont="1" applyFill="1" applyBorder="1" applyAlignment="1">
      <alignment horizontal="left"/>
    </xf>
    <xf numFmtId="0" fontId="63" fillId="0" borderId="0" xfId="20" applyNumberFormat="1" applyFont="1"/>
    <xf numFmtId="183" fontId="63" fillId="0" borderId="0" xfId="20" applyNumberFormat="1" applyFont="1" applyAlignment="1">
      <alignment horizontal="center"/>
    </xf>
    <xf numFmtId="183" fontId="63" fillId="0" borderId="9" xfId="20" applyNumberFormat="1" applyFont="1" applyBorder="1" applyAlignment="1">
      <alignment horizontal="center"/>
    </xf>
    <xf numFmtId="167" fontId="63" fillId="0" borderId="0" xfId="20" applyNumberFormat="1" applyFont="1"/>
    <xf numFmtId="183" fontId="63" fillId="0" borderId="12" xfId="20" applyNumberFormat="1" applyFont="1" applyBorder="1"/>
    <xf numFmtId="183" fontId="63" fillId="0" borderId="13" xfId="20" applyNumberFormat="1" applyFont="1" applyBorder="1"/>
    <xf numFmtId="183" fontId="23" fillId="0" borderId="0" xfId="20" applyNumberFormat="1" applyFont="1" applyAlignment="1">
      <alignment horizontal="centerContinuous"/>
    </xf>
    <xf numFmtId="164" fontId="23" fillId="0" borderId="0" xfId="18" quotePrefix="1" applyFont="1" applyAlignment="1" applyProtection="1">
      <alignment horizontal="centerContinuous"/>
    </xf>
    <xf numFmtId="37" fontId="64" fillId="0" borderId="0" xfId="21" quotePrefix="1" applyFont="1" applyAlignment="1">
      <alignment horizontal="center"/>
    </xf>
    <xf numFmtId="37" fontId="64" fillId="0" borderId="0" xfId="21" applyFont="1" applyAlignment="1">
      <alignment horizontal="center"/>
    </xf>
    <xf numFmtId="183" fontId="75" fillId="0" borderId="0" xfId="20" applyNumberFormat="1" applyFont="1" applyBorder="1" applyAlignment="1">
      <alignment horizontal="center"/>
    </xf>
    <xf numFmtId="235" fontId="4" fillId="0" borderId="0" xfId="20" applyNumberFormat="1" applyFont="1" applyBorder="1"/>
    <xf numFmtId="183" fontId="4" fillId="0" borderId="0" xfId="20" applyNumberFormat="1" applyFont="1" applyAlignment="1">
      <alignment horizontal="center"/>
    </xf>
    <xf numFmtId="183" fontId="64" fillId="0" borderId="0" xfId="20" applyNumberFormat="1" applyFont="1" applyAlignment="1"/>
    <xf numFmtId="0" fontId="64" fillId="0" borderId="0" xfId="20" applyNumberFormat="1" applyFont="1"/>
    <xf numFmtId="0" fontId="4" fillId="0" borderId="0" xfId="20" applyNumberFormat="1" applyFont="1"/>
    <xf numFmtId="174" fontId="4" fillId="0" borderId="0" xfId="3" applyNumberFormat="1" applyFont="1" applyBorder="1"/>
    <xf numFmtId="174" fontId="68" fillId="0" borderId="0" xfId="3" applyNumberFormat="1" applyFont="1" applyBorder="1"/>
    <xf numFmtId="177" fontId="68" fillId="0" borderId="0" xfId="20" applyNumberFormat="1" applyFont="1" applyBorder="1"/>
    <xf numFmtId="174" fontId="4" fillId="0" borderId="12" xfId="3" applyNumberFormat="1" applyFont="1" applyBorder="1"/>
    <xf numFmtId="177" fontId="64" fillId="0" borderId="0" xfId="4" applyNumberFormat="1" applyFont="1" applyBorder="1"/>
    <xf numFmtId="235" fontId="64" fillId="0" borderId="0" xfId="3" applyNumberFormat="1" applyFont="1" applyBorder="1"/>
    <xf numFmtId="177" fontId="4" fillId="0" borderId="0" xfId="4" applyNumberFormat="1" applyFont="1" applyBorder="1"/>
    <xf numFmtId="235" fontId="64" fillId="0" borderId="12" xfId="3" applyNumberFormat="1" applyFont="1" applyBorder="1"/>
    <xf numFmtId="183" fontId="64" fillId="0" borderId="0" xfId="3" applyNumberFormat="1" applyFont="1" applyBorder="1"/>
    <xf numFmtId="183" fontId="4" fillId="0" borderId="0" xfId="3" applyNumberFormat="1" applyFont="1" applyBorder="1"/>
    <xf numFmtId="235" fontId="64" fillId="0" borderId="13" xfId="3" applyNumberFormat="1" applyFont="1" applyBorder="1"/>
    <xf numFmtId="44" fontId="4" fillId="0" borderId="0" xfId="6" applyNumberFormat="1" applyFont="1"/>
    <xf numFmtId="44" fontId="4" fillId="0" borderId="0" xfId="4" applyNumberFormat="1" applyFont="1" applyBorder="1"/>
    <xf numFmtId="225" fontId="4" fillId="0" borderId="0" xfId="20" applyNumberFormat="1" applyFont="1"/>
    <xf numFmtId="43" fontId="4" fillId="0" borderId="9" xfId="4" applyNumberFormat="1" applyFont="1" applyBorder="1"/>
    <xf numFmtId="43" fontId="4" fillId="0" borderId="0" xfId="4" applyNumberFormat="1" applyFont="1" applyBorder="1"/>
    <xf numFmtId="44" fontId="4" fillId="0" borderId="0" xfId="6" applyNumberFormat="1" applyFont="1" applyBorder="1"/>
    <xf numFmtId="44" fontId="64" fillId="0" borderId="14" xfId="6" applyNumberFormat="1" applyFont="1" applyFill="1" applyBorder="1"/>
    <xf numFmtId="44" fontId="64" fillId="0" borderId="0" xfId="6" applyNumberFormat="1" applyFont="1" applyFill="1" applyBorder="1"/>
    <xf numFmtId="187" fontId="73" fillId="0" borderId="0" xfId="19" applyNumberFormat="1" applyFont="1" applyBorder="1" applyAlignment="1">
      <alignment horizontal="left"/>
    </xf>
    <xf numFmtId="229" fontId="23" fillId="0" borderId="0" xfId="20" applyNumberFormat="1" applyFont="1"/>
    <xf numFmtId="183" fontId="62" fillId="0" borderId="7" xfId="20" applyNumberFormat="1" applyFont="1" applyBorder="1" applyAlignment="1">
      <alignment horizontal="center"/>
    </xf>
    <xf numFmtId="183" fontId="64" fillId="0" borderId="7" xfId="20" applyNumberFormat="1" applyFont="1" applyBorder="1" applyAlignment="1">
      <alignment horizontal="center"/>
    </xf>
  </cellXfs>
  <cellStyles count="29">
    <cellStyle name="??_?.????" xfId="1"/>
    <cellStyle name="Comma" xfId="2" builtinId="3"/>
    <cellStyle name="Comma_earn_rel" xfId="3"/>
    <cellStyle name="Comma_forecast" xfId="4"/>
    <cellStyle name="Currency" xfId="5" builtinId="4"/>
    <cellStyle name="Currency_earn_rel" xfId="6"/>
    <cellStyle name="Date" xfId="7"/>
    <cellStyle name="Fixed" xfId="8"/>
    <cellStyle name="Grey" xfId="9"/>
    <cellStyle name="HEADER" xfId="10"/>
    <cellStyle name="Header1" xfId="11"/>
    <cellStyle name="Header2" xfId="12"/>
    <cellStyle name="Heading1" xfId="13"/>
    <cellStyle name="Heading2" xfId="14"/>
    <cellStyle name="HIGHLIGHT" xfId="15"/>
    <cellStyle name="Input [yellow]" xfId="16"/>
    <cellStyle name="Normal" xfId="0" builtinId="0"/>
    <cellStyle name="Normal - Style1" xfId="17"/>
    <cellStyle name="Normal_97 by Qtr" xfId="18"/>
    <cellStyle name="Normal_earn_rel_forecast" xfId="19"/>
    <cellStyle name="Normal_EXEC_SUM" xfId="20"/>
    <cellStyle name="Normal_Income" xfId="21"/>
    <cellStyle name="Percent" xfId="22" builtinId="5"/>
    <cellStyle name="Percent [2]" xfId="23"/>
    <cellStyle name="Total" xfId="24" builtinId="25" customBuiltin="1"/>
    <cellStyle name="Unprot" xfId="25"/>
    <cellStyle name="Unprot$" xfId="26"/>
    <cellStyle name="Unprot_dimon" xfId="27"/>
    <cellStyle name="Unprotec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89</xdr:row>
      <xdr:rowOff>0</xdr:rowOff>
    </xdr:from>
    <xdr:to>
      <xdr:col>0</xdr:col>
      <xdr:colOff>1152525</xdr:colOff>
      <xdr:row>89</xdr:row>
      <xdr:rowOff>0</xdr:rowOff>
    </xdr:to>
    <xdr:grpSp>
      <xdr:nvGrpSpPr>
        <xdr:cNvPr id="1025" name="Group 1">
          <a:extLst>
            <a:ext uri="{FF2B5EF4-FFF2-40B4-BE49-F238E27FC236}">
              <a16:creationId xmlns:a16="http://schemas.microsoft.com/office/drawing/2014/main" id="{16931D40-AEBD-E769-047B-C6635ABDEA40}"/>
            </a:ext>
          </a:extLst>
        </xdr:cNvPr>
        <xdr:cNvGrpSpPr>
          <a:grpSpLocks/>
        </xdr:cNvGrpSpPr>
      </xdr:nvGrpSpPr>
      <xdr:grpSpPr bwMode="auto">
        <a:xfrm>
          <a:off x="285750" y="12811125"/>
          <a:ext cx="866775" cy="0"/>
          <a:chOff x="1746" y="210"/>
          <a:chExt cx="1756" cy="1756"/>
        </a:xfrm>
      </xdr:grpSpPr>
      <xdr:grpSp>
        <xdr:nvGrpSpPr>
          <xdr:cNvPr id="1026" name="Group 2">
            <a:extLst>
              <a:ext uri="{FF2B5EF4-FFF2-40B4-BE49-F238E27FC236}">
                <a16:creationId xmlns:a16="http://schemas.microsoft.com/office/drawing/2014/main" id="{5E281CC1-B662-A499-5026-876DD1B8A6EC}"/>
              </a:ext>
            </a:extLst>
          </xdr:cNvPr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1027" name="Freeform 3">
              <a:extLst>
                <a:ext uri="{FF2B5EF4-FFF2-40B4-BE49-F238E27FC236}">
                  <a16:creationId xmlns:a16="http://schemas.microsoft.com/office/drawing/2014/main" id="{71D0B0C5-2386-1CC9-D1BE-2E7035F06071}"/>
                </a:ext>
              </a:extLst>
            </xdr:cNvPr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28" name="Freeform 4">
              <a:extLst>
                <a:ext uri="{FF2B5EF4-FFF2-40B4-BE49-F238E27FC236}">
                  <a16:creationId xmlns:a16="http://schemas.microsoft.com/office/drawing/2014/main" id="{0AFD6E10-7DC5-48F6-8093-86FA845C6FFE}"/>
                </a:ext>
              </a:extLst>
            </xdr:cNvPr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29" name="Freeform 5">
              <a:extLst>
                <a:ext uri="{FF2B5EF4-FFF2-40B4-BE49-F238E27FC236}">
                  <a16:creationId xmlns:a16="http://schemas.microsoft.com/office/drawing/2014/main" id="{8AAD5873-4A3F-98E0-6531-A012A87F921F}"/>
                </a:ext>
              </a:extLst>
            </xdr:cNvPr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0" name="Freeform 6">
              <a:extLst>
                <a:ext uri="{FF2B5EF4-FFF2-40B4-BE49-F238E27FC236}">
                  <a16:creationId xmlns:a16="http://schemas.microsoft.com/office/drawing/2014/main" id="{CD0AAA7C-5AFC-C149-AAC9-AA9A305FA72E}"/>
                </a:ext>
              </a:extLst>
            </xdr:cNvPr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1" name="Freeform 7">
              <a:extLst>
                <a:ext uri="{FF2B5EF4-FFF2-40B4-BE49-F238E27FC236}">
                  <a16:creationId xmlns:a16="http://schemas.microsoft.com/office/drawing/2014/main" id="{1691ED25-AC9C-37E1-A7C8-078C7D7B6DB5}"/>
                </a:ext>
              </a:extLst>
            </xdr:cNvPr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2" name="Freeform 8">
              <a:extLst>
                <a:ext uri="{FF2B5EF4-FFF2-40B4-BE49-F238E27FC236}">
                  <a16:creationId xmlns:a16="http://schemas.microsoft.com/office/drawing/2014/main" id="{44482741-59A4-FC88-4C97-1DFE2BCCFE82}"/>
                </a:ext>
              </a:extLst>
            </xdr:cNvPr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3" name="Freeform 9">
              <a:extLst>
                <a:ext uri="{FF2B5EF4-FFF2-40B4-BE49-F238E27FC236}">
                  <a16:creationId xmlns:a16="http://schemas.microsoft.com/office/drawing/2014/main" id="{8ECD85AC-0B8D-2B42-1831-9ED4A7D955ED}"/>
                </a:ext>
              </a:extLst>
            </xdr:cNvPr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4" name="Freeform 10">
              <a:extLst>
                <a:ext uri="{FF2B5EF4-FFF2-40B4-BE49-F238E27FC236}">
                  <a16:creationId xmlns:a16="http://schemas.microsoft.com/office/drawing/2014/main" id="{5AEB7DA5-6E08-0855-0506-9BFD05F142D9}"/>
                </a:ext>
              </a:extLst>
            </xdr:cNvPr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35" name="Freeform 11">
              <a:extLst>
                <a:ext uri="{FF2B5EF4-FFF2-40B4-BE49-F238E27FC236}">
                  <a16:creationId xmlns:a16="http://schemas.microsoft.com/office/drawing/2014/main" id="{113991A3-B02D-8B5B-1B17-D88225319652}"/>
                </a:ext>
              </a:extLst>
            </xdr:cNvPr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1036" name="Freeform 12">
            <a:extLst>
              <a:ext uri="{FF2B5EF4-FFF2-40B4-BE49-F238E27FC236}">
                <a16:creationId xmlns:a16="http://schemas.microsoft.com/office/drawing/2014/main" id="{15DF65DD-4BC8-1C7E-4ABB-5655A7EDB835}"/>
              </a:ext>
            </a:extLst>
          </xdr:cNvPr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1037" name="Freeform 13">
            <a:extLst>
              <a:ext uri="{FF2B5EF4-FFF2-40B4-BE49-F238E27FC236}">
                <a16:creationId xmlns:a16="http://schemas.microsoft.com/office/drawing/2014/main" id="{8CF01060-05C3-0DBB-B515-F0B860EF65D3}"/>
              </a:ext>
            </a:extLst>
          </xdr:cNvPr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285750</xdr:colOff>
      <xdr:row>89</xdr:row>
      <xdr:rowOff>0</xdr:rowOff>
    </xdr:from>
    <xdr:to>
      <xdr:col>0</xdr:col>
      <xdr:colOff>1152525</xdr:colOff>
      <xdr:row>89</xdr:row>
      <xdr:rowOff>0</xdr:rowOff>
    </xdr:to>
    <xdr:grpSp>
      <xdr:nvGrpSpPr>
        <xdr:cNvPr id="1038" name="Group 14">
          <a:extLst>
            <a:ext uri="{FF2B5EF4-FFF2-40B4-BE49-F238E27FC236}">
              <a16:creationId xmlns:a16="http://schemas.microsoft.com/office/drawing/2014/main" id="{3B37A03F-5087-9F52-69F1-054B69D4E69E}"/>
            </a:ext>
          </a:extLst>
        </xdr:cNvPr>
        <xdr:cNvGrpSpPr>
          <a:grpSpLocks/>
        </xdr:cNvGrpSpPr>
      </xdr:nvGrpSpPr>
      <xdr:grpSpPr bwMode="auto">
        <a:xfrm>
          <a:off x="285750" y="12811125"/>
          <a:ext cx="866775" cy="0"/>
          <a:chOff x="1746" y="210"/>
          <a:chExt cx="1756" cy="1756"/>
        </a:xfrm>
      </xdr:grpSpPr>
      <xdr:grpSp>
        <xdr:nvGrpSpPr>
          <xdr:cNvPr id="1039" name="Group 15">
            <a:extLst>
              <a:ext uri="{FF2B5EF4-FFF2-40B4-BE49-F238E27FC236}">
                <a16:creationId xmlns:a16="http://schemas.microsoft.com/office/drawing/2014/main" id="{05A6AB29-CCD0-4E8A-B4C3-275D797FC422}"/>
              </a:ext>
            </a:extLst>
          </xdr:cNvPr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1040" name="Freeform 16">
              <a:extLst>
                <a:ext uri="{FF2B5EF4-FFF2-40B4-BE49-F238E27FC236}">
                  <a16:creationId xmlns:a16="http://schemas.microsoft.com/office/drawing/2014/main" id="{7E7F8565-79EA-4605-BEE9-0E11F713216F}"/>
                </a:ext>
              </a:extLst>
            </xdr:cNvPr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1" name="Freeform 17">
              <a:extLst>
                <a:ext uri="{FF2B5EF4-FFF2-40B4-BE49-F238E27FC236}">
                  <a16:creationId xmlns:a16="http://schemas.microsoft.com/office/drawing/2014/main" id="{20BD7D79-7DCB-8125-3D03-67791FC654CC}"/>
                </a:ext>
              </a:extLst>
            </xdr:cNvPr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2" name="Freeform 18">
              <a:extLst>
                <a:ext uri="{FF2B5EF4-FFF2-40B4-BE49-F238E27FC236}">
                  <a16:creationId xmlns:a16="http://schemas.microsoft.com/office/drawing/2014/main" id="{C99E2786-F1B0-06BA-DDC0-62C408A3C6EF}"/>
                </a:ext>
              </a:extLst>
            </xdr:cNvPr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3" name="Freeform 19">
              <a:extLst>
                <a:ext uri="{FF2B5EF4-FFF2-40B4-BE49-F238E27FC236}">
                  <a16:creationId xmlns:a16="http://schemas.microsoft.com/office/drawing/2014/main" id="{887D7ADC-3DBC-58FE-F56D-551FC1634681}"/>
                </a:ext>
              </a:extLst>
            </xdr:cNvPr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4" name="Freeform 20">
              <a:extLst>
                <a:ext uri="{FF2B5EF4-FFF2-40B4-BE49-F238E27FC236}">
                  <a16:creationId xmlns:a16="http://schemas.microsoft.com/office/drawing/2014/main" id="{8B08A45C-043C-59CC-4995-D2AD870C1202}"/>
                </a:ext>
              </a:extLst>
            </xdr:cNvPr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5" name="Freeform 21">
              <a:extLst>
                <a:ext uri="{FF2B5EF4-FFF2-40B4-BE49-F238E27FC236}">
                  <a16:creationId xmlns:a16="http://schemas.microsoft.com/office/drawing/2014/main" id="{8860425F-269C-058E-FA83-BC36E78E543D}"/>
                </a:ext>
              </a:extLst>
            </xdr:cNvPr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6" name="Freeform 22">
              <a:extLst>
                <a:ext uri="{FF2B5EF4-FFF2-40B4-BE49-F238E27FC236}">
                  <a16:creationId xmlns:a16="http://schemas.microsoft.com/office/drawing/2014/main" id="{75BE1674-9128-BDBD-B982-F702BDE22506}"/>
                </a:ext>
              </a:extLst>
            </xdr:cNvPr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7" name="Freeform 23">
              <a:extLst>
                <a:ext uri="{FF2B5EF4-FFF2-40B4-BE49-F238E27FC236}">
                  <a16:creationId xmlns:a16="http://schemas.microsoft.com/office/drawing/2014/main" id="{3723F3F3-4772-ABB5-4D86-CDFB2B181BFC}"/>
                </a:ext>
              </a:extLst>
            </xdr:cNvPr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48" name="Freeform 24">
              <a:extLst>
                <a:ext uri="{FF2B5EF4-FFF2-40B4-BE49-F238E27FC236}">
                  <a16:creationId xmlns:a16="http://schemas.microsoft.com/office/drawing/2014/main" id="{E4D3E074-A0C2-53B0-6B16-101E3E0E1F58}"/>
                </a:ext>
              </a:extLst>
            </xdr:cNvPr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1049" name="Freeform 25">
            <a:extLst>
              <a:ext uri="{FF2B5EF4-FFF2-40B4-BE49-F238E27FC236}">
                <a16:creationId xmlns:a16="http://schemas.microsoft.com/office/drawing/2014/main" id="{2F7EA69A-9E9A-EBDC-8912-AE92B54B47CF}"/>
              </a:ext>
            </a:extLst>
          </xdr:cNvPr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1050" name="Freeform 26">
            <a:extLst>
              <a:ext uri="{FF2B5EF4-FFF2-40B4-BE49-F238E27FC236}">
                <a16:creationId xmlns:a16="http://schemas.microsoft.com/office/drawing/2014/main" id="{EAF095BF-79C8-81CF-9E82-1DD20A1C9766}"/>
              </a:ext>
            </a:extLst>
          </xdr:cNvPr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285750</xdr:colOff>
      <xdr:row>89</xdr:row>
      <xdr:rowOff>0</xdr:rowOff>
    </xdr:from>
    <xdr:to>
      <xdr:col>0</xdr:col>
      <xdr:colOff>1152525</xdr:colOff>
      <xdr:row>89</xdr:row>
      <xdr:rowOff>0</xdr:rowOff>
    </xdr:to>
    <xdr:grpSp>
      <xdr:nvGrpSpPr>
        <xdr:cNvPr id="1051" name="Group 27">
          <a:extLst>
            <a:ext uri="{FF2B5EF4-FFF2-40B4-BE49-F238E27FC236}">
              <a16:creationId xmlns:a16="http://schemas.microsoft.com/office/drawing/2014/main" id="{8FC55637-8A49-B419-C937-DC9BA6FB3D51}"/>
            </a:ext>
          </a:extLst>
        </xdr:cNvPr>
        <xdr:cNvGrpSpPr>
          <a:grpSpLocks/>
        </xdr:cNvGrpSpPr>
      </xdr:nvGrpSpPr>
      <xdr:grpSpPr bwMode="auto">
        <a:xfrm>
          <a:off x="285750" y="12811125"/>
          <a:ext cx="866775" cy="0"/>
          <a:chOff x="1746" y="210"/>
          <a:chExt cx="1756" cy="1756"/>
        </a:xfrm>
      </xdr:grpSpPr>
      <xdr:grpSp>
        <xdr:nvGrpSpPr>
          <xdr:cNvPr id="1052" name="Group 28">
            <a:extLst>
              <a:ext uri="{FF2B5EF4-FFF2-40B4-BE49-F238E27FC236}">
                <a16:creationId xmlns:a16="http://schemas.microsoft.com/office/drawing/2014/main" id="{A3CE5343-76F4-246C-BE2D-78D335AD74F1}"/>
              </a:ext>
            </a:extLst>
          </xdr:cNvPr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1053" name="Freeform 29">
              <a:extLst>
                <a:ext uri="{FF2B5EF4-FFF2-40B4-BE49-F238E27FC236}">
                  <a16:creationId xmlns:a16="http://schemas.microsoft.com/office/drawing/2014/main" id="{B4EF136C-332B-19DD-9EAC-7088A7C02071}"/>
                </a:ext>
              </a:extLst>
            </xdr:cNvPr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4" name="Freeform 30">
              <a:extLst>
                <a:ext uri="{FF2B5EF4-FFF2-40B4-BE49-F238E27FC236}">
                  <a16:creationId xmlns:a16="http://schemas.microsoft.com/office/drawing/2014/main" id="{D203EBB8-2DBB-E97C-D8A7-F9FAB42849CF}"/>
                </a:ext>
              </a:extLst>
            </xdr:cNvPr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5" name="Freeform 31">
              <a:extLst>
                <a:ext uri="{FF2B5EF4-FFF2-40B4-BE49-F238E27FC236}">
                  <a16:creationId xmlns:a16="http://schemas.microsoft.com/office/drawing/2014/main" id="{C57E59DF-F368-CBF8-85B1-19340C18E2B1}"/>
                </a:ext>
              </a:extLst>
            </xdr:cNvPr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6" name="Freeform 32">
              <a:extLst>
                <a:ext uri="{FF2B5EF4-FFF2-40B4-BE49-F238E27FC236}">
                  <a16:creationId xmlns:a16="http://schemas.microsoft.com/office/drawing/2014/main" id="{7DDFF299-AA7F-E59E-D316-F7179DDB1939}"/>
                </a:ext>
              </a:extLst>
            </xdr:cNvPr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7" name="Freeform 33">
              <a:extLst>
                <a:ext uri="{FF2B5EF4-FFF2-40B4-BE49-F238E27FC236}">
                  <a16:creationId xmlns:a16="http://schemas.microsoft.com/office/drawing/2014/main" id="{11DBFF27-06DC-A961-865E-BEEF5EA4BFC9}"/>
                </a:ext>
              </a:extLst>
            </xdr:cNvPr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8" name="Freeform 34">
              <a:extLst>
                <a:ext uri="{FF2B5EF4-FFF2-40B4-BE49-F238E27FC236}">
                  <a16:creationId xmlns:a16="http://schemas.microsoft.com/office/drawing/2014/main" id="{A137FFCA-99CC-F620-573E-612D33A10B12}"/>
                </a:ext>
              </a:extLst>
            </xdr:cNvPr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59" name="Freeform 35">
              <a:extLst>
                <a:ext uri="{FF2B5EF4-FFF2-40B4-BE49-F238E27FC236}">
                  <a16:creationId xmlns:a16="http://schemas.microsoft.com/office/drawing/2014/main" id="{29D0AF79-3081-A45A-1A89-4E524820C809}"/>
                </a:ext>
              </a:extLst>
            </xdr:cNvPr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60" name="Freeform 36">
              <a:extLst>
                <a:ext uri="{FF2B5EF4-FFF2-40B4-BE49-F238E27FC236}">
                  <a16:creationId xmlns:a16="http://schemas.microsoft.com/office/drawing/2014/main" id="{93348B51-37CE-2677-ED32-0DCAE93DC43E}"/>
                </a:ext>
              </a:extLst>
            </xdr:cNvPr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061" name="Freeform 37">
              <a:extLst>
                <a:ext uri="{FF2B5EF4-FFF2-40B4-BE49-F238E27FC236}">
                  <a16:creationId xmlns:a16="http://schemas.microsoft.com/office/drawing/2014/main" id="{6DA9D023-38AC-AF60-8858-5F096841E80C}"/>
                </a:ext>
              </a:extLst>
            </xdr:cNvPr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1062" name="Freeform 38">
            <a:extLst>
              <a:ext uri="{FF2B5EF4-FFF2-40B4-BE49-F238E27FC236}">
                <a16:creationId xmlns:a16="http://schemas.microsoft.com/office/drawing/2014/main" id="{CCE7662E-0A9A-3B0F-A309-F8341013066B}"/>
              </a:ext>
            </a:extLst>
          </xdr:cNvPr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1063" name="Freeform 39">
            <a:extLst>
              <a:ext uri="{FF2B5EF4-FFF2-40B4-BE49-F238E27FC236}">
                <a16:creationId xmlns:a16="http://schemas.microsoft.com/office/drawing/2014/main" id="{3416BA4D-EFAC-679A-C328-55DF918B646B}"/>
              </a:ext>
            </a:extLst>
          </xdr:cNvPr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247650</xdr:colOff>
      <xdr:row>0</xdr:row>
      <xdr:rowOff>9525</xdr:rowOff>
    </xdr:from>
    <xdr:to>
      <xdr:col>17</xdr:col>
      <xdr:colOff>476250</xdr:colOff>
      <xdr:row>1</xdr:row>
      <xdr:rowOff>28575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5CA373BF-1BF3-20D8-B8A4-8EEE3D43F022}"/>
            </a:ext>
          </a:extLst>
        </xdr:cNvPr>
        <xdr:cNvSpPr>
          <a:spLocks noChangeArrowheads="1"/>
        </xdr:cNvSpPr>
      </xdr:nvSpPr>
      <xdr:spPr bwMode="auto">
        <a:xfrm>
          <a:off x="6057900" y="9525"/>
          <a:ext cx="195262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Confidential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</xdr:rowOff>
    </xdr:from>
    <xdr:to>
      <xdr:col>11</xdr:col>
      <xdr:colOff>361950</xdr:colOff>
      <xdr:row>0</xdr:row>
      <xdr:rowOff>276225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A76108F5-6B36-C895-BC09-70248A5E99D8}"/>
            </a:ext>
          </a:extLst>
        </xdr:cNvPr>
        <xdr:cNvSpPr>
          <a:spLocks noChangeArrowheads="1"/>
        </xdr:cNvSpPr>
      </xdr:nvSpPr>
      <xdr:spPr bwMode="auto">
        <a:xfrm>
          <a:off x="5229225" y="19050"/>
          <a:ext cx="183832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Confidential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E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QTRFCST/4th99/1st99/melin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0002PlanTmp/calend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QUAR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ORECA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2000plan/200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S"/>
      <sheetName val="EPS (2)"/>
      <sheetName val="EPS (3)"/>
      <sheetName val="EPS (4)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IBIT"/>
      <sheetName val="Var"/>
      <sheetName val="Var (2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Dates (3)"/>
      <sheetName val="Key Dates"/>
      <sheetName val="reviews (2)"/>
      <sheetName val="bullet points"/>
      <sheetName val="Key Dates (2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IT 1st qtr"/>
      <sheetName val="NI-1st qtr"/>
      <sheetName val="Qtr-IBIT (2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IT - .40"/>
      <sheetName val="NI - .40 &amp; 18%"/>
      <sheetName val="IBIT  - .37"/>
      <sheetName val="Exposure"/>
      <sheetName val="Update"/>
      <sheetName val="Overview (2)"/>
      <sheetName val="Overview"/>
      <sheetName val="IBIT 1st qtr (3)"/>
      <sheetName val="Support"/>
      <sheetName val="Support (2)"/>
      <sheetName val="IBIT 1st qtr"/>
      <sheetName val="NI-1st qtr"/>
      <sheetName val="IBIT 1st qtr (2)"/>
      <sheetName val="Feb 10"/>
      <sheetName val="Feb 17"/>
      <sheetName val="March 2"/>
      <sheetName val="March 9"/>
      <sheetName val="Upsides"/>
      <sheetName val="IBIT 1st qtr (6)"/>
      <sheetName val="IBIT - .40 &amp; 19% "/>
    </sheetNames>
    <sheetDataSet>
      <sheetData sheetId="0">
        <row r="6">
          <cell r="G6" t="str">
            <v>March 30</v>
          </cell>
        </row>
        <row r="11">
          <cell r="I11">
            <v>5</v>
          </cell>
        </row>
        <row r="15">
          <cell r="I15">
            <v>35</v>
          </cell>
        </row>
        <row r="16">
          <cell r="I16">
            <v>15</v>
          </cell>
        </row>
        <row r="26">
          <cell r="I26">
            <v>10</v>
          </cell>
        </row>
        <row r="38">
          <cell r="I38">
            <v>6</v>
          </cell>
        </row>
        <row r="46">
          <cell r="I46">
            <v>0</v>
          </cell>
        </row>
        <row r="48">
          <cell r="I48">
            <v>1.8</v>
          </cell>
        </row>
        <row r="51">
          <cell r="I51">
            <v>18</v>
          </cell>
        </row>
        <row r="53">
          <cell r="I53">
            <v>0</v>
          </cell>
        </row>
        <row r="58">
          <cell r="K58">
            <v>0</v>
          </cell>
        </row>
        <row r="62">
          <cell r="I62">
            <v>2</v>
          </cell>
        </row>
        <row r="76">
          <cell r="G76">
            <v>311.87968720000009</v>
          </cell>
          <cell r="K76">
            <v>337.99159800000012</v>
          </cell>
        </row>
        <row r="83">
          <cell r="G83">
            <v>853.68700000000001</v>
          </cell>
        </row>
      </sheetData>
      <sheetData sheetId="1"/>
      <sheetData sheetId="2">
        <row r="82">
          <cell r="G82">
            <v>853.68700000000001</v>
          </cell>
        </row>
      </sheetData>
      <sheetData sheetId="3"/>
      <sheetData sheetId="4">
        <row r="12">
          <cell r="D12">
            <v>127.5</v>
          </cell>
          <cell r="F12">
            <v>111.9</v>
          </cell>
          <cell r="H12">
            <v>132.9</v>
          </cell>
          <cell r="J12">
            <v>70.5</v>
          </cell>
          <cell r="L12">
            <v>-19.899999999999999</v>
          </cell>
          <cell r="N12">
            <v>36.200000000000003</v>
          </cell>
          <cell r="P12">
            <v>8.7000000000000011</v>
          </cell>
          <cell r="R12">
            <v>22.3</v>
          </cell>
          <cell r="T12">
            <v>-1.5000000000000004</v>
          </cell>
          <cell r="V12">
            <v>-4.4000000000000004</v>
          </cell>
          <cell r="X12">
            <v>4.2000000000000233</v>
          </cell>
          <cell r="AB12">
            <v>-5</v>
          </cell>
          <cell r="AD12">
            <v>80.599999999999994</v>
          </cell>
          <cell r="AF12">
            <v>4.5</v>
          </cell>
          <cell r="AH12">
            <v>8.6</v>
          </cell>
          <cell r="AJ12">
            <v>10</v>
          </cell>
          <cell r="AL12">
            <v>-4.5289999999998151E-2</v>
          </cell>
          <cell r="AN12">
            <v>-6</v>
          </cell>
          <cell r="AP12">
            <v>-11</v>
          </cell>
          <cell r="AR12">
            <v>15.6</v>
          </cell>
          <cell r="AT12">
            <v>-1.1000000000000001</v>
          </cell>
          <cell r="AV12">
            <v>-3.4</v>
          </cell>
          <cell r="AX12">
            <v>-1.3631120000000001</v>
          </cell>
          <cell r="BB12">
            <v>-51</v>
          </cell>
          <cell r="BD12">
            <v>75.2</v>
          </cell>
          <cell r="BH12">
            <v>0</v>
          </cell>
        </row>
        <row r="14">
          <cell r="BJ14">
            <v>162.9</v>
          </cell>
        </row>
        <row r="15">
          <cell r="BJ15">
            <v>3.5527136788005009E-15</v>
          </cell>
        </row>
        <row r="16">
          <cell r="BJ16">
            <v>0</v>
          </cell>
        </row>
        <row r="17">
          <cell r="BJ17">
            <v>-9.8999999999999986</v>
          </cell>
        </row>
        <row r="18">
          <cell r="BJ18">
            <v>17.100000000000001</v>
          </cell>
        </row>
        <row r="19">
          <cell r="BJ19">
            <v>34</v>
          </cell>
        </row>
        <row r="21">
          <cell r="BJ21">
            <v>88.011910799999967</v>
          </cell>
        </row>
        <row r="23">
          <cell r="D23">
            <v>80.5</v>
          </cell>
          <cell r="F23">
            <v>54.014000000000003</v>
          </cell>
          <cell r="H23">
            <v>83.100000000000009</v>
          </cell>
          <cell r="J23">
            <v>48.499999999999993</v>
          </cell>
          <cell r="L23">
            <v>-3.4019999999999992</v>
          </cell>
          <cell r="N23">
            <v>6.9000000000000057</v>
          </cell>
          <cell r="P23">
            <v>6.5000000000000018</v>
          </cell>
          <cell r="R23">
            <v>15.45</v>
          </cell>
          <cell r="T23">
            <v>-1.3000000000000005</v>
          </cell>
          <cell r="V23">
            <v>-3.3000000000000007</v>
          </cell>
          <cell r="X23">
            <v>2.5000000000000231</v>
          </cell>
          <cell r="AB23">
            <v>-3.15</v>
          </cell>
          <cell r="AD23">
            <v>45.29999999999999</v>
          </cell>
          <cell r="AF23">
            <v>5.5</v>
          </cell>
          <cell r="AH23">
            <v>5.4179999999999993</v>
          </cell>
          <cell r="AJ23">
            <v>2.65</v>
          </cell>
          <cell r="AL23">
            <v>-4.5289999999998151E-2</v>
          </cell>
          <cell r="AN23">
            <v>-8.7000000000000011</v>
          </cell>
          <cell r="AP23">
            <v>-11</v>
          </cell>
          <cell r="AR23">
            <v>5.3000000000000007</v>
          </cell>
          <cell r="AT23">
            <v>-1.1000000000000001</v>
          </cell>
          <cell r="AV23">
            <v>-2.0999999999999996</v>
          </cell>
          <cell r="AX23">
            <v>-0.88602280000000011</v>
          </cell>
          <cell r="AZ23">
            <v>-102.5</v>
          </cell>
          <cell r="BB23">
            <v>-22.869000000000003</v>
          </cell>
          <cell r="BD23">
            <v>47.400000000000006</v>
          </cell>
          <cell r="BF23">
            <v>63.2</v>
          </cell>
          <cell r="BH23">
            <v>0</v>
          </cell>
        </row>
        <row r="31">
          <cell r="D31">
            <v>127.5</v>
          </cell>
          <cell r="F31">
            <v>125.9</v>
          </cell>
          <cell r="H31">
            <v>143.4</v>
          </cell>
          <cell r="J31">
            <v>70.5</v>
          </cell>
          <cell r="L31">
            <v>-2.5</v>
          </cell>
          <cell r="N31">
            <v>36.200000000000003</v>
          </cell>
          <cell r="P31">
            <v>6.1</v>
          </cell>
          <cell r="R31">
            <v>7.3000000000000007</v>
          </cell>
          <cell r="T31">
            <v>-1.5000000000000004</v>
          </cell>
          <cell r="V31">
            <v>-4.38682370896991</v>
          </cell>
          <cell r="X31">
            <v>4.2000000000000233</v>
          </cell>
          <cell r="AB31">
            <v>-2</v>
          </cell>
          <cell r="AD31">
            <v>30.65</v>
          </cell>
          <cell r="AF31">
            <v>3.700000000000002</v>
          </cell>
          <cell r="AH31">
            <v>15</v>
          </cell>
          <cell r="AJ31">
            <v>9.6999999999999709</v>
          </cell>
          <cell r="AL31">
            <v>-4.5289999999998151E-2</v>
          </cell>
          <cell r="AN31">
            <v>-11.044739549705852</v>
          </cell>
          <cell r="AP31">
            <v>-4.8</v>
          </cell>
          <cell r="AR31">
            <v>15.600000000000044</v>
          </cell>
          <cell r="AT31">
            <v>-1.5169000000000048</v>
          </cell>
          <cell r="AV31">
            <v>-5.5</v>
          </cell>
          <cell r="AX31">
            <v>-1.3631120000000001</v>
          </cell>
          <cell r="BB31">
            <v>-43.899999999999991</v>
          </cell>
          <cell r="BD31">
            <v>95.5</v>
          </cell>
        </row>
        <row r="33">
          <cell r="BJ33">
            <v>178.92103502401969</v>
          </cell>
        </row>
        <row r="34">
          <cell r="BJ34">
            <v>-1.98438717542615E-3</v>
          </cell>
        </row>
        <row r="35">
          <cell r="BJ35">
            <v>-6.9128157455137007E-2</v>
          </cell>
        </row>
        <row r="36">
          <cell r="BJ36">
            <v>-8.3999999999999986</v>
          </cell>
        </row>
        <row r="37">
          <cell r="BJ37">
            <v>19.200000000000003</v>
          </cell>
        </row>
        <row r="38">
          <cell r="BJ38">
            <v>29.006169876116996</v>
          </cell>
        </row>
        <row r="40">
          <cell r="BJ40">
            <v>86.688149324880015</v>
          </cell>
        </row>
        <row r="42">
          <cell r="D42">
            <v>80.5</v>
          </cell>
          <cell r="F42">
            <v>61.900000000000006</v>
          </cell>
          <cell r="H42">
            <v>83.100000000000009</v>
          </cell>
          <cell r="J42">
            <v>48.399999999999991</v>
          </cell>
          <cell r="N42">
            <v>6.8000000000000078</v>
          </cell>
          <cell r="P42">
            <v>3.9</v>
          </cell>
          <cell r="R42">
            <v>6</v>
          </cell>
          <cell r="T42">
            <v>-1.3000000000000005</v>
          </cell>
          <cell r="V42">
            <v>-3.2905559140594747</v>
          </cell>
          <cell r="X42">
            <v>2.5000000000000231</v>
          </cell>
          <cell r="AB42">
            <v>-1.26</v>
          </cell>
          <cell r="AD42">
            <v>11.977</v>
          </cell>
          <cell r="AF42">
            <v>5.0000000000000036</v>
          </cell>
          <cell r="AH42">
            <v>9.4499999999999993</v>
          </cell>
          <cell r="AJ42">
            <v>2.899999999999971</v>
          </cell>
          <cell r="AL42">
            <v>-4.5289999999998151E-2</v>
          </cell>
          <cell r="AN42">
            <v>-11.654257923234077</v>
          </cell>
          <cell r="AP42">
            <v>-4.8</v>
          </cell>
          <cell r="AR42">
            <v>5.3000000000000451</v>
          </cell>
          <cell r="AT42">
            <v>-1.5169000000000048</v>
          </cell>
          <cell r="AV42">
            <v>-3.5000000000000009</v>
          </cell>
          <cell r="AX42">
            <v>-0.88602280000000011</v>
          </cell>
          <cell r="AZ42">
            <v>-101.5</v>
          </cell>
          <cell r="BB42">
            <v>-6.8732846552400737</v>
          </cell>
          <cell r="BD42">
            <v>60.164999999999999</v>
          </cell>
          <cell r="BF42">
            <v>56.083204353471729</v>
          </cell>
        </row>
      </sheetData>
      <sheetData sheetId="5"/>
      <sheetData sheetId="6"/>
      <sheetData sheetId="7"/>
      <sheetData sheetId="8"/>
      <sheetData sheetId="9"/>
      <sheetData sheetId="10">
        <row r="75">
          <cell r="C75">
            <v>292.39363261064409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IT"/>
      <sheetName val="NI-1st qtr"/>
      <sheetName val="IBIT 1st qtr"/>
      <sheetName val="Qtr-IBIT"/>
      <sheetName val="Qtr-IBIT (2)"/>
    </sheetNames>
    <sheetDataSet>
      <sheetData sheetId="0" refreshError="1"/>
      <sheetData sheetId="1" refreshError="1"/>
      <sheetData sheetId="2" refreshError="1">
        <row r="86">
          <cell r="C86">
            <v>788.2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1211">
    <pageSetUpPr fitToPage="1"/>
  </sheetPr>
  <dimension ref="A1:FU111"/>
  <sheetViews>
    <sheetView tabSelected="1" defaultGridColor="0" colorId="22" workbookViewId="0">
      <selection activeCell="G4" sqref="G4"/>
    </sheetView>
  </sheetViews>
  <sheetFormatPr defaultColWidth="5.5" defaultRowHeight="12"/>
  <cols>
    <col min="1" max="1" width="40.1640625" style="5" customWidth="1"/>
    <col min="2" max="3" width="10.83203125" style="5" customWidth="1"/>
    <col min="4" max="4" width="1.83203125" style="5" customWidth="1"/>
    <col min="5" max="5" width="10.83203125" style="5" customWidth="1"/>
    <col min="6" max="6" width="1.83203125" style="5" customWidth="1"/>
    <col min="7" max="7" width="10.83203125" style="5" customWidth="1"/>
    <col min="8" max="8" width="1.83203125" style="5" customWidth="1"/>
    <col min="9" max="9" width="10.83203125" style="5" customWidth="1"/>
    <col min="10" max="10" width="1.83203125" style="5" customWidth="1"/>
    <col min="11" max="11" width="10.83203125" style="5" customWidth="1"/>
    <col min="12" max="13" width="1.83203125" style="5" customWidth="1"/>
    <col min="14" max="14" width="10.83203125" style="5" customWidth="1"/>
    <col min="15" max="15" width="4.83203125" style="5" customWidth="1"/>
    <col min="16" max="16" width="8.83203125" style="5" hidden="1" customWidth="1"/>
    <col min="17" max="17" width="4.83203125" style="5" hidden="1" customWidth="1"/>
    <col min="18" max="18" width="8.83203125" style="26" customWidth="1"/>
    <col min="19" max="16384" width="5.5" style="5"/>
  </cols>
  <sheetData>
    <row r="1" spans="1:26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3"/>
      <c r="S1" s="4"/>
      <c r="T1" s="4"/>
      <c r="U1" s="4"/>
      <c r="V1" s="4"/>
      <c r="W1" s="4"/>
      <c r="X1" s="4"/>
      <c r="Y1" s="4"/>
      <c r="Z1" s="4"/>
    </row>
    <row r="2" spans="1:26" ht="18" customHeight="1">
      <c r="A2" s="6" t="s">
        <v>1</v>
      </c>
      <c r="B2" s="6"/>
      <c r="C2" s="6"/>
      <c r="D2" s="6"/>
      <c r="E2" s="6"/>
      <c r="F2" s="6"/>
      <c r="G2" s="6"/>
      <c r="H2" s="6"/>
      <c r="I2" s="7"/>
      <c r="J2" s="6"/>
      <c r="K2" s="6"/>
      <c r="L2" s="6"/>
      <c r="M2" s="6"/>
      <c r="N2" s="6"/>
      <c r="O2" s="6"/>
      <c r="P2" s="6"/>
      <c r="Q2" s="6"/>
      <c r="R2" s="3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8" t="s">
        <v>2</v>
      </c>
      <c r="B3" s="8"/>
      <c r="C3" s="8"/>
      <c r="D3" s="8"/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R3" s="10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1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</row>
    <row r="5" spans="1:26" ht="15" customHeight="1" thickBot="1">
      <c r="A5" s="11"/>
      <c r="B5" s="11"/>
      <c r="C5" s="157" t="s">
        <v>3</v>
      </c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</row>
    <row r="6" spans="1:26" ht="14.1" customHeight="1">
      <c r="B6" s="14"/>
      <c r="C6" s="15" t="s">
        <v>4</v>
      </c>
      <c r="D6" s="15"/>
      <c r="E6" s="15"/>
      <c r="F6" s="15"/>
      <c r="G6" s="16" t="s">
        <v>5</v>
      </c>
      <c r="H6" s="16"/>
      <c r="I6" s="17" t="s">
        <v>6</v>
      </c>
      <c r="J6" s="16"/>
      <c r="K6" s="16" t="s">
        <v>7</v>
      </c>
      <c r="L6" s="15"/>
      <c r="M6" s="18"/>
      <c r="N6" s="15" t="s">
        <v>8</v>
      </c>
      <c r="O6" s="15"/>
      <c r="P6" s="19" t="s">
        <v>9</v>
      </c>
      <c r="Q6" s="15"/>
      <c r="R6" s="19" t="s">
        <v>9</v>
      </c>
    </row>
    <row r="7" spans="1:26" ht="13.9" customHeight="1">
      <c r="B7" s="14"/>
      <c r="C7" s="20" t="s">
        <v>10</v>
      </c>
      <c r="D7" s="16"/>
      <c r="E7" s="20" t="s">
        <v>11</v>
      </c>
      <c r="F7" s="16"/>
      <c r="G7" s="20" t="s">
        <v>12</v>
      </c>
      <c r="H7" s="16"/>
      <c r="I7" s="20" t="s">
        <v>13</v>
      </c>
      <c r="J7" s="16"/>
      <c r="K7" s="20" t="s">
        <v>12</v>
      </c>
      <c r="L7" s="16"/>
      <c r="M7" s="21"/>
      <c r="N7" s="22" t="s">
        <v>14</v>
      </c>
      <c r="O7" s="16"/>
      <c r="P7" s="23" t="s">
        <v>15</v>
      </c>
      <c r="Q7" s="16"/>
      <c r="R7" s="23" t="s">
        <v>15</v>
      </c>
    </row>
    <row r="8" spans="1:26" ht="5.25" customHeight="1">
      <c r="C8" s="24"/>
      <c r="D8" s="24"/>
      <c r="E8" s="24"/>
      <c r="F8" s="24"/>
      <c r="G8" s="24"/>
      <c r="H8" s="24"/>
      <c r="I8" s="24"/>
      <c r="J8" s="24"/>
      <c r="K8" s="24"/>
      <c r="L8" s="24"/>
      <c r="M8" s="25"/>
      <c r="N8" s="24"/>
      <c r="O8" s="24"/>
      <c r="P8" s="26"/>
      <c r="Q8" s="24"/>
    </row>
    <row r="9" spans="1:26" ht="15.75" customHeight="1">
      <c r="A9" s="27" t="s">
        <v>16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5"/>
      <c r="N9" s="24"/>
      <c r="O9" s="24"/>
      <c r="P9" s="26"/>
      <c r="Q9" s="24"/>
    </row>
    <row r="10" spans="1:26" ht="12.75" customHeight="1">
      <c r="A10" s="28" t="s">
        <v>17</v>
      </c>
      <c r="B10" s="29"/>
      <c r="C10" s="30">
        <f>[5]Update!D31</f>
        <v>127.5</v>
      </c>
      <c r="D10" s="30"/>
      <c r="E10" s="30">
        <f>G10-C10</f>
        <v>0</v>
      </c>
      <c r="F10" s="30"/>
      <c r="G10" s="30">
        <f>[5]Update!D12</f>
        <v>127.5</v>
      </c>
      <c r="H10" s="30"/>
      <c r="I10" s="30">
        <v>0</v>
      </c>
      <c r="J10" s="30"/>
      <c r="K10" s="30">
        <f>G10+I10</f>
        <v>127.5</v>
      </c>
      <c r="L10" s="30"/>
      <c r="M10" s="31"/>
      <c r="N10" s="30">
        <v>126.2</v>
      </c>
      <c r="O10" s="30"/>
      <c r="P10" s="32">
        <f>(G10-N10)/N10</f>
        <v>1.0301109350237696E-2</v>
      </c>
      <c r="Q10" s="30"/>
      <c r="R10" s="32">
        <f>(K10-N10)/N10</f>
        <v>1.0301109350237696E-2</v>
      </c>
    </row>
    <row r="11" spans="1:26" s="34" customFormat="1" ht="12.75" customHeight="1">
      <c r="A11" s="28" t="s">
        <v>18</v>
      </c>
      <c r="B11" s="29"/>
      <c r="C11" s="29">
        <f>[5]Update!F31</f>
        <v>125.9</v>
      </c>
      <c r="D11" s="29"/>
      <c r="E11" s="30">
        <f>G11-C11</f>
        <v>-14</v>
      </c>
      <c r="F11" s="29"/>
      <c r="G11" s="29">
        <f>[5]Update!F12</f>
        <v>111.9</v>
      </c>
      <c r="H11" s="29"/>
      <c r="I11" s="30">
        <v>5</v>
      </c>
      <c r="J11" s="29"/>
      <c r="K11" s="30">
        <f>G11+I11</f>
        <v>116.9</v>
      </c>
      <c r="L11" s="29"/>
      <c r="M11" s="33"/>
      <c r="N11" s="30">
        <v>91.3</v>
      </c>
      <c r="O11" s="29"/>
      <c r="P11" s="32">
        <f>(G11-N11)/N11</f>
        <v>0.22562979189485224</v>
      </c>
      <c r="Q11" s="29"/>
      <c r="R11" s="32">
        <f>(K11-N11)/N11</f>
        <v>0.28039430449069014</v>
      </c>
    </row>
    <row r="12" spans="1:26" s="34" customFormat="1" ht="12.75" customHeight="1">
      <c r="A12" s="11" t="s">
        <v>19</v>
      </c>
      <c r="B12" s="24"/>
      <c r="C12" s="35">
        <f>SUM(C10:C11)</f>
        <v>253.4</v>
      </c>
      <c r="D12" s="24"/>
      <c r="E12" s="35">
        <f>SUM(E10:E11)</f>
        <v>-14</v>
      </c>
      <c r="F12" s="24"/>
      <c r="G12" s="35">
        <f>SUM(G10:G11)</f>
        <v>239.4</v>
      </c>
      <c r="H12" s="24"/>
      <c r="I12" s="35">
        <f>SUM(I10:I11)</f>
        <v>5</v>
      </c>
      <c r="J12" s="24"/>
      <c r="K12" s="35">
        <f>SUM(K10:K11)</f>
        <v>244.4</v>
      </c>
      <c r="L12" s="24"/>
      <c r="M12" s="25"/>
      <c r="N12" s="35">
        <f>SUM(N10:N11)</f>
        <v>217.5</v>
      </c>
      <c r="O12" s="24"/>
      <c r="P12" s="32">
        <f>(G12-N12)/N12</f>
        <v>0.10068965517241382</v>
      </c>
      <c r="Q12" s="24"/>
      <c r="R12" s="32">
        <f>(K12-N12)/N12</f>
        <v>0.12367816091954026</v>
      </c>
    </row>
    <row r="13" spans="1:26" ht="8.1" customHeight="1">
      <c r="A13" s="28"/>
      <c r="B13" s="29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32"/>
      <c r="Q13" s="24"/>
      <c r="R13" s="32"/>
    </row>
    <row r="14" spans="1:26" ht="15.75" customHeight="1">
      <c r="A14" s="27" t="s">
        <v>20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5"/>
      <c r="N14" s="24"/>
      <c r="O14" s="24"/>
      <c r="P14" s="32"/>
      <c r="Q14" s="24"/>
      <c r="R14" s="32"/>
    </row>
    <row r="15" spans="1:26" ht="12.75" customHeight="1">
      <c r="A15" s="28" t="s">
        <v>21</v>
      </c>
      <c r="B15" s="29"/>
      <c r="C15" s="30">
        <f>[5]Update!H31</f>
        <v>143.4</v>
      </c>
      <c r="D15" s="30"/>
      <c r="E15" s="30">
        <f>G15-C15</f>
        <v>-10.5</v>
      </c>
      <c r="F15" s="30"/>
      <c r="G15" s="30">
        <f>[5]Update!H12</f>
        <v>132.9</v>
      </c>
      <c r="H15" s="30"/>
      <c r="I15" s="30">
        <v>35</v>
      </c>
      <c r="J15" s="30"/>
      <c r="K15" s="30">
        <f t="shared" ref="K15:K24" si="0">G15+I15</f>
        <v>167.9</v>
      </c>
      <c r="L15" s="30"/>
      <c r="M15" s="31"/>
      <c r="N15" s="29">
        <v>125</v>
      </c>
      <c r="O15" s="30"/>
      <c r="P15" s="32">
        <f>(G15-N15)/N15</f>
        <v>6.3200000000000048E-2</v>
      </c>
      <c r="Q15" s="30"/>
      <c r="R15" s="32">
        <f>(K15-N15)/N15</f>
        <v>0.34320000000000006</v>
      </c>
      <c r="S15" s="28"/>
    </row>
    <row r="16" spans="1:26" ht="12.75" customHeight="1">
      <c r="A16" s="28" t="s">
        <v>22</v>
      </c>
      <c r="B16" s="29"/>
      <c r="C16" s="30">
        <f>[5]Update!J31</f>
        <v>70.5</v>
      </c>
      <c r="D16" s="30"/>
      <c r="E16" s="30">
        <f>G16-C16</f>
        <v>0</v>
      </c>
      <c r="F16" s="30"/>
      <c r="G16" s="30">
        <f>[5]Update!J12</f>
        <v>70.5</v>
      </c>
      <c r="H16" s="30"/>
      <c r="I16" s="30">
        <v>15</v>
      </c>
      <c r="J16" s="30"/>
      <c r="K16" s="30">
        <f t="shared" si="0"/>
        <v>85.5</v>
      </c>
      <c r="L16" s="30"/>
      <c r="M16" s="31"/>
      <c r="N16" s="29">
        <v>65.900000000000006</v>
      </c>
      <c r="O16" s="30"/>
      <c r="P16" s="32">
        <f>(G16-N16)/N16</f>
        <v>6.9802731411229044E-2</v>
      </c>
      <c r="Q16" s="30"/>
      <c r="R16" s="32">
        <f>(K16-N16)/N16</f>
        <v>0.29742033383915012</v>
      </c>
      <c r="S16" s="28"/>
    </row>
    <row r="17" spans="1:19" ht="12.75" customHeight="1">
      <c r="A17" s="28" t="s">
        <v>23</v>
      </c>
      <c r="B17" s="29"/>
      <c r="C17" s="30">
        <f>[5]Update!L31</f>
        <v>-2.5</v>
      </c>
      <c r="D17" s="30"/>
      <c r="E17" s="30">
        <f>G17-C17</f>
        <v>-17.399999999999999</v>
      </c>
      <c r="F17" s="30"/>
      <c r="G17" s="30">
        <f>[5]Update!L12</f>
        <v>-19.899999999999999</v>
      </c>
      <c r="H17" s="30"/>
      <c r="I17" s="30">
        <v>0</v>
      </c>
      <c r="J17" s="30"/>
      <c r="K17" s="30">
        <f t="shared" si="0"/>
        <v>-19.899999999999999</v>
      </c>
      <c r="L17" s="30"/>
      <c r="M17" s="31"/>
      <c r="N17" s="29">
        <v>0</v>
      </c>
      <c r="O17" s="30"/>
      <c r="P17" s="32"/>
      <c r="Q17" s="30"/>
      <c r="R17" s="32"/>
      <c r="S17" s="28"/>
    </row>
    <row r="18" spans="1:19" ht="12.75" customHeight="1">
      <c r="A18" s="28" t="s">
        <v>24</v>
      </c>
      <c r="B18" s="29"/>
      <c r="C18" s="24"/>
      <c r="D18" s="24"/>
      <c r="E18" s="24"/>
      <c r="F18" s="24"/>
      <c r="G18" s="24"/>
      <c r="H18" s="24"/>
      <c r="I18" s="24"/>
      <c r="J18" s="24"/>
      <c r="K18" s="30">
        <f t="shared" si="0"/>
        <v>0</v>
      </c>
      <c r="L18" s="24"/>
      <c r="M18" s="25"/>
      <c r="N18" s="24"/>
      <c r="O18" s="24"/>
      <c r="P18" s="32"/>
      <c r="Q18" s="24"/>
      <c r="R18" s="32"/>
    </row>
    <row r="19" spans="1:19" ht="12.75" customHeight="1">
      <c r="A19" s="28" t="s">
        <v>25</v>
      </c>
      <c r="B19" s="29"/>
      <c r="C19" s="30">
        <f>[5]Update!N31</f>
        <v>36.200000000000003</v>
      </c>
      <c r="D19" s="30"/>
      <c r="E19" s="30">
        <f t="shared" ref="E19:E24" si="1">G19-C19</f>
        <v>0</v>
      </c>
      <c r="F19" s="30"/>
      <c r="G19" s="30">
        <f>[5]Update!N12</f>
        <v>36.200000000000003</v>
      </c>
      <c r="H19" s="30"/>
      <c r="I19" s="30">
        <v>0</v>
      </c>
      <c r="J19" s="30"/>
      <c r="K19" s="30">
        <f t="shared" si="0"/>
        <v>36.200000000000003</v>
      </c>
      <c r="L19" s="30"/>
      <c r="M19" s="31"/>
      <c r="N19" s="29">
        <v>38.5</v>
      </c>
      <c r="O19" s="30"/>
      <c r="P19" s="32">
        <f>(G19-N19)/N19</f>
        <v>-5.9740259740259663E-2</v>
      </c>
      <c r="Q19" s="30"/>
      <c r="R19" s="32"/>
    </row>
    <row r="20" spans="1:19" ht="12.75" customHeight="1">
      <c r="A20" s="28" t="s">
        <v>26</v>
      </c>
      <c r="B20" s="29"/>
      <c r="C20" s="30">
        <f>[5]Update!P31</f>
        <v>6.1</v>
      </c>
      <c r="D20" s="30"/>
      <c r="E20" s="30">
        <f t="shared" si="1"/>
        <v>2.6000000000000014</v>
      </c>
      <c r="F20" s="30"/>
      <c r="G20" s="30">
        <f>[5]Update!P12</f>
        <v>8.7000000000000011</v>
      </c>
      <c r="H20" s="30"/>
      <c r="I20" s="30">
        <v>0</v>
      </c>
      <c r="J20" s="30"/>
      <c r="K20" s="30">
        <f t="shared" si="0"/>
        <v>8.7000000000000011</v>
      </c>
      <c r="L20" s="30"/>
      <c r="M20" s="31"/>
      <c r="N20" s="29">
        <v>-3</v>
      </c>
      <c r="O20" s="30"/>
      <c r="P20" s="32">
        <f>(G20-N20)/N20</f>
        <v>-3.9000000000000004</v>
      </c>
      <c r="Q20" s="30"/>
      <c r="R20" s="32"/>
    </row>
    <row r="21" spans="1:19" ht="12.75" customHeight="1">
      <c r="A21" s="28" t="s">
        <v>27</v>
      </c>
      <c r="B21" s="29"/>
      <c r="C21" s="30">
        <f>[5]Update!R31</f>
        <v>7.3000000000000007</v>
      </c>
      <c r="D21" s="30"/>
      <c r="E21" s="30">
        <f t="shared" si="1"/>
        <v>15</v>
      </c>
      <c r="F21" s="30"/>
      <c r="G21" s="30">
        <f>[5]Update!R12</f>
        <v>22.3</v>
      </c>
      <c r="H21" s="30"/>
      <c r="I21" s="30">
        <v>0</v>
      </c>
      <c r="J21" s="30"/>
      <c r="K21" s="30">
        <f t="shared" si="0"/>
        <v>22.3</v>
      </c>
      <c r="L21" s="30"/>
      <c r="M21" s="31"/>
      <c r="N21" s="29">
        <v>14.1</v>
      </c>
      <c r="O21" s="30"/>
      <c r="P21" s="32">
        <f>(G21-N21)/N21</f>
        <v>0.58156028368794332</v>
      </c>
      <c r="Q21" s="30"/>
      <c r="R21" s="32"/>
    </row>
    <row r="22" spans="1:19" ht="12.75" customHeight="1">
      <c r="A22" s="28" t="s">
        <v>28</v>
      </c>
      <c r="B22" s="29"/>
      <c r="C22" s="30">
        <f>[5]Update!V31</f>
        <v>-4.38682370896991</v>
      </c>
      <c r="D22" s="30"/>
      <c r="E22" s="30">
        <f t="shared" si="1"/>
        <v>-1.3176291030090326E-2</v>
      </c>
      <c r="F22" s="30"/>
      <c r="G22" s="30">
        <f>[5]Update!V12</f>
        <v>-4.4000000000000004</v>
      </c>
      <c r="H22" s="30"/>
      <c r="I22" s="30">
        <v>0</v>
      </c>
      <c r="J22" s="30"/>
      <c r="K22" s="30">
        <f t="shared" si="0"/>
        <v>-4.4000000000000004</v>
      </c>
      <c r="L22" s="30"/>
      <c r="M22" s="31"/>
      <c r="N22" s="29">
        <v>20.100000000000001</v>
      </c>
      <c r="O22" s="30"/>
      <c r="P22" s="32">
        <f>(G22-N22)/N22</f>
        <v>-1.2189054726368158</v>
      </c>
      <c r="Q22" s="30"/>
      <c r="R22" s="32"/>
    </row>
    <row r="23" spans="1:19" ht="12.75" customHeight="1">
      <c r="A23" s="28" t="s">
        <v>29</v>
      </c>
      <c r="B23" s="29"/>
      <c r="C23" s="30">
        <f>[5]Update!X31</f>
        <v>4.2000000000000233</v>
      </c>
      <c r="D23" s="30"/>
      <c r="E23" s="30">
        <f t="shared" si="1"/>
        <v>0</v>
      </c>
      <c r="F23" s="30"/>
      <c r="G23" s="30">
        <f>[5]Update!X12</f>
        <v>4.2000000000000233</v>
      </c>
      <c r="H23" s="30"/>
      <c r="I23" s="30">
        <v>0</v>
      </c>
      <c r="J23" s="30"/>
      <c r="K23" s="30">
        <f t="shared" si="0"/>
        <v>4.2000000000000233</v>
      </c>
      <c r="L23" s="30"/>
      <c r="M23" s="31"/>
      <c r="N23" s="29">
        <v>34.799999999999997</v>
      </c>
      <c r="O23" s="30"/>
      <c r="P23" s="32">
        <f>(G23-N23)/N23</f>
        <v>-0.87931034482758552</v>
      </c>
      <c r="Q23" s="30"/>
      <c r="R23" s="32"/>
    </row>
    <row r="24" spans="1:19" ht="12.75" customHeight="1">
      <c r="A24" s="28" t="s">
        <v>30</v>
      </c>
      <c r="B24" s="29"/>
      <c r="C24" s="30">
        <f>[5]Update!T31+[5]Update!AB31</f>
        <v>-3.5000000000000004</v>
      </c>
      <c r="D24" s="30"/>
      <c r="E24" s="30">
        <f t="shared" si="1"/>
        <v>-2.9999999999999996</v>
      </c>
      <c r="F24" s="30"/>
      <c r="G24" s="30">
        <f>[5]Update!T12+[5]Update!AB12</f>
        <v>-6.5</v>
      </c>
      <c r="H24" s="30"/>
      <c r="I24" s="30">
        <v>0</v>
      </c>
      <c r="J24" s="30"/>
      <c r="K24" s="30">
        <f t="shared" si="0"/>
        <v>-6.5</v>
      </c>
      <c r="L24" s="30"/>
      <c r="M24" s="31"/>
      <c r="N24" s="29">
        <f>6.9</f>
        <v>6.9</v>
      </c>
      <c r="O24" s="30"/>
      <c r="P24" s="32"/>
      <c r="Q24" s="30"/>
      <c r="R24" s="32"/>
    </row>
    <row r="25" spans="1:19" ht="12.75" customHeight="1">
      <c r="A25" s="28"/>
      <c r="B25" s="29"/>
      <c r="C25" s="36">
        <f>SUM(C19:C24)</f>
        <v>45.913176291030119</v>
      </c>
      <c r="D25" s="30"/>
      <c r="E25" s="36">
        <f>SUM(E19:E24)</f>
        <v>14.586823708969909</v>
      </c>
      <c r="F25" s="30"/>
      <c r="G25" s="36">
        <f>SUM(G19:G24)</f>
        <v>60.500000000000028</v>
      </c>
      <c r="H25" s="30"/>
      <c r="I25" s="36">
        <f>SUM(I19:I24)</f>
        <v>0</v>
      </c>
      <c r="J25" s="30"/>
      <c r="K25" s="36">
        <f>SUM(K19:K24)</f>
        <v>60.500000000000028</v>
      </c>
      <c r="L25" s="30"/>
      <c r="M25" s="31"/>
      <c r="N25" s="37">
        <f>SUM(N19:N24)</f>
        <v>111.4</v>
      </c>
      <c r="O25" s="30"/>
      <c r="P25" s="32">
        <f>(G25-N25)/N25</f>
        <v>-0.45691202872531395</v>
      </c>
      <c r="Q25" s="30"/>
      <c r="R25" s="32">
        <f>(K25-N25)/N25</f>
        <v>-0.45691202872531395</v>
      </c>
    </row>
    <row r="26" spans="1:19" ht="12.75" customHeight="1">
      <c r="A26" s="28" t="s">
        <v>31</v>
      </c>
      <c r="B26" s="29"/>
      <c r="C26" s="30">
        <f>[5]Update!AD31</f>
        <v>30.65</v>
      </c>
      <c r="D26" s="30"/>
      <c r="E26" s="30">
        <f>G26-C26</f>
        <v>49.949999999999996</v>
      </c>
      <c r="F26" s="30"/>
      <c r="G26" s="30">
        <f>[5]Update!AD12</f>
        <v>80.599999999999994</v>
      </c>
      <c r="H26" s="30"/>
      <c r="I26" s="30">
        <v>10</v>
      </c>
      <c r="J26" s="30"/>
      <c r="K26" s="30">
        <f>G26+I26</f>
        <v>90.6</v>
      </c>
      <c r="L26" s="30"/>
      <c r="M26" s="31"/>
      <c r="N26" s="30">
        <f>49-7.1</f>
        <v>41.9</v>
      </c>
      <c r="O26" s="30"/>
      <c r="P26" s="32">
        <f>(G26-N26)/N26</f>
        <v>0.92362768496420045</v>
      </c>
      <c r="Q26" s="30"/>
      <c r="R26" s="32">
        <f>(K26-N26)/N26</f>
        <v>1.162291169451074</v>
      </c>
      <c r="S26" s="28"/>
    </row>
    <row r="27" spans="1:19" ht="12.75" customHeight="1">
      <c r="A27" s="38" t="s">
        <v>32</v>
      </c>
      <c r="B27" s="30"/>
      <c r="C27" s="30">
        <f>[5]Update!AF31</f>
        <v>3.700000000000002</v>
      </c>
      <c r="D27" s="30"/>
      <c r="E27" s="30">
        <f>G27-C27</f>
        <v>0.79999999999999805</v>
      </c>
      <c r="F27" s="30"/>
      <c r="G27" s="30">
        <f>[5]Update!AF12</f>
        <v>4.5</v>
      </c>
      <c r="H27" s="30"/>
      <c r="I27" s="30">
        <v>0</v>
      </c>
      <c r="J27" s="30"/>
      <c r="K27" s="30">
        <f>G27+I27</f>
        <v>4.5</v>
      </c>
      <c r="L27" s="30"/>
      <c r="M27" s="31"/>
      <c r="N27" s="30">
        <v>0</v>
      </c>
      <c r="O27" s="30"/>
      <c r="P27" s="32"/>
      <c r="Q27" s="30"/>
      <c r="R27" s="32"/>
      <c r="S27" s="39"/>
    </row>
    <row r="28" spans="1:19" ht="12.75" customHeight="1">
      <c r="A28" s="28" t="s">
        <v>33</v>
      </c>
      <c r="B28" s="30"/>
      <c r="C28" s="30">
        <v>0</v>
      </c>
      <c r="D28" s="30"/>
      <c r="E28" s="30">
        <f>G28-C28</f>
        <v>0</v>
      </c>
      <c r="F28" s="30"/>
      <c r="G28" s="30">
        <v>0</v>
      </c>
      <c r="H28" s="30"/>
      <c r="I28" s="30">
        <v>0</v>
      </c>
      <c r="J28" s="30"/>
      <c r="K28" s="30">
        <f>G28+I28</f>
        <v>0</v>
      </c>
      <c r="L28" s="30"/>
      <c r="M28" s="31"/>
      <c r="N28" s="30">
        <v>14.6</v>
      </c>
      <c r="O28" s="30"/>
      <c r="P28" s="32"/>
      <c r="Q28" s="30"/>
      <c r="R28" s="32"/>
      <c r="S28" s="39"/>
    </row>
    <row r="29" spans="1:19" ht="12.75" customHeight="1">
      <c r="A29" s="28" t="s">
        <v>34</v>
      </c>
      <c r="B29" s="30"/>
      <c r="C29" s="30">
        <v>-4.7</v>
      </c>
      <c r="D29" s="30"/>
      <c r="E29" s="30">
        <f>G29-C29</f>
        <v>-3.3</v>
      </c>
      <c r="F29" s="30"/>
      <c r="G29" s="30">
        <v>-8</v>
      </c>
      <c r="H29" s="30"/>
      <c r="I29" s="30">
        <v>0</v>
      </c>
      <c r="J29" s="30"/>
      <c r="K29" s="30">
        <f>G29+I29</f>
        <v>-8</v>
      </c>
      <c r="L29" s="30"/>
      <c r="M29" s="31"/>
      <c r="N29" s="30">
        <v>0</v>
      </c>
      <c r="O29" s="30"/>
      <c r="P29" s="32"/>
      <c r="Q29" s="30"/>
      <c r="R29" s="32"/>
      <c r="S29" s="39"/>
    </row>
    <row r="30" spans="1:19" ht="12.75" customHeight="1">
      <c r="A30" s="28" t="s">
        <v>35</v>
      </c>
      <c r="B30" s="29"/>
      <c r="C30" s="30">
        <v>0</v>
      </c>
      <c r="D30" s="30"/>
      <c r="E30" s="30">
        <f>G30-C30</f>
        <v>0</v>
      </c>
      <c r="F30" s="30"/>
      <c r="G30" s="30">
        <f>[5]Update!BH12</f>
        <v>0</v>
      </c>
      <c r="H30" s="30"/>
      <c r="I30" s="30">
        <f>-I55</f>
        <v>18</v>
      </c>
      <c r="J30" s="30"/>
      <c r="K30" s="30">
        <f>G30+I30</f>
        <v>18</v>
      </c>
      <c r="L30" s="30"/>
      <c r="M30" s="31"/>
      <c r="N30" s="30">
        <f>-46.1+7.1</f>
        <v>-39</v>
      </c>
      <c r="O30" s="30"/>
      <c r="P30" s="32"/>
      <c r="Q30" s="30"/>
      <c r="R30" s="32"/>
      <c r="S30" s="28"/>
    </row>
    <row r="31" spans="1:19" s="27" customFormat="1" ht="12.75" customHeight="1">
      <c r="A31" s="11" t="s">
        <v>36</v>
      </c>
      <c r="B31" s="24"/>
      <c r="C31" s="35">
        <f>SUM(C15:C30)-C25</f>
        <v>286.96317629103009</v>
      </c>
      <c r="D31" s="24"/>
      <c r="E31" s="35">
        <f>SUM(E15:E30)-E25</f>
        <v>34.136823708969906</v>
      </c>
      <c r="F31" s="24"/>
      <c r="G31" s="35">
        <f>SUM(G15:G30)-G25</f>
        <v>321.10000000000002</v>
      </c>
      <c r="H31" s="24"/>
      <c r="I31" s="35">
        <f>SUM(I15:I30)-I25</f>
        <v>78</v>
      </c>
      <c r="J31" s="24"/>
      <c r="K31" s="35">
        <f>SUM(K15:K30)-K25</f>
        <v>399.10000000000014</v>
      </c>
      <c r="L31" s="24"/>
      <c r="M31" s="25"/>
      <c r="N31" s="35">
        <f>SUM(N15:N30)-N25</f>
        <v>319.80000000000007</v>
      </c>
      <c r="O31" s="24"/>
      <c r="P31" s="32">
        <f>(G31-N31)/N31</f>
        <v>4.0650406504063614E-3</v>
      </c>
      <c r="Q31" s="24"/>
      <c r="R31" s="32">
        <f>(K31-N31)/N31</f>
        <v>0.2479674796747969</v>
      </c>
    </row>
    <row r="32" spans="1:19" s="27" customFormat="1" ht="8.1" customHeight="1">
      <c r="A32" s="1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5"/>
      <c r="N32" s="24"/>
      <c r="O32" s="24"/>
      <c r="P32" s="40"/>
      <c r="Q32" s="24"/>
      <c r="R32" s="40"/>
    </row>
    <row r="33" spans="1:26" s="27" customFormat="1" ht="12.75" customHeight="1">
      <c r="A33" s="27" t="s">
        <v>37</v>
      </c>
      <c r="B33" s="29"/>
      <c r="C33" s="30">
        <f>[5]Update!AJ31</f>
        <v>9.6999999999999709</v>
      </c>
      <c r="D33" s="30"/>
      <c r="E33" s="30">
        <f>G33-C33</f>
        <v>0.30000000000002913</v>
      </c>
      <c r="F33" s="30"/>
      <c r="G33" s="30">
        <f>[5]Update!AJ12</f>
        <v>10</v>
      </c>
      <c r="H33" s="30"/>
      <c r="I33" s="30">
        <v>0</v>
      </c>
      <c r="J33" s="30"/>
      <c r="K33" s="30">
        <f>G33+I33</f>
        <v>10</v>
      </c>
      <c r="L33" s="30"/>
      <c r="M33" s="31"/>
      <c r="N33" s="30">
        <v>-32.799999999999997</v>
      </c>
      <c r="O33" s="30"/>
      <c r="P33" s="40"/>
      <c r="Q33" s="30"/>
      <c r="R33" s="40"/>
      <c r="S33" s="39"/>
      <c r="T33" s="5"/>
    </row>
    <row r="34" spans="1:26" s="27" customFormat="1" ht="12.75" customHeight="1">
      <c r="A34" s="28" t="s">
        <v>38</v>
      </c>
      <c r="B34" s="29"/>
      <c r="C34" s="29">
        <f>[5]Update!AL31</f>
        <v>-4.5289999999998151E-2</v>
      </c>
      <c r="D34" s="29"/>
      <c r="E34" s="30">
        <f>G34-C34</f>
        <v>0</v>
      </c>
      <c r="F34" s="29"/>
      <c r="G34" s="29">
        <f>[5]Update!AL12</f>
        <v>-4.5289999999998151E-2</v>
      </c>
      <c r="H34" s="29"/>
      <c r="I34" s="30">
        <v>0</v>
      </c>
      <c r="J34" s="29"/>
      <c r="K34" s="30">
        <f>G34+I34</f>
        <v>-4.5289999999998151E-2</v>
      </c>
      <c r="L34" s="29"/>
      <c r="M34" s="33"/>
      <c r="N34" s="29">
        <v>1.7</v>
      </c>
      <c r="O34" s="29"/>
      <c r="P34" s="40"/>
      <c r="Q34" s="29"/>
      <c r="R34" s="40"/>
      <c r="S34" s="5"/>
      <c r="T34" s="5"/>
    </row>
    <row r="35" spans="1:26" s="27" customFormat="1" ht="12.75" customHeight="1">
      <c r="A35" s="28" t="s">
        <v>39</v>
      </c>
      <c r="B35" s="29"/>
      <c r="C35" s="29">
        <f>-C29</f>
        <v>4.7</v>
      </c>
      <c r="D35" s="29"/>
      <c r="E35" s="30">
        <f>G35-C35</f>
        <v>3.3</v>
      </c>
      <c r="F35" s="29"/>
      <c r="G35" s="29">
        <f>-G29</f>
        <v>8</v>
      </c>
      <c r="H35" s="29"/>
      <c r="I35" s="30">
        <v>0</v>
      </c>
      <c r="J35" s="29"/>
      <c r="K35" s="30">
        <f>G35+I35</f>
        <v>8</v>
      </c>
      <c r="L35" s="29"/>
      <c r="M35" s="33"/>
      <c r="N35" s="29">
        <f>-N29</f>
        <v>0</v>
      </c>
      <c r="O35" s="29"/>
      <c r="P35" s="40"/>
      <c r="Q35" s="29"/>
      <c r="R35" s="40"/>
      <c r="S35" s="5"/>
      <c r="T35" s="5"/>
    </row>
    <row r="36" spans="1:26" s="27" customFormat="1" ht="12.75" customHeight="1">
      <c r="A36" s="27" t="s">
        <v>40</v>
      </c>
      <c r="B36" s="24"/>
      <c r="C36" s="35">
        <f>SUM(C33:C35)</f>
        <v>14.354709999999972</v>
      </c>
      <c r="D36" s="24"/>
      <c r="E36" s="35">
        <f>SUM(E33:E35)</f>
        <v>3.600000000000029</v>
      </c>
      <c r="F36" s="24"/>
      <c r="G36" s="35">
        <f>SUM(G33:G35)</f>
        <v>17.954710000000002</v>
      </c>
      <c r="H36" s="24"/>
      <c r="I36" s="35">
        <f>SUM(I33:I35)</f>
        <v>0</v>
      </c>
      <c r="J36" s="24"/>
      <c r="K36" s="35">
        <f>SUM(K33:K35)</f>
        <v>17.954710000000002</v>
      </c>
      <c r="L36" s="24"/>
      <c r="M36" s="25"/>
      <c r="N36" s="35">
        <f>SUM(N33:N35)</f>
        <v>-31.099999999999998</v>
      </c>
      <c r="O36" s="24"/>
      <c r="P36" s="32">
        <f>-(G36-N36)/N36</f>
        <v>1.5773218649517686</v>
      </c>
      <c r="Q36" s="24"/>
      <c r="R36" s="32">
        <f>-(K36-N36)/N36</f>
        <v>1.5773218649517686</v>
      </c>
      <c r="S36" s="34"/>
      <c r="T36" s="34"/>
      <c r="U36" s="34"/>
    </row>
    <row r="37" spans="1:26" s="27" customFormat="1" ht="8.1" customHeight="1">
      <c r="A37" s="1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/>
      <c r="N37" s="24"/>
      <c r="O37" s="24"/>
      <c r="P37" s="40"/>
      <c r="Q37" s="24"/>
      <c r="R37" s="40"/>
    </row>
    <row r="38" spans="1:26" s="27" customFormat="1" ht="12.75" customHeight="1">
      <c r="A38" s="27" t="s">
        <v>41</v>
      </c>
      <c r="B38" s="24"/>
      <c r="C38" s="41">
        <f>ROUND([5]Update!AN31,1)</f>
        <v>-11</v>
      </c>
      <c r="D38" s="41"/>
      <c r="E38" s="30">
        <f>G38-C38</f>
        <v>5</v>
      </c>
      <c r="F38" s="41"/>
      <c r="G38" s="41">
        <f>[5]Update!AN12</f>
        <v>-6</v>
      </c>
      <c r="H38" s="41"/>
      <c r="I38" s="30">
        <v>6</v>
      </c>
      <c r="J38" s="41"/>
      <c r="K38" s="30">
        <f>G38+I38</f>
        <v>0</v>
      </c>
      <c r="L38" s="41"/>
      <c r="M38" s="42"/>
      <c r="N38" s="41">
        <v>0</v>
      </c>
      <c r="O38" s="41"/>
      <c r="P38" s="32"/>
      <c r="Q38" s="41"/>
      <c r="R38" s="32"/>
      <c r="T38" s="34"/>
      <c r="U38" s="34"/>
      <c r="V38" s="34"/>
      <c r="W38" s="34"/>
      <c r="X38" s="34"/>
      <c r="Y38" s="5"/>
      <c r="Z38" s="5"/>
    </row>
    <row r="39" spans="1:26" s="27" customFormat="1" ht="8.1" customHeight="1">
      <c r="A39" s="1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5"/>
      <c r="N39" s="24"/>
      <c r="O39" s="24"/>
      <c r="P39" s="40"/>
      <c r="Q39" s="24"/>
      <c r="R39" s="40"/>
    </row>
    <row r="40" spans="1:26" s="27" customFormat="1" ht="12.75" hidden="1" customHeight="1">
      <c r="A40" s="27" t="s">
        <v>42</v>
      </c>
      <c r="B40" s="2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43"/>
      <c r="N40" s="44"/>
      <c r="O40" s="14"/>
      <c r="P40" s="40"/>
      <c r="Q40" s="14"/>
      <c r="R40" s="40"/>
      <c r="S40" s="5"/>
      <c r="T40" s="5"/>
      <c r="U40" s="5"/>
      <c r="V40" s="5"/>
      <c r="W40" s="5"/>
      <c r="X40" s="5"/>
      <c r="Y40" s="5"/>
    </row>
    <row r="41" spans="1:26" s="27" customFormat="1" ht="12.75" hidden="1" customHeight="1">
      <c r="A41" s="28" t="s">
        <v>43</v>
      </c>
      <c r="B41" s="29"/>
      <c r="C41" s="29">
        <v>0</v>
      </c>
      <c r="D41" s="29"/>
      <c r="E41" s="29"/>
      <c r="F41" s="29"/>
      <c r="G41" s="29">
        <v>0</v>
      </c>
      <c r="H41" s="29"/>
      <c r="I41" s="29"/>
      <c r="J41" s="29"/>
      <c r="K41" s="29"/>
      <c r="L41" s="29"/>
      <c r="M41" s="33"/>
      <c r="N41" s="29" t="e">
        <f>#REF!</f>
        <v>#REF!</v>
      </c>
      <c r="O41" s="29"/>
      <c r="P41" s="40"/>
      <c r="Q41" s="29"/>
      <c r="R41" s="40"/>
      <c r="S41" s="5"/>
      <c r="T41" s="5"/>
      <c r="U41" s="5"/>
      <c r="V41" s="5"/>
      <c r="W41" s="5"/>
      <c r="X41" s="5"/>
      <c r="Y41" s="5"/>
    </row>
    <row r="42" spans="1:26" s="27" customFormat="1" ht="12.75" hidden="1" customHeight="1">
      <c r="A42" s="28" t="s">
        <v>44</v>
      </c>
      <c r="B42" s="29"/>
      <c r="C42" s="29">
        <v>0</v>
      </c>
      <c r="D42" s="29"/>
      <c r="E42" s="29"/>
      <c r="F42" s="29"/>
      <c r="G42" s="29">
        <v>0</v>
      </c>
      <c r="H42" s="29"/>
      <c r="I42" s="29"/>
      <c r="J42" s="29"/>
      <c r="K42" s="29"/>
      <c r="L42" s="29"/>
      <c r="M42" s="33"/>
      <c r="N42" s="29" t="e">
        <f>#REF!</f>
        <v>#REF!</v>
      </c>
      <c r="O42" s="29"/>
      <c r="P42" s="40"/>
      <c r="Q42" s="29"/>
      <c r="R42" s="40"/>
      <c r="S42" s="14"/>
      <c r="T42" s="5"/>
      <c r="U42" s="5"/>
      <c r="V42" s="5"/>
      <c r="W42" s="5"/>
      <c r="X42" s="5"/>
      <c r="Y42" s="5"/>
    </row>
    <row r="43" spans="1:26" s="27" customFormat="1" ht="12.75" customHeight="1">
      <c r="A43" s="11" t="s">
        <v>42</v>
      </c>
      <c r="B43" s="24"/>
      <c r="C43" s="24">
        <v>0</v>
      </c>
      <c r="D43" s="24"/>
      <c r="E43" s="30">
        <v>0</v>
      </c>
      <c r="F43" s="24"/>
      <c r="G43" s="24">
        <v>0</v>
      </c>
      <c r="H43" s="24"/>
      <c r="I43" s="30">
        <v>0</v>
      </c>
      <c r="J43" s="24"/>
      <c r="K43" s="30">
        <f>G43+I43</f>
        <v>0</v>
      </c>
      <c r="L43" s="24"/>
      <c r="M43" s="25"/>
      <c r="N43" s="24">
        <v>12.2</v>
      </c>
      <c r="O43" s="24"/>
      <c r="P43" s="40"/>
      <c r="Q43" s="24"/>
      <c r="R43" s="40"/>
      <c r="S43" s="34"/>
      <c r="T43" s="34"/>
      <c r="U43" s="34"/>
      <c r="V43" s="34"/>
      <c r="W43" s="34"/>
      <c r="X43" s="34"/>
      <c r="Y43" s="34"/>
    </row>
    <row r="44" spans="1:26" s="27" customFormat="1" ht="8.1" customHeight="1">
      <c r="A44" s="28"/>
      <c r="B44" s="29"/>
      <c r="C44" s="45"/>
      <c r="D44" s="45"/>
      <c r="E44" s="45"/>
      <c r="F44" s="45"/>
      <c r="G44" s="45"/>
      <c r="H44" s="45"/>
      <c r="I44" s="29"/>
      <c r="J44" s="45"/>
      <c r="K44" s="45"/>
      <c r="L44" s="45"/>
      <c r="M44" s="46"/>
      <c r="N44" s="45"/>
      <c r="O44" s="45"/>
      <c r="P44" s="40"/>
      <c r="Q44" s="45"/>
      <c r="R44" s="40"/>
      <c r="S44" s="5"/>
      <c r="T44" s="5"/>
      <c r="U44" s="5"/>
      <c r="V44" s="5"/>
      <c r="W44" s="5"/>
      <c r="X44" s="5"/>
      <c r="Y44" s="5"/>
    </row>
    <row r="45" spans="1:26" ht="15.75" customHeight="1">
      <c r="A45" s="27" t="s">
        <v>45</v>
      </c>
      <c r="B45" s="24"/>
      <c r="C45" s="45"/>
      <c r="D45" s="45"/>
      <c r="E45" s="45"/>
      <c r="F45" s="45"/>
      <c r="G45" s="45"/>
      <c r="H45" s="45"/>
      <c r="I45" s="29"/>
      <c r="J45" s="45"/>
      <c r="K45" s="45"/>
      <c r="L45" s="45"/>
      <c r="M45" s="46"/>
      <c r="N45" s="45"/>
      <c r="O45" s="45"/>
      <c r="P45" s="32"/>
      <c r="Q45" s="45"/>
      <c r="R45" s="32"/>
    </row>
    <row r="46" spans="1:26" ht="15.75" customHeight="1">
      <c r="A46" s="28" t="s">
        <v>46</v>
      </c>
      <c r="B46" s="24"/>
      <c r="C46" s="29">
        <f>[5]Update!AP31</f>
        <v>-4.8</v>
      </c>
      <c r="D46" s="29"/>
      <c r="E46" s="30">
        <f t="shared" ref="E46:E55" si="2">G46-C46</f>
        <v>-6.2</v>
      </c>
      <c r="F46" s="29"/>
      <c r="G46" s="29">
        <f>[5]Update!AP12</f>
        <v>-11</v>
      </c>
      <c r="H46" s="29"/>
      <c r="I46" s="30">
        <v>0</v>
      </c>
      <c r="J46" s="29"/>
      <c r="K46" s="30">
        <f t="shared" ref="K46:K55" si="3">G46+I46</f>
        <v>-11</v>
      </c>
      <c r="L46" s="29"/>
      <c r="M46" s="33"/>
      <c r="N46" s="29">
        <v>2</v>
      </c>
      <c r="O46" s="29"/>
      <c r="P46" s="32"/>
      <c r="Q46" s="29"/>
      <c r="R46" s="32"/>
    </row>
    <row r="47" spans="1:26" ht="12.75" customHeight="1">
      <c r="A47" s="28" t="s">
        <v>47</v>
      </c>
      <c r="B47" s="29"/>
      <c r="C47" s="30">
        <f>[5]Update!AR31</f>
        <v>15.600000000000044</v>
      </c>
      <c r="D47" s="30"/>
      <c r="E47" s="30">
        <f t="shared" si="2"/>
        <v>-4.4408920985006262E-14</v>
      </c>
      <c r="F47" s="30"/>
      <c r="G47" s="30">
        <f>[5]Update!AR12</f>
        <v>15.6</v>
      </c>
      <c r="H47" s="30"/>
      <c r="I47" s="30">
        <v>-3.3</v>
      </c>
      <c r="J47" s="30"/>
      <c r="K47" s="30">
        <f t="shared" si="3"/>
        <v>12.3</v>
      </c>
      <c r="L47" s="30"/>
      <c r="M47" s="31"/>
      <c r="N47" s="29">
        <v>13.4</v>
      </c>
      <c r="O47" s="30"/>
      <c r="P47" s="32"/>
      <c r="Q47" s="30"/>
      <c r="R47" s="32"/>
    </row>
    <row r="48" spans="1:26" ht="12.75" customHeight="1">
      <c r="A48" s="28" t="s">
        <v>48</v>
      </c>
      <c r="B48" s="29"/>
      <c r="C48" s="29">
        <f>[5]Update!AT31</f>
        <v>-1.5169000000000048</v>
      </c>
      <c r="D48" s="29"/>
      <c r="E48" s="30">
        <f t="shared" si="2"/>
        <v>0.41690000000000471</v>
      </c>
      <c r="F48" s="29"/>
      <c r="G48" s="29">
        <f>[5]Update!AT12</f>
        <v>-1.1000000000000001</v>
      </c>
      <c r="H48" s="29"/>
      <c r="I48" s="30">
        <v>1.8</v>
      </c>
      <c r="J48" s="29"/>
      <c r="K48" s="30">
        <f t="shared" si="3"/>
        <v>0.7</v>
      </c>
      <c r="L48" s="29"/>
      <c r="M48" s="33"/>
      <c r="N48" s="29">
        <v>1.2</v>
      </c>
      <c r="O48" s="29"/>
      <c r="P48" s="32"/>
      <c r="Q48" s="29"/>
      <c r="R48" s="32"/>
    </row>
    <row r="49" spans="1:177" ht="12.75" customHeight="1">
      <c r="A49" s="28" t="s">
        <v>49</v>
      </c>
      <c r="B49" s="29"/>
      <c r="C49" s="29">
        <f>[5]Update!AV31</f>
        <v>-5.5</v>
      </c>
      <c r="D49" s="29"/>
      <c r="E49" s="30">
        <f t="shared" si="2"/>
        <v>2.1</v>
      </c>
      <c r="F49" s="29"/>
      <c r="G49" s="29">
        <f>[5]Update!AV12</f>
        <v>-3.4</v>
      </c>
      <c r="H49" s="29"/>
      <c r="I49" s="30">
        <v>0</v>
      </c>
      <c r="J49" s="29"/>
      <c r="K49" s="30">
        <f t="shared" si="3"/>
        <v>-3.4</v>
      </c>
      <c r="L49" s="29"/>
      <c r="M49" s="33"/>
      <c r="N49" s="29">
        <v>-10.6</v>
      </c>
      <c r="O49" s="29"/>
      <c r="P49" s="32"/>
      <c r="Q49" s="29"/>
      <c r="R49" s="32"/>
    </row>
    <row r="50" spans="1:177" ht="12.75" customHeight="1">
      <c r="A50" s="28" t="s">
        <v>50</v>
      </c>
      <c r="B50" s="29"/>
      <c r="C50" s="29">
        <f>[5]Update!AX31</f>
        <v>-1.3631120000000001</v>
      </c>
      <c r="D50" s="29"/>
      <c r="E50" s="30">
        <f t="shared" si="2"/>
        <v>0</v>
      </c>
      <c r="F50" s="29"/>
      <c r="G50" s="29">
        <f>[5]Update!AX12</f>
        <v>-1.3631120000000001</v>
      </c>
      <c r="H50" s="29"/>
      <c r="I50" s="30">
        <v>0</v>
      </c>
      <c r="J50" s="29"/>
      <c r="K50" s="30">
        <f t="shared" si="3"/>
        <v>-1.3631120000000001</v>
      </c>
      <c r="L50" s="29"/>
      <c r="M50" s="33"/>
      <c r="N50" s="29">
        <v>0</v>
      </c>
      <c r="O50" s="29"/>
      <c r="P50" s="32"/>
      <c r="Q50" s="29"/>
      <c r="R50" s="32"/>
    </row>
    <row r="51" spans="1:177" ht="12.75" customHeight="1">
      <c r="A51" s="28" t="s">
        <v>51</v>
      </c>
      <c r="B51" s="29"/>
      <c r="C51" s="29">
        <f>[5]Update!BB31-C52</f>
        <v>-25.79999999999999</v>
      </c>
      <c r="D51" s="29"/>
      <c r="E51" s="30">
        <f t="shared" si="2"/>
        <v>-7.1000000000000085</v>
      </c>
      <c r="F51" s="29"/>
      <c r="G51" s="29">
        <f>[5]Update!BB12-G52+[5]Update!BH12</f>
        <v>-32.9</v>
      </c>
      <c r="H51" s="29"/>
      <c r="I51" s="30">
        <v>18</v>
      </c>
      <c r="J51" s="29"/>
      <c r="K51" s="30">
        <f t="shared" si="3"/>
        <v>-14.899999999999999</v>
      </c>
      <c r="L51" s="29"/>
      <c r="M51" s="33"/>
      <c r="N51" s="29">
        <f>-29.1+7.1</f>
        <v>-22</v>
      </c>
      <c r="O51" s="29"/>
      <c r="P51" s="32"/>
      <c r="Q51" s="29"/>
      <c r="R51" s="32"/>
    </row>
    <row r="52" spans="1:177" ht="12.75" customHeight="1">
      <c r="A52" s="28" t="s">
        <v>52</v>
      </c>
      <c r="B52" s="29"/>
      <c r="C52" s="29">
        <v>-18.100000000000001</v>
      </c>
      <c r="D52" s="29"/>
      <c r="E52" s="30">
        <f t="shared" si="2"/>
        <v>0</v>
      </c>
      <c r="F52" s="29"/>
      <c r="G52" s="29">
        <v>-18.100000000000001</v>
      </c>
      <c r="H52" s="29"/>
      <c r="I52" s="30">
        <v>0</v>
      </c>
      <c r="J52" s="29"/>
      <c r="K52" s="30">
        <f t="shared" si="3"/>
        <v>-18.100000000000001</v>
      </c>
      <c r="L52" s="29"/>
      <c r="M52" s="33"/>
      <c r="N52" s="29">
        <v>-8.6999999999999993</v>
      </c>
      <c r="O52" s="29"/>
      <c r="P52" s="32"/>
      <c r="Q52" s="29"/>
      <c r="R52" s="32"/>
    </row>
    <row r="53" spans="1:177" ht="12.75" hidden="1" customHeight="1">
      <c r="A53" s="28" t="s">
        <v>53</v>
      </c>
      <c r="B53" s="29"/>
      <c r="C53" s="29">
        <v>0</v>
      </c>
      <c r="D53" s="29"/>
      <c r="E53" s="30">
        <f t="shared" si="2"/>
        <v>0</v>
      </c>
      <c r="F53" s="29"/>
      <c r="G53" s="29">
        <v>0</v>
      </c>
      <c r="H53" s="29"/>
      <c r="I53" s="30">
        <v>0</v>
      </c>
      <c r="J53" s="29"/>
      <c r="K53" s="30">
        <f t="shared" si="3"/>
        <v>0</v>
      </c>
      <c r="L53" s="29"/>
      <c r="M53" s="33"/>
      <c r="N53" s="29">
        <v>0</v>
      </c>
      <c r="O53" s="29"/>
      <c r="P53" s="32"/>
      <c r="Q53" s="29"/>
      <c r="R53" s="32"/>
    </row>
    <row r="54" spans="1:177" ht="12.75" customHeight="1">
      <c r="A54" s="28" t="s">
        <v>54</v>
      </c>
      <c r="B54" s="29"/>
      <c r="C54" s="29">
        <f>[5]Update!AH31</f>
        <v>15</v>
      </c>
      <c r="D54" s="29"/>
      <c r="E54" s="30">
        <f t="shared" si="2"/>
        <v>-6.4</v>
      </c>
      <c r="F54" s="29"/>
      <c r="G54" s="29">
        <f>[5]Update!AH12</f>
        <v>8.6</v>
      </c>
      <c r="H54" s="29"/>
      <c r="I54" s="30">
        <v>0</v>
      </c>
      <c r="J54" s="29"/>
      <c r="K54" s="30">
        <f t="shared" si="3"/>
        <v>8.6</v>
      </c>
      <c r="L54" s="29"/>
      <c r="M54" s="33"/>
      <c r="N54" s="29">
        <v>0</v>
      </c>
      <c r="O54" s="29"/>
      <c r="P54" s="32"/>
      <c r="Q54" s="29"/>
      <c r="R54" s="32"/>
    </row>
    <row r="55" spans="1:177" ht="12.75" customHeight="1">
      <c r="A55" s="28" t="s">
        <v>55</v>
      </c>
      <c r="B55" s="29"/>
      <c r="C55" s="47">
        <f>-C30</f>
        <v>0</v>
      </c>
      <c r="D55" s="29"/>
      <c r="E55" s="30">
        <f t="shared" si="2"/>
        <v>0</v>
      </c>
      <c r="F55" s="29"/>
      <c r="G55" s="47">
        <f>-G30</f>
        <v>0</v>
      </c>
      <c r="H55" s="29"/>
      <c r="I55" s="30">
        <v>-18</v>
      </c>
      <c r="J55" s="29"/>
      <c r="K55" s="30">
        <f t="shared" si="3"/>
        <v>-18</v>
      </c>
      <c r="L55" s="29"/>
      <c r="M55" s="33"/>
      <c r="N55" s="47">
        <f>-N30</f>
        <v>39</v>
      </c>
      <c r="O55" s="29"/>
      <c r="P55" s="32"/>
      <c r="Q55" s="29"/>
      <c r="R55" s="32"/>
    </row>
    <row r="56" spans="1:177" s="34" customFormat="1" ht="12.75" customHeight="1">
      <c r="A56" s="11" t="s">
        <v>56</v>
      </c>
      <c r="B56" s="24"/>
      <c r="C56" s="24">
        <f>SUM(C46:C55)</f>
        <v>-26.480011999999952</v>
      </c>
      <c r="D56" s="24"/>
      <c r="E56" s="48">
        <f>SUM(E46:E55)</f>
        <v>-17.183100000000049</v>
      </c>
      <c r="F56" s="24"/>
      <c r="G56" s="24">
        <f>SUM(G46:G55)</f>
        <v>-43.663111999999998</v>
      </c>
      <c r="H56" s="24"/>
      <c r="I56" s="48">
        <f>SUM(I46:I55)</f>
        <v>-1.5</v>
      </c>
      <c r="J56" s="24"/>
      <c r="K56" s="48">
        <f>SUM(K46:K55)</f>
        <v>-45.163111999999998</v>
      </c>
      <c r="L56" s="24"/>
      <c r="M56" s="25"/>
      <c r="N56" s="24">
        <f>SUM(N46:N55)</f>
        <v>14.300000000000004</v>
      </c>
      <c r="O56" s="24"/>
      <c r="P56" s="40"/>
      <c r="Q56" s="24"/>
      <c r="R56" s="40"/>
    </row>
    <row r="57" spans="1:177" s="34" customFormat="1" ht="8.1" customHeight="1">
      <c r="A57" s="4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5"/>
      <c r="N57" s="24"/>
      <c r="O57" s="24"/>
      <c r="P57" s="40"/>
      <c r="Q57" s="24"/>
      <c r="R57" s="40"/>
    </row>
    <row r="58" spans="1:177" s="55" customFormat="1" ht="12.75" customHeight="1">
      <c r="A58" s="50" t="s">
        <v>57</v>
      </c>
      <c r="B58" s="51"/>
      <c r="C58" s="51">
        <f>[5]Update!BD31</f>
        <v>95.5</v>
      </c>
      <c r="D58" s="51"/>
      <c r="E58" s="51">
        <f>G58-C58</f>
        <v>-20.299999999999997</v>
      </c>
      <c r="F58" s="51"/>
      <c r="G58" s="51">
        <f>[5]Update!BD12</f>
        <v>75.2</v>
      </c>
      <c r="H58" s="51"/>
      <c r="I58" s="51">
        <f>-I56-I38-I36-I31-I12-7+23-5.7+I62</f>
        <v>-75.2</v>
      </c>
      <c r="J58" s="51"/>
      <c r="K58" s="51">
        <f>G58+I58</f>
        <v>0</v>
      </c>
      <c r="L58" s="51"/>
      <c r="M58" s="52"/>
      <c r="N58" s="51">
        <v>0</v>
      </c>
      <c r="O58" s="51"/>
      <c r="P58" s="53"/>
      <c r="Q58" s="51"/>
      <c r="R58" s="53"/>
      <c r="S58" s="54"/>
    </row>
    <row r="59" spans="1:177" ht="8.1" customHeight="1">
      <c r="A59" s="27"/>
      <c r="B59" s="24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7"/>
      <c r="N59" s="56"/>
      <c r="O59" s="56"/>
      <c r="P59" s="32"/>
      <c r="Q59" s="56"/>
      <c r="R59" s="32"/>
      <c r="S59" s="39"/>
    </row>
    <row r="60" spans="1:177" ht="15.75" customHeight="1">
      <c r="A60" s="58" t="s">
        <v>58</v>
      </c>
      <c r="B60" s="59"/>
      <c r="C60" s="60">
        <f>C56+C43+C31+C12+C58+C38+C36</f>
        <v>612.73787429103015</v>
      </c>
      <c r="D60" s="61"/>
      <c r="E60" s="60">
        <f>E56+E43+E31+E12+E58+E38+E36</f>
        <v>-8.7462762910301102</v>
      </c>
      <c r="F60" s="61"/>
      <c r="G60" s="60">
        <f>G56+G43+G31+G12+G58+G38+G36</f>
        <v>603.99159800000007</v>
      </c>
      <c r="H60" s="61"/>
      <c r="I60" s="60">
        <f>I56+I43+I31+I12+I58+I38+I36</f>
        <v>12.299999999999997</v>
      </c>
      <c r="J60" s="61"/>
      <c r="K60" s="60">
        <f>K56+K43+K31+K12+K58+K38+K36</f>
        <v>616.29159800000014</v>
      </c>
      <c r="L60" s="61"/>
      <c r="M60" s="62"/>
      <c r="N60" s="60">
        <f>N56+N43+N31+N12+N58+N38+N36</f>
        <v>532.70000000000005</v>
      </c>
      <c r="O60" s="61"/>
      <c r="P60" s="32">
        <f>(G60-N60)/N60</f>
        <v>0.13383067017082789</v>
      </c>
      <c r="Q60" s="61"/>
      <c r="R60" s="32">
        <f>(K60-N60)/N60</f>
        <v>0.156920589449972</v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</row>
    <row r="61" spans="1:177" ht="6" customHeight="1">
      <c r="B61" s="14"/>
      <c r="C61" s="63"/>
      <c r="D61" s="63"/>
      <c r="E61" s="63"/>
      <c r="F61" s="63"/>
      <c r="G61" s="63"/>
      <c r="H61" s="63"/>
      <c r="I61" s="24"/>
      <c r="J61" s="63"/>
      <c r="K61" s="63"/>
      <c r="L61" s="63"/>
      <c r="M61" s="64"/>
      <c r="N61" s="63"/>
      <c r="O61" s="63"/>
      <c r="P61" s="32"/>
      <c r="Q61" s="63"/>
      <c r="R61" s="32"/>
    </row>
    <row r="62" spans="1:177" s="69" customFormat="1" ht="12.75" customHeight="1">
      <c r="A62" s="65" t="s">
        <v>59</v>
      </c>
      <c r="B62" s="66"/>
      <c r="C62" s="67">
        <f>SUM([5]Update!BJ33:BJ36)</f>
        <v>170.4499224793891</v>
      </c>
      <c r="D62" s="67"/>
      <c r="E62" s="30">
        <f>G62-C62</f>
        <v>-17.449922479389102</v>
      </c>
      <c r="F62" s="67"/>
      <c r="G62" s="67">
        <f>SUM([5]Update!BJ14:BJ17)</f>
        <v>153</v>
      </c>
      <c r="H62" s="67"/>
      <c r="I62" s="30">
        <v>2</v>
      </c>
      <c r="J62" s="67"/>
      <c r="K62" s="30">
        <f>G62+I62</f>
        <v>155</v>
      </c>
      <c r="L62" s="67"/>
      <c r="M62" s="68"/>
      <c r="N62" s="67">
        <v>174.6</v>
      </c>
      <c r="O62" s="67"/>
      <c r="P62" s="32">
        <f>(G62-N62)/N62</f>
        <v>-0.12371134020618554</v>
      </c>
      <c r="Q62" s="67"/>
      <c r="R62" s="32">
        <f>(K62-N62)/N62</f>
        <v>-0.11225658648339058</v>
      </c>
    </row>
    <row r="63" spans="1:177" s="69" customFormat="1" ht="12" customHeight="1">
      <c r="A63" s="65" t="s">
        <v>60</v>
      </c>
      <c r="B63" s="66"/>
      <c r="C63" s="70">
        <f>[5]Update!BJ37</f>
        <v>19.200000000000003</v>
      </c>
      <c r="D63" s="70"/>
      <c r="E63" s="30">
        <f>G63-C63</f>
        <v>-2.1000000000000014</v>
      </c>
      <c r="F63" s="70"/>
      <c r="G63" s="70">
        <f>[5]Update!BJ18</f>
        <v>17.100000000000001</v>
      </c>
      <c r="H63" s="70"/>
      <c r="I63" s="30">
        <v>0</v>
      </c>
      <c r="J63" s="70"/>
      <c r="K63" s="30">
        <f>G63+I63</f>
        <v>17.100000000000001</v>
      </c>
      <c r="L63" s="70"/>
      <c r="M63" s="71"/>
      <c r="N63" s="70">
        <v>18.899999999999999</v>
      </c>
      <c r="O63" s="70"/>
      <c r="P63" s="72"/>
      <c r="Q63" s="70"/>
      <c r="R63" s="72"/>
    </row>
    <row r="64" spans="1:177" s="69" customFormat="1" ht="12.75">
      <c r="A64" s="70" t="s">
        <v>61</v>
      </c>
      <c r="B64" s="70"/>
      <c r="C64" s="67">
        <f>[5]Update!BJ38</f>
        <v>29.006169876116996</v>
      </c>
      <c r="D64" s="67"/>
      <c r="E64" s="30">
        <f>G64-C64</f>
        <v>4.9938301238830043</v>
      </c>
      <c r="F64" s="67"/>
      <c r="G64" s="67">
        <f>[5]Update!BJ19</f>
        <v>34</v>
      </c>
      <c r="H64" s="67"/>
      <c r="I64" s="30">
        <v>0</v>
      </c>
      <c r="J64" s="67"/>
      <c r="K64" s="30">
        <f>G64+I64</f>
        <v>34</v>
      </c>
      <c r="L64" s="67"/>
      <c r="M64" s="68"/>
      <c r="N64" s="67">
        <f>26.5+12.1-6.1</f>
        <v>32.5</v>
      </c>
      <c r="O64" s="67"/>
      <c r="P64" s="72"/>
      <c r="Q64" s="67"/>
      <c r="R64" s="72"/>
    </row>
    <row r="65" spans="1:23" s="69" customFormat="1" ht="8.1" customHeight="1">
      <c r="A65" s="70"/>
      <c r="B65" s="70"/>
      <c r="C65" s="73"/>
      <c r="D65" s="67"/>
      <c r="E65" s="74"/>
      <c r="F65" s="67"/>
      <c r="G65" s="73"/>
      <c r="H65" s="67"/>
      <c r="I65" s="74"/>
      <c r="J65" s="67"/>
      <c r="K65" s="74"/>
      <c r="L65" s="67"/>
      <c r="M65" s="68"/>
      <c r="N65" s="73"/>
      <c r="O65" s="67"/>
      <c r="P65" s="72"/>
      <c r="Q65" s="67"/>
      <c r="R65" s="72"/>
    </row>
    <row r="66" spans="1:23" s="79" customFormat="1" ht="12.75">
      <c r="A66" s="75" t="s">
        <v>62</v>
      </c>
      <c r="B66" s="75"/>
      <c r="C66" s="76">
        <f>-SUM(C62:C64)+C60</f>
        <v>394.08178193552408</v>
      </c>
      <c r="D66" s="76"/>
      <c r="E66" s="76">
        <f>-SUM(E62:E64)+E60</f>
        <v>5.8098160644759886</v>
      </c>
      <c r="F66" s="76"/>
      <c r="G66" s="76">
        <f>-SUM(G62:G64)+G60</f>
        <v>399.89159800000004</v>
      </c>
      <c r="H66" s="76"/>
      <c r="I66" s="76">
        <f>-SUM(I62:I64)+I60</f>
        <v>10.299999999999997</v>
      </c>
      <c r="J66" s="76"/>
      <c r="K66" s="76">
        <f>-SUM(K62:K64)+K60</f>
        <v>410.19159800000011</v>
      </c>
      <c r="L66" s="76"/>
      <c r="M66" s="77"/>
      <c r="N66" s="76">
        <f>-SUM(N62:N64)+N60</f>
        <v>306.70000000000005</v>
      </c>
      <c r="O66" s="76"/>
      <c r="P66" s="78"/>
      <c r="Q66" s="76"/>
      <c r="R66" s="78"/>
    </row>
    <row r="67" spans="1:23" s="69" customFormat="1" ht="12.75" customHeight="1">
      <c r="A67" s="65" t="s">
        <v>63</v>
      </c>
      <c r="B67" s="66"/>
      <c r="C67" s="80">
        <f>[5]Update!BJ40</f>
        <v>86.688149324880015</v>
      </c>
      <c r="D67" s="81"/>
      <c r="E67" s="30">
        <f>G67-C67</f>
        <v>1.3237614751199516</v>
      </c>
      <c r="F67" s="81"/>
      <c r="G67" s="80">
        <f>[5]Update!BJ21</f>
        <v>88.011910799999967</v>
      </c>
      <c r="H67" s="81"/>
      <c r="I67" s="30">
        <f>K67-G67</f>
        <v>-15.811910799999964</v>
      </c>
      <c r="J67" s="81"/>
      <c r="K67" s="30">
        <f>ROUND(K66*0.22,1)-15-3</f>
        <v>72.2</v>
      </c>
      <c r="L67" s="81"/>
      <c r="M67" s="82"/>
      <c r="N67" s="80">
        <v>53.3</v>
      </c>
      <c r="O67" s="81"/>
      <c r="P67" s="72"/>
      <c r="Q67" s="81"/>
      <c r="R67" s="72"/>
    </row>
    <row r="68" spans="1:23" s="27" customFormat="1" ht="15.75" customHeight="1">
      <c r="A68" s="27" t="s">
        <v>64</v>
      </c>
      <c r="B68" s="24"/>
      <c r="C68" s="83">
        <f>C66-C67</f>
        <v>307.39363261064409</v>
      </c>
      <c r="D68" s="83"/>
      <c r="E68" s="84">
        <f>E66-E67</f>
        <v>4.4860545893560371</v>
      </c>
      <c r="F68" s="83"/>
      <c r="G68" s="83">
        <f>G66-G67</f>
        <v>311.87968720000009</v>
      </c>
      <c r="H68" s="83"/>
      <c r="I68" s="84">
        <f>I66-I67</f>
        <v>26.111910799999961</v>
      </c>
      <c r="J68" s="83"/>
      <c r="K68" s="84">
        <f>K66-K67</f>
        <v>337.99159800000012</v>
      </c>
      <c r="L68" s="83"/>
      <c r="M68" s="85"/>
      <c r="N68" s="83">
        <f>N66-N67</f>
        <v>253.40000000000003</v>
      </c>
      <c r="O68" s="83"/>
      <c r="P68" s="40"/>
      <c r="Q68" s="83"/>
      <c r="R68" s="40"/>
    </row>
    <row r="69" spans="1:23" s="28" customFormat="1" ht="6" customHeight="1">
      <c r="B69" s="29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7"/>
      <c r="N69" s="86"/>
      <c r="O69" s="86"/>
      <c r="P69" s="32"/>
      <c r="Q69" s="86"/>
      <c r="R69" s="32"/>
    </row>
    <row r="70" spans="1:23" s="28" customFormat="1" ht="12.75" customHeight="1">
      <c r="A70" s="28" t="s">
        <v>65</v>
      </c>
      <c r="B70" s="29"/>
      <c r="C70" s="86">
        <v>15</v>
      </c>
      <c r="D70" s="86"/>
      <c r="E70" s="30">
        <f>G70-C70</f>
        <v>-15</v>
      </c>
      <c r="F70" s="86"/>
      <c r="G70" s="86">
        <v>0</v>
      </c>
      <c r="H70" s="86"/>
      <c r="I70" s="30">
        <v>0</v>
      </c>
      <c r="J70" s="86"/>
      <c r="K70" s="30">
        <f>G70+I70</f>
        <v>0</v>
      </c>
      <c r="L70" s="86"/>
      <c r="M70" s="87"/>
      <c r="N70" s="86">
        <v>0</v>
      </c>
      <c r="O70" s="86"/>
      <c r="P70" s="32"/>
      <c r="Q70" s="86"/>
      <c r="R70" s="32"/>
    </row>
    <row r="71" spans="1:23" s="28" customFormat="1" ht="6" customHeight="1">
      <c r="B71" s="29"/>
      <c r="C71" s="88"/>
      <c r="D71" s="86"/>
      <c r="E71" s="88"/>
      <c r="F71" s="86"/>
      <c r="G71" s="88"/>
      <c r="H71" s="86"/>
      <c r="I71" s="88"/>
      <c r="J71" s="86"/>
      <c r="K71" s="88"/>
      <c r="L71" s="86"/>
      <c r="M71" s="87"/>
      <c r="N71" s="88"/>
      <c r="O71" s="86"/>
      <c r="P71" s="32"/>
      <c r="Q71" s="86"/>
      <c r="R71" s="32"/>
    </row>
    <row r="72" spans="1:23" s="28" customFormat="1" ht="12.75" customHeight="1">
      <c r="A72" s="27" t="s">
        <v>66</v>
      </c>
      <c r="B72" s="29"/>
      <c r="C72" s="83">
        <f>C68-C70</f>
        <v>292.39363261064409</v>
      </c>
      <c r="D72" s="83"/>
      <c r="E72" s="83">
        <f>E68-E70</f>
        <v>19.486054589356037</v>
      </c>
      <c r="F72" s="83"/>
      <c r="G72" s="83">
        <f>G68-G70</f>
        <v>311.87968720000009</v>
      </c>
      <c r="H72" s="83"/>
      <c r="I72" s="83">
        <f>I68-I70</f>
        <v>26.111910799999961</v>
      </c>
      <c r="J72" s="83"/>
      <c r="K72" s="83">
        <f>K68-K70</f>
        <v>337.99159800000012</v>
      </c>
      <c r="L72" s="83"/>
      <c r="M72" s="85"/>
      <c r="N72" s="83">
        <f>N68-N70</f>
        <v>253.40000000000003</v>
      </c>
      <c r="O72" s="83"/>
      <c r="P72" s="32">
        <f>(G72-N72)/N72</f>
        <v>0.23078013891081314</v>
      </c>
      <c r="Q72" s="83"/>
      <c r="R72" s="32">
        <f>(K72-N72)/N72</f>
        <v>0.33382635359116053</v>
      </c>
    </row>
    <row r="73" spans="1:23" s="28" customFormat="1" ht="6" customHeight="1">
      <c r="B73" s="29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7"/>
      <c r="N73" s="86"/>
      <c r="O73" s="86"/>
      <c r="P73" s="32"/>
      <c r="Q73" s="86"/>
      <c r="R73" s="32"/>
    </row>
    <row r="74" spans="1:23" s="27" customFormat="1" ht="12.75">
      <c r="A74" s="27" t="s">
        <v>67</v>
      </c>
      <c r="B74" s="24"/>
      <c r="C74" s="47">
        <v>0</v>
      </c>
      <c r="D74" s="29"/>
      <c r="E74" s="47">
        <v>0</v>
      </c>
      <c r="F74" s="29"/>
      <c r="G74" s="47">
        <v>0</v>
      </c>
      <c r="H74" s="29"/>
      <c r="I74" s="47">
        <v>0</v>
      </c>
      <c r="J74" s="29"/>
      <c r="K74" s="47">
        <v>0</v>
      </c>
      <c r="L74" s="29"/>
      <c r="M74" s="33"/>
      <c r="N74" s="47">
        <v>-131</v>
      </c>
      <c r="O74" s="29"/>
      <c r="P74" s="40"/>
      <c r="Q74" s="29"/>
      <c r="R74" s="40"/>
    </row>
    <row r="75" spans="1:23" s="27" customFormat="1" ht="6" customHeight="1">
      <c r="B75" s="24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33"/>
      <c r="N75" s="29"/>
      <c r="O75" s="29"/>
      <c r="P75" s="40"/>
      <c r="Q75" s="29"/>
      <c r="R75" s="40"/>
    </row>
    <row r="76" spans="1:23" s="27" customFormat="1" ht="13.5" thickBot="1">
      <c r="A76" s="27" t="s">
        <v>68</v>
      </c>
      <c r="B76" s="24"/>
      <c r="C76" s="89">
        <f>C72+C74</f>
        <v>292.39363261064409</v>
      </c>
      <c r="D76" s="24"/>
      <c r="E76" s="89">
        <f>E72+E74</f>
        <v>19.486054589356037</v>
      </c>
      <c r="F76" s="24"/>
      <c r="G76" s="89">
        <f>G72+G74</f>
        <v>311.87968720000009</v>
      </c>
      <c r="H76" s="24"/>
      <c r="I76" s="89">
        <f>I72+I74</f>
        <v>26.111910799999961</v>
      </c>
      <c r="J76" s="24"/>
      <c r="K76" s="89">
        <f>K72+K74</f>
        <v>337.99159800000012</v>
      </c>
      <c r="L76" s="24"/>
      <c r="M76" s="25"/>
      <c r="N76" s="89">
        <f>N72+N74</f>
        <v>122.40000000000003</v>
      </c>
      <c r="O76" s="24"/>
      <c r="P76" s="40"/>
      <c r="Q76" s="24"/>
      <c r="R76" s="40"/>
    </row>
    <row r="77" spans="1:23" s="28" customFormat="1" ht="6" customHeight="1" thickTop="1">
      <c r="B77" s="29"/>
      <c r="C77" s="90"/>
      <c r="D77" s="90"/>
      <c r="E77" s="90"/>
      <c r="F77" s="90"/>
      <c r="G77" s="90"/>
      <c r="H77" s="90"/>
      <c r="I77" s="86"/>
      <c r="J77" s="90"/>
      <c r="K77" s="90"/>
      <c r="L77" s="90"/>
      <c r="M77" s="91"/>
      <c r="N77" s="90"/>
      <c r="O77" s="90"/>
      <c r="P77" s="32"/>
      <c r="Q77" s="90"/>
      <c r="R77" s="32"/>
    </row>
    <row r="78" spans="1:23" s="27" customFormat="1" ht="12.75">
      <c r="A78" s="27" t="s">
        <v>69</v>
      </c>
      <c r="B78" s="24"/>
      <c r="C78" s="92"/>
      <c r="D78" s="92"/>
      <c r="E78" s="92"/>
      <c r="F78" s="92"/>
      <c r="G78" s="92"/>
      <c r="H78" s="92"/>
      <c r="I78" s="83"/>
      <c r="J78" s="92"/>
      <c r="K78" s="92"/>
      <c r="L78" s="92"/>
      <c r="M78" s="93"/>
      <c r="N78" s="59"/>
      <c r="O78" s="59"/>
      <c r="P78" s="40"/>
      <c r="Q78" s="59"/>
      <c r="R78" s="40"/>
      <c r="S78" s="24"/>
      <c r="T78" s="24"/>
      <c r="U78" s="24"/>
      <c r="V78" s="24"/>
      <c r="W78" s="24"/>
    </row>
    <row r="79" spans="1:23" s="28" customFormat="1" ht="12.75">
      <c r="A79" s="28" t="s">
        <v>70</v>
      </c>
      <c r="B79" s="29"/>
      <c r="C79" s="94">
        <f>ROUND(C72/C83,2)</f>
        <v>0.37</v>
      </c>
      <c r="D79" s="94"/>
      <c r="E79" s="94">
        <f>G79-C79</f>
        <v>0</v>
      </c>
      <c r="F79" s="94"/>
      <c r="G79" s="94">
        <f>ROUND(G72/G83,2)</f>
        <v>0.37</v>
      </c>
      <c r="H79" s="94"/>
      <c r="I79" s="95">
        <f>K79-G79</f>
        <v>3.0000000000000027E-2</v>
      </c>
      <c r="J79" s="94"/>
      <c r="K79" s="94">
        <f>ROUND(K72/K83,2)</f>
        <v>0.4</v>
      </c>
      <c r="L79" s="94"/>
      <c r="M79" s="96"/>
      <c r="N79" s="94">
        <f>N72/N83</f>
        <v>0.34031694869728718</v>
      </c>
      <c r="O79" s="95"/>
      <c r="P79" s="32">
        <f>(G79-N79)/N79</f>
        <v>8.7221783741120593E-2</v>
      </c>
      <c r="Q79" s="95"/>
      <c r="R79" s="32">
        <f>(K79-N79)/N79</f>
        <v>0.17537490134175207</v>
      </c>
      <c r="S79" s="29"/>
      <c r="T79" s="29"/>
      <c r="U79" s="29"/>
    </row>
    <row r="80" spans="1:23" s="28" customFormat="1" ht="12.75">
      <c r="A80" s="28" t="s">
        <v>71</v>
      </c>
      <c r="B80" s="29"/>
      <c r="C80" s="97">
        <f>C74/C83</f>
        <v>0</v>
      </c>
      <c r="D80" s="95"/>
      <c r="E80" s="97">
        <f>G80-C80</f>
        <v>0</v>
      </c>
      <c r="F80" s="95"/>
      <c r="G80" s="97">
        <f>G74/G83</f>
        <v>0</v>
      </c>
      <c r="H80" s="95"/>
      <c r="I80" s="98">
        <v>0</v>
      </c>
      <c r="J80" s="95"/>
      <c r="K80" s="97">
        <f>G80+I80</f>
        <v>0</v>
      </c>
      <c r="L80" s="95"/>
      <c r="M80" s="99"/>
      <c r="N80" s="97">
        <f>N74/N83</f>
        <v>-0.17593338705345152</v>
      </c>
      <c r="O80" s="95"/>
      <c r="P80" s="95"/>
      <c r="Q80" s="95"/>
      <c r="R80" s="32"/>
    </row>
    <row r="81" spans="1:30" s="27" customFormat="1" ht="13.5" thickBot="1">
      <c r="A81" s="27" t="s">
        <v>72</v>
      </c>
      <c r="B81" s="24"/>
      <c r="C81" s="100">
        <f>C79+C80</f>
        <v>0.37</v>
      </c>
      <c r="D81" s="101"/>
      <c r="E81" s="100">
        <f>E79+E80</f>
        <v>0</v>
      </c>
      <c r="F81" s="101"/>
      <c r="G81" s="100">
        <f>G79+G80</f>
        <v>0.37</v>
      </c>
      <c r="H81" s="101"/>
      <c r="I81" s="102">
        <f>I79+I80</f>
        <v>3.0000000000000027E-2</v>
      </c>
      <c r="J81" s="101"/>
      <c r="K81" s="100">
        <f>K79+K80</f>
        <v>0.4</v>
      </c>
      <c r="L81" s="101"/>
      <c r="M81" s="103"/>
      <c r="N81" s="100">
        <f>N79+N80</f>
        <v>0.16438356164383566</v>
      </c>
      <c r="O81" s="101"/>
      <c r="P81" s="101"/>
      <c r="Q81" s="101"/>
      <c r="R81" s="40"/>
    </row>
    <row r="82" spans="1:30" s="28" customFormat="1" ht="8.1" customHeight="1" thickTop="1">
      <c r="B82" s="29"/>
      <c r="C82" s="90"/>
      <c r="D82" s="90"/>
      <c r="E82" s="90"/>
      <c r="F82" s="90"/>
      <c r="G82" s="90"/>
      <c r="H82" s="90"/>
      <c r="I82" s="86"/>
      <c r="J82" s="90"/>
      <c r="K82" s="90"/>
      <c r="L82" s="90"/>
      <c r="M82" s="91"/>
      <c r="N82" s="90"/>
      <c r="O82" s="90"/>
      <c r="P82" s="90"/>
      <c r="Q82" s="90"/>
      <c r="R82" s="32"/>
    </row>
    <row r="83" spans="1:30" s="26" customFormat="1">
      <c r="A83" s="26" t="s">
        <v>73</v>
      </c>
      <c r="B83" s="104"/>
      <c r="C83" s="105">
        <v>788.2</v>
      </c>
      <c r="D83" s="105"/>
      <c r="E83" s="105"/>
      <c r="F83" s="105"/>
      <c r="G83" s="105">
        <f>'[5]IBIT  - .37'!G82</f>
        <v>853.68700000000001</v>
      </c>
      <c r="H83" s="105"/>
      <c r="I83" s="105"/>
      <c r="J83" s="105"/>
      <c r="K83" s="105">
        <f>G83</f>
        <v>853.68700000000001</v>
      </c>
      <c r="L83" s="105"/>
      <c r="M83" s="106"/>
      <c r="N83" s="105">
        <v>744.6</v>
      </c>
      <c r="O83" s="105"/>
      <c r="P83" s="105"/>
      <c r="Q83" s="105"/>
      <c r="R83" s="32"/>
    </row>
    <row r="84" spans="1:30" s="28" customFormat="1" ht="12.75" customHeight="1">
      <c r="C84"/>
      <c r="D84"/>
      <c r="E84"/>
      <c r="F84"/>
      <c r="G84"/>
      <c r="H84"/>
      <c r="I84" s="107"/>
      <c r="J84"/>
      <c r="K84"/>
      <c r="L84"/>
      <c r="M84" s="108"/>
      <c r="N84" s="109"/>
      <c r="O84"/>
      <c r="P84"/>
      <c r="Q84"/>
      <c r="R84" s="26"/>
      <c r="S84"/>
      <c r="T84"/>
      <c r="U84"/>
      <c r="V84"/>
      <c r="W84"/>
      <c r="X84"/>
      <c r="Y84"/>
      <c r="Z84"/>
      <c r="AA84"/>
      <c r="AB84"/>
      <c r="AC84"/>
      <c r="AD84"/>
    </row>
    <row r="85" spans="1:30" s="28" customFormat="1" ht="12.75" customHeight="1">
      <c r="A85" s="28" t="s">
        <v>74</v>
      </c>
      <c r="C85" s="110">
        <f>C67/C66</f>
        <v>0.21997502370983266</v>
      </c>
      <c r="D85" s="110"/>
      <c r="E85" s="110"/>
      <c r="F85" s="110"/>
      <c r="G85" s="110">
        <f>G67/G66</f>
        <v>0.2200894223338995</v>
      </c>
      <c r="H85" s="110"/>
      <c r="I85" s="111"/>
      <c r="J85" s="110"/>
      <c r="K85" s="110">
        <f>K67/K66</f>
        <v>0.17601530687617833</v>
      </c>
      <c r="L85" s="110"/>
      <c r="M85" s="112"/>
      <c r="N85" s="110">
        <f>N67/N66</f>
        <v>0.17378545810238014</v>
      </c>
      <c r="O85"/>
      <c r="P85"/>
      <c r="Q85"/>
      <c r="R85" s="26"/>
      <c r="S85"/>
      <c r="T85"/>
      <c r="U85"/>
      <c r="V85"/>
      <c r="W85"/>
      <c r="X85"/>
      <c r="Y85"/>
      <c r="Z85"/>
      <c r="AA85"/>
      <c r="AB85"/>
      <c r="AC85"/>
      <c r="AD85"/>
    </row>
    <row r="86" spans="1:30" s="28" customFormat="1" ht="12.75" customHeight="1">
      <c r="C86"/>
      <c r="D86"/>
      <c r="E86"/>
      <c r="F86"/>
      <c r="G86"/>
      <c r="H86"/>
      <c r="I86" s="107"/>
      <c r="J86"/>
      <c r="K86"/>
      <c r="L86"/>
      <c r="M86"/>
      <c r="N86" s="109"/>
      <c r="O86"/>
      <c r="P86"/>
      <c r="Q86"/>
      <c r="R86" s="2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8.1" customHeight="1">
      <c r="A87" s="113" t="str">
        <f ca="1">CELL("filename",A1)</f>
        <v/>
      </c>
      <c r="C87" s="114"/>
      <c r="D87" s="114"/>
      <c r="E87" s="114"/>
      <c r="F87" s="114"/>
      <c r="G87" s="114"/>
      <c r="H87" s="114"/>
      <c r="I87" s="115"/>
      <c r="J87" s="114"/>
      <c r="K87" s="114"/>
      <c r="L87" s="114"/>
      <c r="M87" s="114"/>
      <c r="N87" s="116"/>
      <c r="O87" s="114"/>
      <c r="P87" s="114"/>
      <c r="Q87" s="114"/>
    </row>
    <row r="88" spans="1:30" ht="9.9499999999999993" customHeight="1">
      <c r="A88" s="117">
        <f ca="1">NOW()</f>
        <v>36616.719513425924</v>
      </c>
      <c r="C88" s="118"/>
      <c r="D88" s="118"/>
      <c r="E88" s="118"/>
      <c r="F88" s="118"/>
      <c r="G88" s="118"/>
      <c r="H88" s="118"/>
      <c r="I88" s="119"/>
      <c r="J88" s="118"/>
      <c r="K88" s="118"/>
      <c r="L88" s="118"/>
      <c r="M88" s="118"/>
      <c r="N88" s="118"/>
      <c r="O88" s="118"/>
      <c r="P88" s="118"/>
      <c r="Q88" s="118"/>
    </row>
    <row r="89" spans="1:30" ht="6" customHeight="1"/>
    <row r="90" spans="1:3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30">
      <c r="A91" s="26"/>
      <c r="B91" s="26"/>
      <c r="C91" s="26"/>
      <c r="D91" s="26"/>
      <c r="E91" s="26"/>
      <c r="F91" s="26"/>
      <c r="G91" s="120">
        <f>G76/G83</f>
        <v>0.36533259520175437</v>
      </c>
      <c r="H91" s="26"/>
      <c r="I91" s="26"/>
      <c r="J91" s="26"/>
      <c r="K91" s="120">
        <f>K76/K83</f>
        <v>0.39591981370221185</v>
      </c>
      <c r="L91" s="26"/>
      <c r="M91" s="26"/>
      <c r="N91" s="26"/>
      <c r="O91" s="26"/>
      <c r="P91" s="26"/>
      <c r="Q91" s="26"/>
    </row>
    <row r="92" spans="1:3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spans="1:30" hidden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30" hidden="1">
      <c r="A94" s="26"/>
      <c r="B94" s="26"/>
      <c r="C94" s="121" t="s">
        <v>75</v>
      </c>
      <c r="D94" s="121"/>
      <c r="E94" s="121"/>
      <c r="F94" s="121"/>
      <c r="G94" s="121" t="s">
        <v>76</v>
      </c>
      <c r="H94" s="26"/>
      <c r="I94" s="121" t="s">
        <v>77</v>
      </c>
      <c r="J94" s="26"/>
      <c r="L94" s="26"/>
      <c r="M94" s="26"/>
      <c r="N94" s="26"/>
      <c r="O94" s="26"/>
      <c r="P94" s="26"/>
      <c r="Q94" s="26"/>
    </row>
    <row r="95" spans="1:30" hidden="1">
      <c r="A95" s="26"/>
      <c r="B95" s="26"/>
      <c r="C95" s="122" t="s">
        <v>78</v>
      </c>
      <c r="D95" s="121"/>
      <c r="E95" s="122" t="s">
        <v>79</v>
      </c>
      <c r="F95" s="121"/>
      <c r="G95" s="122" t="s">
        <v>78</v>
      </c>
      <c r="H95" s="26"/>
      <c r="I95" s="122" t="s">
        <v>80</v>
      </c>
      <c r="J95" s="26"/>
      <c r="L95" s="26"/>
      <c r="M95" s="26"/>
      <c r="N95" s="26"/>
      <c r="O95" s="26"/>
      <c r="P95" s="26"/>
      <c r="Q95" s="26"/>
    </row>
    <row r="96" spans="1:30" hidden="1">
      <c r="A96" s="26"/>
      <c r="B96" s="26"/>
      <c r="C96" s="26"/>
      <c r="D96" s="26"/>
      <c r="E96" s="26"/>
      <c r="F96" s="26"/>
      <c r="G96" s="26"/>
      <c r="H96" s="26"/>
      <c r="I96" s="26"/>
      <c r="J96" s="26"/>
      <c r="L96" s="26"/>
      <c r="M96" s="26"/>
      <c r="N96" s="26"/>
      <c r="O96" s="26"/>
      <c r="P96" s="26"/>
      <c r="Q96" s="26"/>
    </row>
    <row r="97" spans="1:17" hidden="1">
      <c r="A97" s="26" t="s">
        <v>12</v>
      </c>
      <c r="B97" s="26"/>
      <c r="C97" s="26">
        <f>G66</f>
        <v>399.89159800000004</v>
      </c>
      <c r="D97" s="26"/>
      <c r="E97" s="26">
        <f>G67</f>
        <v>88.011910799999967</v>
      </c>
      <c r="F97" s="26"/>
      <c r="G97" s="26">
        <f>C97-E97</f>
        <v>311.87968720000009</v>
      </c>
      <c r="H97" s="26"/>
      <c r="I97" s="123">
        <f>E97/C97</f>
        <v>0.2200894223338995</v>
      </c>
      <c r="J97" s="26"/>
      <c r="L97" s="26"/>
      <c r="M97" s="26"/>
      <c r="N97" s="26"/>
      <c r="O97" s="26"/>
      <c r="P97" s="26"/>
      <c r="Q97" s="26"/>
    </row>
    <row r="98" spans="1:17" hidden="1">
      <c r="A98" s="26" t="s">
        <v>81</v>
      </c>
      <c r="B98" s="26"/>
      <c r="C98" s="26">
        <f>I66</f>
        <v>10.299999999999997</v>
      </c>
      <c r="D98" s="26"/>
      <c r="E98" s="26">
        <f>C98*0.22</f>
        <v>2.2659999999999996</v>
      </c>
      <c r="F98" s="26"/>
      <c r="G98" s="26">
        <f>C98-E98</f>
        <v>8.0339999999999971</v>
      </c>
      <c r="H98" s="26"/>
      <c r="I98" s="123">
        <f>E98/C98</f>
        <v>0.22000000000000003</v>
      </c>
      <c r="J98" s="26"/>
      <c r="L98" s="26"/>
      <c r="M98" s="26"/>
      <c r="N98" s="26"/>
      <c r="O98" s="26"/>
      <c r="P98" s="26"/>
      <c r="Q98" s="26"/>
    </row>
    <row r="99" spans="1:17" hidden="1">
      <c r="A99" s="26"/>
      <c r="B99" s="26"/>
      <c r="C99" s="124">
        <f>C97+C98</f>
        <v>410.19159800000006</v>
      </c>
      <c r="D99" s="26"/>
      <c r="E99" s="124">
        <f>E97+E98</f>
        <v>90.277910799999972</v>
      </c>
      <c r="F99" s="26"/>
      <c r="G99" s="124">
        <f>G97+G98</f>
        <v>319.91368720000008</v>
      </c>
      <c r="H99" s="26"/>
      <c r="I99" s="123">
        <f>E99/C99</f>
        <v>0.22008717691969878</v>
      </c>
      <c r="J99" s="26"/>
      <c r="L99" s="26"/>
      <c r="M99" s="26"/>
      <c r="N99" s="26"/>
      <c r="O99" s="26"/>
      <c r="P99" s="26"/>
      <c r="Q99" s="26"/>
    </row>
    <row r="100" spans="1:17" hidden="1">
      <c r="A100" s="26" t="s">
        <v>82</v>
      </c>
      <c r="B100" s="26"/>
      <c r="C100" s="26"/>
      <c r="D100" s="26"/>
      <c r="E100" s="26">
        <f>-G100</f>
        <v>-18.077910800000041</v>
      </c>
      <c r="F100" s="26"/>
      <c r="G100" s="26">
        <f>G102-G99</f>
        <v>18.077910800000041</v>
      </c>
      <c r="H100" s="26"/>
      <c r="I100" s="123"/>
      <c r="J100" s="26"/>
      <c r="L100" s="26"/>
      <c r="M100" s="26"/>
      <c r="N100" s="26"/>
      <c r="O100" s="26"/>
      <c r="P100" s="26"/>
      <c r="Q100" s="26"/>
    </row>
    <row r="101" spans="1:17" hidden="1">
      <c r="A101" s="26"/>
      <c r="B101" s="26"/>
      <c r="C101" s="124"/>
      <c r="D101" s="26"/>
      <c r="E101" s="124"/>
      <c r="F101" s="26"/>
      <c r="G101" s="124"/>
      <c r="H101" s="26"/>
      <c r="I101" s="26"/>
      <c r="J101" s="26"/>
      <c r="L101" s="26"/>
      <c r="M101" s="26"/>
      <c r="N101" s="26"/>
      <c r="O101" s="26"/>
      <c r="P101" s="26"/>
      <c r="Q101" s="26"/>
    </row>
    <row r="102" spans="1:17" ht="12.75" hidden="1" thickBot="1">
      <c r="A102" s="26"/>
      <c r="B102" s="26"/>
      <c r="C102" s="125">
        <f>SUM(C99:C101)</f>
        <v>410.19159800000006</v>
      </c>
      <c r="D102" s="26"/>
      <c r="E102" s="125">
        <f>SUM(E99:E101)</f>
        <v>72.199999999999932</v>
      </c>
      <c r="F102" s="26"/>
      <c r="G102" s="125">
        <f>K72</f>
        <v>337.99159800000012</v>
      </c>
      <c r="H102" s="26"/>
      <c r="I102" s="123">
        <f>E102/C102</f>
        <v>0.1760153068761782</v>
      </c>
      <c r="J102" s="26"/>
      <c r="L102" s="26"/>
      <c r="M102" s="26"/>
      <c r="N102" s="26"/>
      <c r="O102" s="26"/>
      <c r="P102" s="26"/>
      <c r="Q102" s="26"/>
    </row>
    <row r="103" spans="1:17" ht="12.75" hidden="1" thickTop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L103" s="26"/>
      <c r="M103" s="26"/>
      <c r="N103" s="26"/>
      <c r="O103" s="26"/>
      <c r="P103" s="26"/>
      <c r="Q103" s="26"/>
    </row>
    <row r="104" spans="1:1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L104" s="26"/>
      <c r="M104" s="26"/>
      <c r="N104" s="26"/>
      <c r="O104" s="26"/>
      <c r="P104" s="26"/>
      <c r="Q104" s="26"/>
    </row>
    <row r="105" spans="1:1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L105" s="26"/>
      <c r="M105" s="26"/>
      <c r="N105" s="26"/>
      <c r="O105" s="26"/>
      <c r="P105" s="26"/>
      <c r="Q105" s="26"/>
    </row>
    <row r="106" spans="1:1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L106" s="26"/>
      <c r="M106" s="26"/>
      <c r="N106" s="26"/>
      <c r="O106" s="26"/>
      <c r="P106" s="26"/>
      <c r="Q106" s="26"/>
    </row>
    <row r="107" spans="1:1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L107" s="26"/>
      <c r="M107" s="26"/>
      <c r="N107" s="26"/>
      <c r="O107" s="26"/>
      <c r="P107" s="26"/>
      <c r="Q107" s="26"/>
    </row>
    <row r="108" spans="1:1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L108" s="26"/>
      <c r="M108" s="26"/>
      <c r="N108" s="26"/>
      <c r="O108" s="26"/>
      <c r="P108" s="26"/>
      <c r="Q108" s="26"/>
    </row>
    <row r="109" spans="1:1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L109" s="26"/>
      <c r="M109" s="26"/>
      <c r="N109" s="26"/>
      <c r="O109" s="26"/>
      <c r="P109" s="26"/>
      <c r="Q109" s="26"/>
    </row>
    <row r="110" spans="1:1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L110" s="26"/>
      <c r="M110" s="26"/>
      <c r="N110" s="26"/>
      <c r="O110" s="26"/>
      <c r="P110" s="26"/>
      <c r="Q110" s="26"/>
    </row>
    <row r="111" spans="1:1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L111" s="26"/>
      <c r="M111" s="26"/>
      <c r="N111" s="26"/>
      <c r="O111" s="26"/>
      <c r="P111" s="26"/>
      <c r="Q111" s="26"/>
    </row>
  </sheetData>
  <mergeCells count="1">
    <mergeCell ref="C5:R5"/>
  </mergeCells>
  <printOptions horizontalCentered="1" verticalCentered="1"/>
  <pageMargins left="0.25" right="0.25" top="0.18" bottom="0" header="0.17" footer="0.2"/>
  <pageSetup scale="73" orientation="portrait" verticalDpi="300" r:id="rId1"/>
  <headerFooter alignWithMargins="0"/>
  <rowBreaks count="1" manualBreakCount="1">
    <brk id="8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11">
    <pageSetUpPr fitToPage="1"/>
  </sheetPr>
  <dimension ref="A1:P72"/>
  <sheetViews>
    <sheetView defaultGridColor="0" colorId="22" workbookViewId="0">
      <selection activeCell="I4" sqref="I4"/>
    </sheetView>
  </sheetViews>
  <sheetFormatPr defaultColWidth="9.83203125" defaultRowHeight="11.25"/>
  <cols>
    <col min="1" max="1" width="51.33203125" style="5" customWidth="1"/>
    <col min="2" max="2" width="2" style="5" customWidth="1"/>
    <col min="3" max="3" width="11.33203125" style="5" customWidth="1"/>
    <col min="4" max="4" width="1.83203125" style="5" customWidth="1"/>
    <col min="5" max="5" width="11.33203125" style="5" customWidth="1"/>
    <col min="6" max="6" width="1.83203125" style="5" customWidth="1"/>
    <col min="7" max="7" width="11.33203125" style="5" customWidth="1"/>
    <col min="8" max="8" width="1.83203125" style="5" customWidth="1"/>
    <col min="9" max="9" width="11.33203125" style="5" customWidth="1"/>
    <col min="10" max="10" width="1.83203125" style="5" customWidth="1"/>
    <col min="11" max="11" width="11.33203125" style="5" customWidth="1"/>
    <col min="12" max="12" width="6.5" style="5" customWidth="1"/>
    <col min="13" max="13" width="10.83203125" style="5" bestFit="1" customWidth="1"/>
    <col min="14" max="16384" width="9.83203125" style="5"/>
  </cols>
  <sheetData>
    <row r="1" spans="1:15" ht="23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26"/>
    </row>
    <row r="2" spans="1:15" ht="18" customHeight="1">
      <c r="A2" s="6" t="s">
        <v>83</v>
      </c>
      <c r="B2" s="6"/>
      <c r="C2" s="6"/>
      <c r="D2" s="6"/>
      <c r="E2" s="6"/>
      <c r="F2" s="6"/>
      <c r="G2" s="6"/>
      <c r="H2" s="6"/>
      <c r="I2" s="6"/>
      <c r="J2" s="6"/>
      <c r="K2" s="6"/>
      <c r="L2" s="126"/>
    </row>
    <row r="3" spans="1:15" ht="12.75" customHeight="1">
      <c r="A3" s="127" t="s">
        <v>84</v>
      </c>
      <c r="B3" s="8"/>
      <c r="C3" s="8"/>
      <c r="D3" s="8"/>
      <c r="E3" s="8"/>
      <c r="F3" s="8"/>
      <c r="G3" s="8"/>
      <c r="H3" s="8"/>
      <c r="I3" s="8"/>
      <c r="J3" s="8"/>
      <c r="K3" s="8"/>
      <c r="L3" s="126"/>
    </row>
    <row r="4" spans="1:15" ht="12.75" customHeight="1">
      <c r="A4" s="127"/>
      <c r="B4" s="8"/>
      <c r="C4" s="8"/>
      <c r="D4" s="8"/>
      <c r="E4" s="8"/>
      <c r="F4" s="8"/>
      <c r="G4" s="8"/>
      <c r="H4" s="8"/>
      <c r="I4" s="8"/>
      <c r="J4" s="8"/>
      <c r="K4" s="8"/>
      <c r="L4" s="126"/>
    </row>
    <row r="5" spans="1:15" ht="13.5" thickBot="1">
      <c r="A5" s="11"/>
      <c r="B5" s="11"/>
      <c r="C5" s="158" t="s">
        <v>3</v>
      </c>
      <c r="D5" s="158"/>
      <c r="E5" s="158"/>
      <c r="F5" s="158"/>
      <c r="G5" s="158"/>
      <c r="H5" s="158"/>
      <c r="I5" s="158"/>
      <c r="J5" s="158"/>
      <c r="K5" s="158"/>
    </row>
    <row r="6" spans="1:15" ht="14.1" customHeight="1">
      <c r="B6" s="15"/>
      <c r="C6" s="128" t="s">
        <v>4</v>
      </c>
      <c r="D6" s="128"/>
      <c r="E6" s="128"/>
      <c r="F6" s="128"/>
      <c r="G6" s="128" t="str">
        <f>'[5]IBIT - .40'!G6</f>
        <v>March 30</v>
      </c>
      <c r="H6" s="128"/>
      <c r="I6" s="129" t="s">
        <v>6</v>
      </c>
      <c r="J6" s="128"/>
      <c r="K6" s="129" t="s">
        <v>7</v>
      </c>
    </row>
    <row r="7" spans="1:15" ht="13.9" customHeight="1">
      <c r="B7" s="16"/>
      <c r="C7" s="20" t="s">
        <v>10</v>
      </c>
      <c r="D7" s="16"/>
      <c r="E7" s="20" t="s">
        <v>11</v>
      </c>
      <c r="F7" s="16"/>
      <c r="G7" s="20" t="s">
        <v>12</v>
      </c>
      <c r="H7" s="16"/>
      <c r="I7" s="20" t="s">
        <v>13</v>
      </c>
      <c r="J7" s="16"/>
      <c r="K7" s="20" t="s">
        <v>12</v>
      </c>
    </row>
    <row r="8" spans="1:15" ht="15.75" customHeight="1">
      <c r="A8" s="130" t="s">
        <v>85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5" ht="15.75" customHeight="1">
      <c r="A9" s="27" t="s">
        <v>86</v>
      </c>
      <c r="B9" s="29"/>
      <c r="C9" s="131">
        <f>[5]Update!H42</f>
        <v>83.100000000000009</v>
      </c>
      <c r="D9" s="131"/>
      <c r="E9" s="131">
        <f>G9-C9</f>
        <v>0</v>
      </c>
      <c r="F9" s="131"/>
      <c r="G9" s="131">
        <f>[5]Update!H23</f>
        <v>83.100000000000009</v>
      </c>
      <c r="H9" s="131"/>
      <c r="I9" s="131">
        <f>ROUND('[5]IBIT - .40'!I15*0.63,1)</f>
        <v>22.1</v>
      </c>
      <c r="J9" s="131"/>
      <c r="K9" s="131">
        <f>I9+G9</f>
        <v>105.20000000000002</v>
      </c>
    </row>
    <row r="10" spans="1:15" ht="12" customHeight="1">
      <c r="A10" s="130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5" ht="12.75" customHeight="1">
      <c r="A11" s="27" t="s">
        <v>87</v>
      </c>
      <c r="B11" s="29"/>
      <c r="C11" s="29">
        <f>[5]Update!J42</f>
        <v>48.399999999999991</v>
      </c>
      <c r="D11" s="29"/>
      <c r="E11" s="29">
        <f>G11-C11</f>
        <v>0.10000000000000142</v>
      </c>
      <c r="F11" s="29"/>
      <c r="G11" s="29">
        <f>[5]Update!J23</f>
        <v>48.499999999999993</v>
      </c>
      <c r="H11" s="29"/>
      <c r="I11" s="29">
        <f>ROUND('[5]IBIT - .40'!I16*0.63,1)</f>
        <v>9.5</v>
      </c>
      <c r="J11" s="29"/>
      <c r="K11" s="29">
        <f>I11+G11</f>
        <v>57.999999999999993</v>
      </c>
      <c r="L11" s="28"/>
      <c r="M11" s="28"/>
      <c r="N11" s="28"/>
      <c r="O11" s="28"/>
    </row>
    <row r="12" spans="1:15" ht="12.75" customHeight="1">
      <c r="A12" s="27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8"/>
      <c r="M12" s="28"/>
      <c r="N12" s="28"/>
      <c r="O12" s="28"/>
    </row>
    <row r="13" spans="1:15" ht="12.75" customHeight="1">
      <c r="A13" s="27" t="s">
        <v>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M13" s="28" t="s">
        <v>85</v>
      </c>
      <c r="N13" s="28"/>
      <c r="O13" s="28"/>
    </row>
    <row r="14" spans="1:15" ht="12.75" customHeight="1">
      <c r="A14" s="27" t="s">
        <v>89</v>
      </c>
      <c r="B14" s="29"/>
      <c r="C14" s="29">
        <f>[5]Update!N42</f>
        <v>6.8000000000000078</v>
      </c>
      <c r="D14" s="29"/>
      <c r="E14" s="29">
        <f t="shared" ref="E14:E19" si="0">G14-C14</f>
        <v>9.9999999999997868E-2</v>
      </c>
      <c r="F14" s="29"/>
      <c r="G14" s="29">
        <f>[5]Update!N23</f>
        <v>6.9000000000000057</v>
      </c>
      <c r="H14" s="29"/>
      <c r="I14" s="29">
        <v>0</v>
      </c>
      <c r="J14" s="29"/>
      <c r="K14" s="29">
        <f t="shared" ref="K14:K19" si="1">I14+G14</f>
        <v>6.9000000000000057</v>
      </c>
      <c r="M14" s="28"/>
      <c r="N14" s="28"/>
      <c r="O14" s="28"/>
    </row>
    <row r="15" spans="1:15" ht="12.75" customHeight="1">
      <c r="A15" s="27" t="s">
        <v>90</v>
      </c>
      <c r="B15" s="29"/>
      <c r="C15" s="29">
        <f>[5]Update!P42</f>
        <v>3.9</v>
      </c>
      <c r="D15" s="29"/>
      <c r="E15" s="29">
        <f t="shared" si="0"/>
        <v>2.6000000000000019</v>
      </c>
      <c r="F15" s="29"/>
      <c r="G15" s="29">
        <f>[5]Update!P23</f>
        <v>6.5000000000000018</v>
      </c>
      <c r="H15" s="29"/>
      <c r="I15" s="29">
        <v>0</v>
      </c>
      <c r="J15" s="29"/>
      <c r="K15" s="29">
        <f t="shared" si="1"/>
        <v>6.5000000000000018</v>
      </c>
      <c r="M15" s="28"/>
      <c r="N15" s="28"/>
      <c r="O15" s="28"/>
    </row>
    <row r="16" spans="1:15" ht="12.75" customHeight="1">
      <c r="A16" s="27" t="s">
        <v>91</v>
      </c>
      <c r="B16" s="29"/>
      <c r="C16" s="29">
        <f>[5]Update!R42</f>
        <v>6</v>
      </c>
      <c r="D16" s="29"/>
      <c r="E16" s="29">
        <f t="shared" si="0"/>
        <v>9.4499999999999993</v>
      </c>
      <c r="F16" s="29"/>
      <c r="G16" s="29">
        <f>[5]Update!R23</f>
        <v>15.45</v>
      </c>
      <c r="H16" s="29"/>
      <c r="I16" s="29">
        <v>0</v>
      </c>
      <c r="J16" s="29"/>
      <c r="K16" s="29">
        <f t="shared" si="1"/>
        <v>15.45</v>
      </c>
      <c r="M16" s="28"/>
      <c r="N16" s="28"/>
      <c r="O16" s="28"/>
    </row>
    <row r="17" spans="1:16" ht="12.75" customHeight="1">
      <c r="A17" s="27" t="s">
        <v>92</v>
      </c>
      <c r="B17" s="29"/>
      <c r="C17" s="29">
        <f>ROUND([5]Update!V42,1)</f>
        <v>-3.3</v>
      </c>
      <c r="D17" s="29"/>
      <c r="E17" s="29">
        <f t="shared" si="0"/>
        <v>0</v>
      </c>
      <c r="F17" s="29"/>
      <c r="G17" s="29">
        <f>[5]Update!V23</f>
        <v>-3.3000000000000007</v>
      </c>
      <c r="H17" s="29"/>
      <c r="I17" s="29">
        <v>0</v>
      </c>
      <c r="J17" s="29"/>
      <c r="K17" s="29">
        <f t="shared" si="1"/>
        <v>-3.3000000000000007</v>
      </c>
      <c r="M17" s="28"/>
      <c r="N17" s="28"/>
      <c r="O17" s="28"/>
    </row>
    <row r="18" spans="1:16" ht="12.75" customHeight="1">
      <c r="A18" s="27" t="s">
        <v>93</v>
      </c>
      <c r="B18" s="29"/>
      <c r="C18" s="29">
        <f>[5]Update!X42</f>
        <v>2.5000000000000231</v>
      </c>
      <c r="D18" s="29"/>
      <c r="E18" s="29">
        <f t="shared" si="0"/>
        <v>0</v>
      </c>
      <c r="F18" s="29"/>
      <c r="G18" s="29">
        <f>[5]Update!X23</f>
        <v>2.5000000000000231</v>
      </c>
      <c r="H18" s="29"/>
      <c r="I18" s="29">
        <v>0</v>
      </c>
      <c r="J18" s="29"/>
      <c r="K18" s="29">
        <f t="shared" si="1"/>
        <v>2.5000000000000231</v>
      </c>
      <c r="M18" s="28"/>
      <c r="N18" s="28"/>
      <c r="O18" s="28"/>
    </row>
    <row r="19" spans="1:16" ht="12.75" customHeight="1">
      <c r="A19" s="27" t="s">
        <v>94</v>
      </c>
      <c r="B19" s="29"/>
      <c r="C19" s="29">
        <f>[5]Update!AB42+[5]Update!T42</f>
        <v>-2.5600000000000005</v>
      </c>
      <c r="D19" s="29"/>
      <c r="E19" s="29">
        <f t="shared" si="0"/>
        <v>-1.8899999999999997</v>
      </c>
      <c r="F19" s="29"/>
      <c r="G19" s="29">
        <f>[5]Update!AB23+[5]Update!T23</f>
        <v>-4.45</v>
      </c>
      <c r="H19" s="29"/>
      <c r="I19" s="29">
        <v>0</v>
      </c>
      <c r="J19" s="29"/>
      <c r="K19" s="29">
        <f t="shared" si="1"/>
        <v>-4.45</v>
      </c>
      <c r="M19" s="28"/>
      <c r="N19" s="28"/>
      <c r="O19" s="28"/>
    </row>
    <row r="20" spans="1:16" ht="12.75" customHeight="1">
      <c r="A20" s="132" t="s">
        <v>95</v>
      </c>
      <c r="B20" s="29"/>
      <c r="C20" s="37">
        <f>SUM(C14:C19)</f>
        <v>13.340000000000032</v>
      </c>
      <c r="D20" s="29"/>
      <c r="E20" s="37">
        <f>SUM(E14:E19)</f>
        <v>10.259999999999998</v>
      </c>
      <c r="F20" s="29"/>
      <c r="G20" s="37">
        <f>SUM(G14:G19)</f>
        <v>23.600000000000033</v>
      </c>
      <c r="H20" s="29"/>
      <c r="I20" s="37">
        <f>SUM(I14:I19)</f>
        <v>0</v>
      </c>
      <c r="J20" s="29"/>
      <c r="K20" s="37">
        <f>SUM(K14:K19)</f>
        <v>23.600000000000033</v>
      </c>
      <c r="M20" s="28"/>
      <c r="N20" s="28"/>
      <c r="O20" s="28"/>
    </row>
    <row r="21" spans="1:16" ht="12.7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8"/>
      <c r="N21" s="28"/>
      <c r="O21" s="28"/>
    </row>
    <row r="22" spans="1:16" ht="12.75" customHeight="1">
      <c r="A22" s="27" t="s">
        <v>96</v>
      </c>
      <c r="B22" s="29"/>
      <c r="C22" s="29">
        <f>[5]Update!D42</f>
        <v>80.5</v>
      </c>
      <c r="D22" s="29"/>
      <c r="E22" s="29">
        <f>G22-C22</f>
        <v>0</v>
      </c>
      <c r="F22" s="29"/>
      <c r="G22" s="29">
        <f>[5]Update!D23</f>
        <v>80.5</v>
      </c>
      <c r="H22" s="29"/>
      <c r="I22" s="29">
        <v>0</v>
      </c>
      <c r="J22" s="29"/>
      <c r="K22" s="29">
        <f>I22+G22</f>
        <v>80.5</v>
      </c>
    </row>
    <row r="23" spans="1:16" ht="12.75" customHeight="1">
      <c r="A23" s="28" t="s">
        <v>97</v>
      </c>
      <c r="B23" s="29"/>
      <c r="C23" s="29">
        <f>[5]Update!AV42</f>
        <v>-3.5000000000000009</v>
      </c>
      <c r="D23" s="29"/>
      <c r="E23" s="29">
        <f>G23-C23</f>
        <v>1.4000000000000012</v>
      </c>
      <c r="F23" s="29"/>
      <c r="G23" s="29">
        <f>[5]Update!AV23</f>
        <v>-2.0999999999999996</v>
      </c>
      <c r="H23" s="29"/>
      <c r="I23" s="29">
        <v>0</v>
      </c>
      <c r="J23" s="29"/>
      <c r="K23" s="29">
        <f>I23+G23</f>
        <v>-2.0999999999999996</v>
      </c>
    </row>
    <row r="24" spans="1:16" ht="12.75" customHeight="1">
      <c r="A24" s="27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6" s="34" customFormat="1" ht="12.75" customHeight="1">
      <c r="A25" s="27" t="s">
        <v>98</v>
      </c>
      <c r="B25" s="29"/>
      <c r="C25" s="29">
        <f>[5]Update!F42</f>
        <v>61.900000000000006</v>
      </c>
      <c r="D25" s="29"/>
      <c r="E25" s="29">
        <f>G25-C25</f>
        <v>-7.8860000000000028</v>
      </c>
      <c r="F25" s="29"/>
      <c r="G25" s="29">
        <f>[5]Update!F23</f>
        <v>54.014000000000003</v>
      </c>
      <c r="H25" s="29"/>
      <c r="I25" s="29">
        <f>'[5]IBIT - .40'!I11*0.5</f>
        <v>2.5</v>
      </c>
      <c r="J25" s="29"/>
      <c r="K25" s="29">
        <f>I25+G25</f>
        <v>56.514000000000003</v>
      </c>
      <c r="N25" s="34">
        <f>45*0.13</f>
        <v>5.8500000000000005</v>
      </c>
    </row>
    <row r="26" spans="1:16" s="34" customFormat="1" ht="12.75" customHeight="1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6" s="34" customFormat="1" ht="12.75" customHeight="1">
      <c r="A27" s="27" t="s">
        <v>37</v>
      </c>
      <c r="B27" s="29"/>
      <c r="C27" s="29">
        <f>[5]Update!AJ42</f>
        <v>2.899999999999971</v>
      </c>
      <c r="D27" s="29"/>
      <c r="E27" s="29">
        <f>G27-C27</f>
        <v>-0.24999999999997113</v>
      </c>
      <c r="F27" s="29"/>
      <c r="G27" s="29">
        <f>[5]Update!AJ23</f>
        <v>2.65</v>
      </c>
      <c r="H27" s="29"/>
      <c r="I27" s="29">
        <v>0</v>
      </c>
      <c r="J27" s="29"/>
      <c r="K27" s="29">
        <f>I27+G27</f>
        <v>2.65</v>
      </c>
      <c r="L27" s="5"/>
      <c r="M27" s="5"/>
      <c r="N27" s="5"/>
      <c r="O27" s="5"/>
      <c r="P27" s="5"/>
    </row>
    <row r="28" spans="1:16" s="34" customFormat="1" ht="12.75" customHeight="1">
      <c r="A28" s="28" t="s">
        <v>99</v>
      </c>
      <c r="B28" s="29"/>
      <c r="C28" s="29">
        <f>[5]Update!AL42</f>
        <v>-4.5289999999998151E-2</v>
      </c>
      <c r="D28" s="29"/>
      <c r="E28" s="29">
        <f>G28-C28</f>
        <v>0</v>
      </c>
      <c r="F28" s="29"/>
      <c r="G28" s="29">
        <f>[5]Update!AL23</f>
        <v>-4.5289999999998151E-2</v>
      </c>
      <c r="H28" s="29"/>
      <c r="I28" s="29">
        <v>0</v>
      </c>
      <c r="J28" s="29"/>
      <c r="K28" s="29">
        <f>I28+G28</f>
        <v>-4.5289999999998151E-2</v>
      </c>
      <c r="L28" s="5"/>
      <c r="M28" s="5"/>
      <c r="N28" s="5"/>
      <c r="O28" s="5"/>
      <c r="P28" s="5"/>
    </row>
    <row r="29" spans="1:16" s="34" customFormat="1" ht="12.7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5"/>
      <c r="M29" s="5"/>
      <c r="N29" s="5"/>
      <c r="O29" s="5"/>
      <c r="P29" s="5"/>
    </row>
    <row r="30" spans="1:16" s="34" customFormat="1" ht="12.75" customHeight="1">
      <c r="A30" s="27" t="s">
        <v>41</v>
      </c>
      <c r="B30" s="29"/>
      <c r="C30" s="29">
        <f>[5]Update!AN42</f>
        <v>-11.654257923234077</v>
      </c>
      <c r="D30" s="29"/>
      <c r="E30" s="29">
        <f>G30-C30</f>
        <v>2.954257923234076</v>
      </c>
      <c r="F30" s="29"/>
      <c r="G30" s="29">
        <f>[5]Update!AN23</f>
        <v>-8.7000000000000011</v>
      </c>
      <c r="H30" s="29"/>
      <c r="I30" s="29">
        <f>'[5]IBIT - .40'!$I$38*0.6</f>
        <v>3.5999999999999996</v>
      </c>
      <c r="J30" s="29"/>
      <c r="K30" s="29">
        <f>I30+G30</f>
        <v>-5.1000000000000014</v>
      </c>
      <c r="L30" s="5"/>
      <c r="M30" s="5"/>
      <c r="N30" s="5"/>
      <c r="O30" s="5"/>
      <c r="P30" s="5"/>
    </row>
    <row r="31" spans="1:16" ht="12.75" customHeight="1">
      <c r="A31" s="27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6" ht="12.75" customHeight="1">
      <c r="A32" s="27" t="s">
        <v>100</v>
      </c>
      <c r="B32" s="29"/>
      <c r="C32" s="29">
        <f>[5]Update!AF42</f>
        <v>5.0000000000000036</v>
      </c>
      <c r="D32" s="29"/>
      <c r="E32" s="29">
        <f>G32-C32</f>
        <v>0.49999999999999645</v>
      </c>
      <c r="F32" s="29"/>
      <c r="G32" s="29">
        <f>[5]Update!AF23</f>
        <v>5.5</v>
      </c>
      <c r="H32" s="29"/>
      <c r="I32" s="29">
        <v>0</v>
      </c>
      <c r="J32" s="29"/>
      <c r="K32" s="29">
        <f>I32+G32</f>
        <v>5.5</v>
      </c>
    </row>
    <row r="33" spans="1:13" ht="12.75" customHeight="1">
      <c r="A33" s="132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3" ht="12.75" customHeight="1">
      <c r="A34" s="133" t="s">
        <v>101</v>
      </c>
      <c r="B34" s="29"/>
      <c r="C34" s="29">
        <f>[5]Update!AP42</f>
        <v>-4.8</v>
      </c>
      <c r="D34" s="29"/>
      <c r="E34" s="29">
        <f>G34-C34</f>
        <v>-6.2</v>
      </c>
      <c r="F34" s="29"/>
      <c r="G34" s="29">
        <f>[5]Update!AP23</f>
        <v>-11</v>
      </c>
      <c r="H34" s="29"/>
      <c r="I34" s="29">
        <f>'[5]IBIT - .40'!I46</f>
        <v>0</v>
      </c>
      <c r="J34" s="29"/>
      <c r="K34" s="29">
        <f>I34+G34</f>
        <v>-11</v>
      </c>
    </row>
    <row r="35" spans="1:13" ht="12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3" ht="12.75" customHeight="1">
      <c r="A36" s="27" t="s">
        <v>102</v>
      </c>
      <c r="B36" s="29"/>
      <c r="C36" s="29">
        <f>ROUND([5]Update!AR42,1)</f>
        <v>5.3</v>
      </c>
      <c r="D36" s="29"/>
      <c r="E36" s="29">
        <f>G36-C36</f>
        <v>0</v>
      </c>
      <c r="F36" s="29"/>
      <c r="G36" s="29">
        <f>[5]Update!AR23</f>
        <v>5.3000000000000007</v>
      </c>
      <c r="H36" s="29"/>
      <c r="I36" s="29">
        <v>1.7</v>
      </c>
      <c r="J36" s="29"/>
      <c r="K36" s="29">
        <f>I36+G36</f>
        <v>7.0000000000000009</v>
      </c>
      <c r="L36" s="28"/>
    </row>
    <row r="37" spans="1:13" ht="12.75" customHeight="1">
      <c r="A37" s="28" t="s">
        <v>103</v>
      </c>
      <c r="B37" s="29"/>
      <c r="C37" s="29">
        <f>[5]Update!AT42</f>
        <v>-1.5169000000000048</v>
      </c>
      <c r="D37" s="29"/>
      <c r="E37" s="29">
        <f>G37-C37</f>
        <v>0.41690000000000471</v>
      </c>
      <c r="F37" s="29"/>
      <c r="G37" s="29">
        <f>[5]Update!AT23</f>
        <v>-1.1000000000000001</v>
      </c>
      <c r="H37" s="29"/>
      <c r="I37" s="29">
        <f>'[5]IBIT - .40'!I48</f>
        <v>1.8</v>
      </c>
      <c r="J37" s="29"/>
      <c r="K37" s="29">
        <f>I37+G37</f>
        <v>0.7</v>
      </c>
    </row>
    <row r="38" spans="1:13" ht="12.75" customHeight="1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</row>
    <row r="39" spans="1:13" ht="12.75" customHeight="1">
      <c r="A39" s="27" t="s">
        <v>104</v>
      </c>
      <c r="B39" s="29"/>
      <c r="C39" s="29">
        <f>[5]Update!AD42</f>
        <v>11.977</v>
      </c>
      <c r="D39" s="29"/>
      <c r="E39" s="29">
        <f>G39-C39</f>
        <v>33.322999999999993</v>
      </c>
      <c r="F39" s="29"/>
      <c r="G39" s="29">
        <f>[5]Update!AD23</f>
        <v>45.29999999999999</v>
      </c>
      <c r="H39" s="29"/>
      <c r="I39" s="29">
        <f>ROUND('[5]IBIT - .40'!I26*0.63,1)</f>
        <v>6.3</v>
      </c>
      <c r="J39" s="29"/>
      <c r="K39" s="29">
        <f>I39+G39</f>
        <v>51.599999999999987</v>
      </c>
      <c r="L39" s="28"/>
    </row>
    <row r="40" spans="1:13" ht="12.75" customHeight="1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3" ht="12.75" customHeight="1">
      <c r="A41" s="27" t="s">
        <v>105</v>
      </c>
      <c r="B41" s="29"/>
      <c r="C41" s="29">
        <f>[5]Update!AX42</f>
        <v>-0.88602280000000011</v>
      </c>
      <c r="D41" s="29"/>
      <c r="E41" s="29">
        <f>G41-C41</f>
        <v>0</v>
      </c>
      <c r="F41" s="29"/>
      <c r="G41" s="29">
        <f>[5]Update!AX23</f>
        <v>-0.88602280000000011</v>
      </c>
      <c r="H41" s="29"/>
      <c r="I41" s="29">
        <v>0</v>
      </c>
      <c r="J41" s="29"/>
      <c r="K41" s="29">
        <f>I41+G41</f>
        <v>-0.88602280000000011</v>
      </c>
    </row>
    <row r="42" spans="1:13" ht="12.75" customHeight="1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3" ht="12.75" customHeight="1">
      <c r="A43" s="134" t="s">
        <v>106</v>
      </c>
      <c r="B43" s="29"/>
      <c r="C43" s="81">
        <f>[5]Update!BF42+[5]Update!BB42</f>
        <v>49.209919698231658</v>
      </c>
      <c r="D43" s="81"/>
      <c r="E43" s="29">
        <f>G43-C43</f>
        <v>-8.8789196982316554</v>
      </c>
      <c r="F43" s="81"/>
      <c r="G43" s="81">
        <f>[5]Update!BB23+[5]Update!BF23+[5]Update!BH23</f>
        <v>40.331000000000003</v>
      </c>
      <c r="H43" s="81"/>
      <c r="I43" s="29">
        <f>('[5]IBIT - .40'!I51*0.63)+18-2.1</f>
        <v>27.24</v>
      </c>
      <c r="J43" s="81"/>
      <c r="K43" s="29">
        <f>I43+G43</f>
        <v>67.570999999999998</v>
      </c>
    </row>
    <row r="44" spans="1:13" ht="12.75" hidden="1" customHeight="1">
      <c r="A44" s="135" t="s">
        <v>107</v>
      </c>
      <c r="B44" s="29"/>
      <c r="C44" s="81">
        <v>0</v>
      </c>
      <c r="D44" s="81"/>
      <c r="E44" s="29">
        <f>G44-C44</f>
        <v>0</v>
      </c>
      <c r="F44" s="81"/>
      <c r="G44" s="81">
        <f>[5]Update!BB24+[5]Update!BF24+[5]Update!BH24</f>
        <v>0</v>
      </c>
      <c r="H44" s="81"/>
      <c r="I44" s="29">
        <f>'[5]IBIT - .40'!I53*0.63</f>
        <v>0</v>
      </c>
      <c r="J44" s="81"/>
      <c r="K44" s="29">
        <f>I44+G44</f>
        <v>0</v>
      </c>
    </row>
    <row r="45" spans="1:13" ht="12.75" customHeight="1">
      <c r="A45" s="28" t="s">
        <v>108</v>
      </c>
      <c r="B45" s="29"/>
      <c r="C45" s="29">
        <f>[5]Update!AH42</f>
        <v>9.4499999999999993</v>
      </c>
      <c r="D45" s="29"/>
      <c r="E45" s="29">
        <f>G45-C45</f>
        <v>-4.032</v>
      </c>
      <c r="F45" s="29"/>
      <c r="G45" s="29">
        <f>[5]Update!AH23</f>
        <v>5.4179999999999993</v>
      </c>
      <c r="H45" s="29"/>
      <c r="I45" s="29">
        <v>0</v>
      </c>
      <c r="J45" s="29"/>
      <c r="K45" s="29">
        <f>I45+G45</f>
        <v>5.4179999999999993</v>
      </c>
    </row>
    <row r="46" spans="1:13" ht="12.75" customHeight="1">
      <c r="A46" s="28" t="s">
        <v>109</v>
      </c>
      <c r="B46" s="29"/>
      <c r="C46" s="29">
        <f>[5]Update!AZ42</f>
        <v>-101.5</v>
      </c>
      <c r="D46" s="29"/>
      <c r="E46" s="29">
        <f>G46-C46</f>
        <v>-4.402000000000001</v>
      </c>
      <c r="F46" s="29"/>
      <c r="G46" s="29">
        <f>[5]Update!AZ23+[5]Update!L23</f>
        <v>-105.902</v>
      </c>
      <c r="H46" s="29"/>
      <c r="I46" s="29">
        <f>-'[5]IBIT - .40'!$I$62*0.63</f>
        <v>-1.26</v>
      </c>
      <c r="J46" s="29"/>
      <c r="K46" s="29">
        <f>I46+G46</f>
        <v>-107.16200000000001</v>
      </c>
      <c r="L46" s="14"/>
      <c r="M46" s="14"/>
    </row>
    <row r="47" spans="1:13" s="28" customFormat="1" ht="12.75" customHeight="1">
      <c r="B47" s="136"/>
      <c r="C47" s="136"/>
      <c r="D47" s="136"/>
      <c r="E47" s="136"/>
      <c r="F47" s="136"/>
      <c r="G47" s="136"/>
      <c r="H47" s="136"/>
      <c r="I47" s="136"/>
      <c r="J47" s="136"/>
      <c r="K47" s="136"/>
    </row>
    <row r="48" spans="1:13" s="28" customFormat="1" ht="12.75">
      <c r="A48" s="50" t="s">
        <v>110</v>
      </c>
      <c r="B48" s="137"/>
      <c r="C48" s="138">
        <f>ROUND([5]Update!BD42,1)</f>
        <v>60.2</v>
      </c>
      <c r="D48" s="138"/>
      <c r="E48" s="138">
        <f>G48-C48</f>
        <v>-12.799999999999997</v>
      </c>
      <c r="F48" s="138"/>
      <c r="G48" s="138">
        <f>[5]Update!BD23</f>
        <v>47.400000000000006</v>
      </c>
      <c r="H48" s="138"/>
      <c r="I48" s="138">
        <f>K48-G48</f>
        <v>-47.400000000000006</v>
      </c>
      <c r="J48" s="138"/>
      <c r="K48" s="138">
        <f>'[5]IBIT - .40'!K58*0.63</f>
        <v>0</v>
      </c>
    </row>
    <row r="49" spans="1:13" s="28" customFormat="1" ht="6" customHeight="1">
      <c r="B49" s="136"/>
      <c r="C49" s="139"/>
      <c r="D49" s="136"/>
      <c r="E49" s="139"/>
      <c r="F49" s="136"/>
      <c r="G49" s="139"/>
      <c r="H49" s="136"/>
      <c r="I49" s="139"/>
      <c r="J49" s="136"/>
      <c r="K49" s="139"/>
    </row>
    <row r="50" spans="1:13" s="28" customFormat="1" ht="12.75">
      <c r="A50" s="27" t="s">
        <v>111</v>
      </c>
      <c r="B50" s="136"/>
      <c r="C50" s="140">
        <f>SUM(C9:C49)-C20</f>
        <v>307.37444897499751</v>
      </c>
      <c r="D50" s="140"/>
      <c r="E50" s="140">
        <f>SUM(E9:E49)-E20</f>
        <v>4.5052382250024472</v>
      </c>
      <c r="F50" s="140"/>
      <c r="G50" s="140">
        <f>SUM(G9:G49)-G20</f>
        <v>311.87968720000003</v>
      </c>
      <c r="H50" s="140"/>
      <c r="I50" s="140">
        <f>SUM(I9:I49)-I20</f>
        <v>26.079999999999984</v>
      </c>
      <c r="J50" s="140"/>
      <c r="K50" s="140">
        <f>SUM(K9:K49)-K20</f>
        <v>337.95968719999996</v>
      </c>
    </row>
    <row r="51" spans="1:13" s="28" customFormat="1" ht="8.1" customHeight="1">
      <c r="A51" s="27"/>
      <c r="B51" s="136"/>
      <c r="C51" s="141"/>
      <c r="D51" s="141"/>
      <c r="E51" s="141"/>
      <c r="F51" s="141"/>
      <c r="G51" s="141"/>
      <c r="H51" s="141"/>
      <c r="I51" s="141"/>
      <c r="J51" s="141"/>
      <c r="K51" s="141"/>
    </row>
    <row r="52" spans="1:13" s="28" customFormat="1" ht="12.75">
      <c r="A52" s="28" t="s">
        <v>112</v>
      </c>
      <c r="B52" s="136"/>
      <c r="C52" s="142">
        <v>15</v>
      </c>
      <c r="D52" s="142"/>
      <c r="E52" s="29">
        <f>G52-C52</f>
        <v>-15</v>
      </c>
      <c r="F52" s="142"/>
      <c r="G52" s="142">
        <v>0</v>
      </c>
      <c r="H52" s="142"/>
      <c r="I52" s="29">
        <f>K52-G52</f>
        <v>0</v>
      </c>
      <c r="J52" s="142"/>
      <c r="K52" s="142">
        <v>0</v>
      </c>
    </row>
    <row r="53" spans="1:13" s="28" customFormat="1" ht="8.1" hidden="1" customHeight="1">
      <c r="A53" s="27"/>
      <c r="B53" s="136"/>
      <c r="C53" s="143"/>
      <c r="D53" s="141"/>
      <c r="E53" s="143"/>
      <c r="F53" s="141"/>
      <c r="G53" s="143"/>
      <c r="H53" s="141"/>
      <c r="I53" s="143"/>
      <c r="J53" s="141"/>
      <c r="K53" s="143"/>
    </row>
    <row r="54" spans="1:13" s="28" customFormat="1" ht="12.75" hidden="1">
      <c r="A54" s="11" t="s">
        <v>113</v>
      </c>
      <c r="B54" s="136"/>
      <c r="C54" s="144">
        <f>C50-C52</f>
        <v>292.37444897499751</v>
      </c>
      <c r="D54" s="144"/>
      <c r="E54" s="144">
        <f>E50-E52</f>
        <v>19.505238225002447</v>
      </c>
      <c r="F54" s="144"/>
      <c r="G54" s="144">
        <f>G50-G52</f>
        <v>311.87968720000003</v>
      </c>
      <c r="H54" s="144"/>
      <c r="I54" s="144">
        <f>I50-I52</f>
        <v>26.079999999999984</v>
      </c>
      <c r="J54" s="144"/>
      <c r="K54" s="144">
        <f>K50-K52</f>
        <v>337.95968719999996</v>
      </c>
      <c r="L54" s="29"/>
    </row>
    <row r="55" spans="1:13" s="28" customFormat="1" ht="8.1" hidden="1" customHeight="1">
      <c r="A55" s="49"/>
      <c r="B55" s="136"/>
      <c r="C55" s="141"/>
      <c r="D55" s="141"/>
      <c r="E55" s="141"/>
      <c r="F55" s="141"/>
      <c r="G55" s="141"/>
      <c r="H55" s="141"/>
      <c r="I55" s="141"/>
      <c r="J55" s="141"/>
      <c r="K55" s="141"/>
    </row>
    <row r="56" spans="1:13" s="28" customFormat="1" ht="12.75" hidden="1">
      <c r="A56" s="27" t="s">
        <v>114</v>
      </c>
      <c r="B56" s="136"/>
      <c r="C56" s="145">
        <v>0</v>
      </c>
      <c r="D56" s="145"/>
      <c r="E56" s="145">
        <v>0</v>
      </c>
      <c r="F56" s="145"/>
      <c r="G56" s="145">
        <v>0</v>
      </c>
      <c r="H56" s="145"/>
      <c r="I56" s="145">
        <v>0</v>
      </c>
      <c r="J56" s="145"/>
      <c r="K56" s="145">
        <v>0</v>
      </c>
    </row>
    <row r="57" spans="1:13" s="28" customFormat="1" ht="8.1" customHeight="1">
      <c r="A57" s="27"/>
      <c r="B57" s="136"/>
      <c r="C57" s="143"/>
      <c r="D57" s="141"/>
      <c r="E57" s="143"/>
      <c r="F57" s="141"/>
      <c r="G57" s="143"/>
      <c r="H57" s="141"/>
      <c r="I57" s="143"/>
      <c r="J57" s="141"/>
      <c r="K57" s="143"/>
    </row>
    <row r="58" spans="1:13" s="28" customFormat="1" ht="13.5" thickBot="1">
      <c r="A58" s="11" t="s">
        <v>66</v>
      </c>
      <c r="B58" s="136"/>
      <c r="C58" s="146">
        <f>C54+C56</f>
        <v>292.37444897499751</v>
      </c>
      <c r="D58" s="141"/>
      <c r="E58" s="146">
        <f>E54+E56</f>
        <v>19.505238225002447</v>
      </c>
      <c r="F58" s="141"/>
      <c r="G58" s="146">
        <f>G54+G56</f>
        <v>311.87968720000003</v>
      </c>
      <c r="H58" s="141"/>
      <c r="I58" s="146">
        <f>I54+I56</f>
        <v>26.079999999999984</v>
      </c>
      <c r="J58" s="141"/>
      <c r="K58" s="146">
        <f>K54+K56</f>
        <v>337.95968719999996</v>
      </c>
    </row>
    <row r="59" spans="1:13" s="28" customFormat="1" ht="8.1" customHeight="1" thickTop="1"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3" s="27" customFormat="1" ht="12.75">
      <c r="A60" s="27" t="s">
        <v>69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3" s="28" customFormat="1" ht="12.75">
      <c r="A61" s="28" t="s">
        <v>115</v>
      </c>
      <c r="B61" s="147"/>
      <c r="C61" s="148">
        <f>ROUND(C58/C65,2)</f>
        <v>0.37</v>
      </c>
      <c r="D61" s="148"/>
      <c r="E61" s="148">
        <f>G61-C61</f>
        <v>3.0000000000000027E-2</v>
      </c>
      <c r="F61" s="148"/>
      <c r="G61" s="148">
        <f>ROUND(G54/G65,1)</f>
        <v>0.4</v>
      </c>
      <c r="H61" s="148"/>
      <c r="I61" s="148">
        <f>K61-G61</f>
        <v>0</v>
      </c>
      <c r="J61" s="148"/>
      <c r="K61" s="148">
        <f>ROUND(K54/K65,2)</f>
        <v>0.4</v>
      </c>
      <c r="M61" s="149"/>
    </row>
    <row r="62" spans="1:13" s="28" customFormat="1" ht="12.75">
      <c r="A62" s="28" t="s">
        <v>116</v>
      </c>
      <c r="B62" s="147"/>
      <c r="C62" s="150">
        <v>0</v>
      </c>
      <c r="D62" s="151"/>
      <c r="E62" s="150">
        <v>0</v>
      </c>
      <c r="F62" s="151"/>
      <c r="G62" s="150">
        <v>0</v>
      </c>
      <c r="H62" s="151"/>
      <c r="I62" s="150">
        <v>0</v>
      </c>
      <c r="J62" s="151"/>
      <c r="K62" s="150">
        <v>0</v>
      </c>
      <c r="M62" s="149"/>
    </row>
    <row r="63" spans="1:13" s="27" customFormat="1" ht="13.5" thickBot="1">
      <c r="B63" s="152"/>
      <c r="C63" s="153">
        <f>SUM(C61:C62)</f>
        <v>0.37</v>
      </c>
      <c r="D63" s="154"/>
      <c r="E63" s="153">
        <f>SUM(E61:E62)</f>
        <v>3.0000000000000027E-2</v>
      </c>
      <c r="F63" s="154"/>
      <c r="G63" s="153">
        <f>SUM(G61:G62)</f>
        <v>0.4</v>
      </c>
      <c r="H63" s="154"/>
      <c r="I63" s="153">
        <f>SUM(I61:I62)</f>
        <v>0</v>
      </c>
      <c r="J63" s="154"/>
      <c r="K63" s="153">
        <f>SUM(K61:K62)</f>
        <v>0.4</v>
      </c>
    </row>
    <row r="64" spans="1:13" s="27" customFormat="1" ht="13.5" thickTop="1">
      <c r="B64" s="152"/>
      <c r="C64" s="152"/>
      <c r="D64" s="152"/>
      <c r="E64" s="152"/>
      <c r="F64" s="152"/>
      <c r="G64" s="152"/>
      <c r="H64" s="152"/>
      <c r="I64" s="152"/>
      <c r="J64" s="152"/>
      <c r="K64" s="152"/>
    </row>
    <row r="65" spans="1:11" s="26" customFormat="1" ht="12">
      <c r="A65" s="26" t="s">
        <v>73</v>
      </c>
      <c r="B65" s="104"/>
      <c r="C65" s="104">
        <f>'[6]IBIT 1st qtr'!C86</f>
        <v>788.2</v>
      </c>
      <c r="D65" s="104"/>
      <c r="E65" s="104"/>
      <c r="F65" s="104"/>
      <c r="G65" s="104">
        <f>'[5]IBIT - .40'!G83</f>
        <v>853.68700000000001</v>
      </c>
      <c r="H65" s="104"/>
      <c r="I65" s="104"/>
      <c r="J65" s="104"/>
      <c r="K65" s="104">
        <f>G65</f>
        <v>853.68700000000001</v>
      </c>
    </row>
    <row r="66" spans="1:11" s="26" customFormat="1" ht="12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1:11" s="28" customFormat="1" ht="8.1" customHeight="1"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>
      <c r="A68" s="113" t="str">
        <f ca="1">CELL("filename",A1)</f>
        <v/>
      </c>
    </row>
    <row r="69" spans="1:11">
      <c r="A69" s="155">
        <f ca="1">NOW()</f>
        <v>36616.719513425924</v>
      </c>
      <c r="C69" s="156"/>
      <c r="D69" s="156"/>
      <c r="E69" s="156"/>
      <c r="F69" s="156"/>
      <c r="G69" s="156"/>
      <c r="H69" s="156"/>
      <c r="I69" s="156"/>
      <c r="J69" s="156"/>
      <c r="K69" s="156"/>
    </row>
    <row r="72" spans="1:11">
      <c r="C72" s="5">
        <f>C58-'[5]IBIT 1st qtr'!C75</f>
        <v>-1.9183635646584207E-2</v>
      </c>
      <c r="G72" s="5">
        <f>G58-'[5]IBIT - .40'!G76</f>
        <v>0</v>
      </c>
      <c r="K72" s="5">
        <f>K58-'[5]IBIT - .40'!K76</f>
        <v>-3.1910800000161998E-2</v>
      </c>
    </row>
  </sheetData>
  <mergeCells count="1">
    <mergeCell ref="C5:K5"/>
  </mergeCells>
  <printOptions horizontalCentered="1"/>
  <pageMargins left="0" right="0" top="0.5" bottom="0.21" header="0.25" footer="0.21"/>
  <pageSetup scale="88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IBIT - .40</vt:lpstr>
      <vt:lpstr>NI - .40 &amp; 18%</vt:lpstr>
      <vt:lpstr>'NI - .40 &amp; 18%'!INCOME</vt:lpstr>
      <vt:lpstr>'IBIT - .40'!Print_Area</vt:lpstr>
      <vt:lpstr>'NI - .40 &amp; 18%'!Print_Area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Jan Havlíček</cp:lastModifiedBy>
  <dcterms:created xsi:type="dcterms:W3CDTF">2000-03-31T23:15:51Z</dcterms:created>
  <dcterms:modified xsi:type="dcterms:W3CDTF">2023-09-17T19:46:55Z</dcterms:modified>
</cp:coreProperties>
</file>