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731003-232B-4FE5-A351-4BAFE589AA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" i="1" l="1"/>
  <c r="B6" i="1"/>
  <c r="C10" i="1"/>
  <c r="D10" i="1"/>
  <c r="F10" i="1"/>
  <c r="D11" i="1"/>
  <c r="F11" i="1"/>
  <c r="D12" i="1"/>
  <c r="F12" i="1"/>
  <c r="C13" i="1"/>
  <c r="D13" i="1"/>
  <c r="F13" i="1"/>
  <c r="D14" i="1"/>
  <c r="F14" i="1"/>
  <c r="D15" i="1"/>
  <c r="F15" i="1"/>
  <c r="D16" i="1"/>
  <c r="F16" i="1"/>
  <c r="D17" i="1"/>
  <c r="F17" i="1"/>
  <c r="C18" i="1"/>
  <c r="D18" i="1"/>
  <c r="F18" i="1"/>
  <c r="D19" i="1"/>
  <c r="F19" i="1"/>
  <c r="D20" i="1"/>
  <c r="F20" i="1"/>
  <c r="E21" i="1"/>
  <c r="F21" i="1"/>
  <c r="E28" i="1"/>
  <c r="F28" i="1"/>
  <c r="C31" i="1"/>
  <c r="E31" i="1"/>
  <c r="F31" i="1"/>
  <c r="C34" i="1"/>
  <c r="D34" i="1"/>
  <c r="F34" i="1"/>
  <c r="C35" i="1"/>
  <c r="D35" i="1"/>
  <c r="F35" i="1"/>
  <c r="C36" i="1"/>
  <c r="D36" i="1"/>
  <c r="F36" i="1"/>
  <c r="H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D48" i="1"/>
  <c r="F48" i="1"/>
  <c r="E49" i="1"/>
  <c r="F49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D61" i="1"/>
  <c r="F61" i="1"/>
  <c r="E62" i="1"/>
  <c r="F62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E70" i="1"/>
  <c r="F70" i="1"/>
  <c r="D73" i="1"/>
  <c r="F73" i="1"/>
  <c r="D74" i="1"/>
  <c r="F74" i="1"/>
  <c r="D75" i="1"/>
  <c r="F75" i="1"/>
  <c r="D76" i="1"/>
  <c r="F76" i="1"/>
  <c r="D77" i="1"/>
  <c r="F77" i="1"/>
  <c r="E78" i="1"/>
  <c r="F78" i="1"/>
  <c r="E80" i="1"/>
  <c r="F80" i="1"/>
  <c r="D82" i="1"/>
  <c r="F82" i="1"/>
  <c r="D83" i="1"/>
  <c r="F83" i="1"/>
  <c r="E84" i="1"/>
  <c r="F84" i="1"/>
  <c r="F85" i="1"/>
  <c r="E86" i="1"/>
  <c r="F86" i="1"/>
  <c r="E90" i="1"/>
  <c r="E91" i="1"/>
  <c r="E92" i="1"/>
  <c r="E93" i="1"/>
  <c r="E94" i="1"/>
  <c r="C95" i="1"/>
  <c r="E95" i="1"/>
  <c r="F96" i="1"/>
  <c r="D99" i="1"/>
  <c r="E99" i="1"/>
  <c r="D6" i="2"/>
  <c r="B7" i="2"/>
  <c r="D7" i="2"/>
  <c r="D12" i="2"/>
  <c r="B14" i="2"/>
  <c r="D14" i="2"/>
  <c r="B17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</calcChain>
</file>

<file path=xl/sharedStrings.xml><?xml version="1.0" encoding="utf-8"?>
<sst xmlns="http://schemas.openxmlformats.org/spreadsheetml/2006/main" count="142" uniqueCount="120">
  <si>
    <t>Cost Estimates</t>
  </si>
  <si>
    <t>Long Haul Miles</t>
  </si>
  <si>
    <t>Long Haul Feet</t>
  </si>
  <si>
    <t>Metro Miles</t>
  </si>
  <si>
    <t>Total Miles</t>
  </si>
  <si>
    <t>Unit Price</t>
  </si>
  <si>
    <t># of Units</t>
  </si>
  <si>
    <t>Total Cost</t>
  </si>
  <si>
    <t>Per Mile</t>
  </si>
  <si>
    <t>Notes</t>
  </si>
  <si>
    <t>R-O-W Acquisition Costs</t>
  </si>
  <si>
    <t>Acquisition Costs</t>
  </si>
  <si>
    <t>Ingress/Egress Easements</t>
  </si>
  <si>
    <t>2% of Acquisition</t>
  </si>
  <si>
    <t>Staging Areas</t>
  </si>
  <si>
    <t>Damages</t>
  </si>
  <si>
    <t>Litigation</t>
  </si>
  <si>
    <t>Permit Fees</t>
  </si>
  <si>
    <t>Property Plats</t>
  </si>
  <si>
    <t>Contract Labor-Titles</t>
  </si>
  <si>
    <t>Contract Labor-Acquisition</t>
  </si>
  <si>
    <t>Contr. Labor-Constr. Sprt</t>
  </si>
  <si>
    <t>ROW Misc</t>
  </si>
  <si>
    <t>Subtotal</t>
  </si>
  <si>
    <t>Environmental Costs</t>
  </si>
  <si>
    <t>Surveys</t>
  </si>
  <si>
    <t>Permit Applications</t>
  </si>
  <si>
    <t>Mitigation</t>
  </si>
  <si>
    <t>Misc.</t>
  </si>
  <si>
    <t>incl. Permitting</t>
  </si>
  <si>
    <t>Engineering Costs</t>
  </si>
  <si>
    <t>Construction</t>
  </si>
  <si>
    <t>Clearing</t>
  </si>
  <si>
    <t>Mowing</t>
  </si>
  <si>
    <t>CAT Plow</t>
  </si>
  <si>
    <t>Trench</t>
  </si>
  <si>
    <t>Trench Rock</t>
  </si>
  <si>
    <t>Trench BSP</t>
  </si>
  <si>
    <t>Bores/Drills (Blended)</t>
  </si>
  <si>
    <t>Marine Lay</t>
  </si>
  <si>
    <t>Directional Long Bore  / BSP</t>
  </si>
  <si>
    <t>Pull Innerduct (Existing Pipe)</t>
  </si>
  <si>
    <t>Place Handhole</t>
  </si>
  <si>
    <t>4700ft*2per</t>
  </si>
  <si>
    <t>Place Manhole</t>
  </si>
  <si>
    <t>19500 ft</t>
  </si>
  <si>
    <t>Place Marker</t>
  </si>
  <si>
    <t>Prove Conduit</t>
  </si>
  <si>
    <t>Pothole</t>
  </si>
  <si>
    <t>Materials</t>
  </si>
  <si>
    <t>HDPE (1.25")</t>
  </si>
  <si>
    <t>PVC (4")</t>
  </si>
  <si>
    <t>BSP (9")</t>
  </si>
  <si>
    <t>Warning Tape</t>
  </si>
  <si>
    <t>5% overage</t>
  </si>
  <si>
    <t>Handholes</t>
  </si>
  <si>
    <t>2 per 4700'</t>
  </si>
  <si>
    <t>Manholes</t>
  </si>
  <si>
    <t>Couplers</t>
  </si>
  <si>
    <t>5perductmile</t>
  </si>
  <si>
    <t>Pull Rope</t>
  </si>
  <si>
    <t>Markers</t>
  </si>
  <si>
    <t>5% /Matls</t>
  </si>
  <si>
    <t>Facilities</t>
  </si>
  <si>
    <t>Site Preparation</t>
  </si>
  <si>
    <t>Every 55 miles</t>
  </si>
  <si>
    <t>Site Engineering/Permitting</t>
  </si>
  <si>
    <t>Regen Shelter</t>
  </si>
  <si>
    <t>Emergency Generator</t>
  </si>
  <si>
    <t>Power Service</t>
  </si>
  <si>
    <t>Environmental</t>
  </si>
  <si>
    <t>Engineering</t>
  </si>
  <si>
    <t>Construction Support</t>
  </si>
  <si>
    <t>R-O-W</t>
  </si>
  <si>
    <t>Legal</t>
  </si>
  <si>
    <t>Miscellaneous</t>
  </si>
  <si>
    <t>Contingency (10%)</t>
  </si>
  <si>
    <t>Overhead (10%)</t>
  </si>
  <si>
    <t>Total:</t>
  </si>
  <si>
    <t>Metro Builds:</t>
  </si>
  <si>
    <t>$$/Mile-Est.</t>
  </si>
  <si>
    <t>Miles</t>
  </si>
  <si>
    <t>Total</t>
  </si>
  <si>
    <t xml:space="preserve">        New Orleans</t>
  </si>
  <si>
    <t xml:space="preserve">        Tampa</t>
  </si>
  <si>
    <t xml:space="preserve">        Orlando</t>
  </si>
  <si>
    <t>6 ducts/1999 Price</t>
  </si>
  <si>
    <t xml:space="preserve">       Jacksonville</t>
  </si>
  <si>
    <t>Grand Total:</t>
  </si>
  <si>
    <t>Texas-Florida</t>
  </si>
  <si>
    <t>Sub:</t>
  </si>
  <si>
    <t>(Note-incls. 25% Contingency)</t>
  </si>
  <si>
    <t>Shared Risk</t>
  </si>
  <si>
    <t>Worksheet</t>
  </si>
  <si>
    <t>w/o Metros</t>
  </si>
  <si>
    <t>Low</t>
  </si>
  <si>
    <t>High</t>
  </si>
  <si>
    <t>Build Cost</t>
  </si>
  <si>
    <t>ROW Fee</t>
  </si>
  <si>
    <t>w/ Metros</t>
  </si>
  <si>
    <t>Metro Cont.</t>
  </si>
  <si>
    <t>ROW Fee Value</t>
  </si>
  <si>
    <t>($.50/ft X 5,280)</t>
  </si>
  <si>
    <t>(CPI=1.5%)</t>
  </si>
  <si>
    <t>NPV=</t>
  </si>
  <si>
    <t>(Disc. Rate-10%)</t>
  </si>
  <si>
    <t>Year                1</t>
  </si>
  <si>
    <t>(1300 mi)</t>
  </si>
  <si>
    <t>(1353 mi)</t>
  </si>
  <si>
    <t>LongHaul Cont.</t>
  </si>
  <si>
    <t>($28.3kX1300 mi)</t>
  </si>
  <si>
    <t>($28.3kX1353 mi)</t>
  </si>
  <si>
    <t xml:space="preserve">       Miami-Ft. Lauderdale</t>
  </si>
  <si>
    <t>(per mile:)</t>
  </si>
  <si>
    <t>Company Costs (FGT)</t>
  </si>
  <si>
    <t>(10 inspectors)</t>
  </si>
  <si>
    <t>(FERC/PUC)</t>
  </si>
  <si>
    <t>8 per mile</t>
  </si>
  <si>
    <t>4 per mile</t>
  </si>
  <si>
    <t>5% /Labor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</si>
</sst>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0.000%"/>
    <numFmt numFmtId="168" formatCode="_(* #,##0.0_);_(* \(#,##0.0\);_(* &quot;-&quot;??_);_(@_)"/>
  </numFmts>
  <fonts count="23" x14ac:knownFonts="1">
    <font>
      <sz val="10"/>
      <name val="Arial"/>
    </font>
    <font>
      <sz val="10"/>
      <name val="Arial"/>
    </font>
    <font>
      <b/>
      <i/>
      <u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8"/>
      <name val="Arial"/>
      <family val="2"/>
    </font>
    <font>
      <b/>
      <i/>
      <u/>
      <sz val="8"/>
      <name val="Arial"/>
      <family val="2"/>
    </font>
    <font>
      <u/>
      <sz val="8"/>
      <name val="Arial"/>
      <family val="2"/>
    </font>
    <font>
      <b/>
      <u val="singleAccounting"/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u val="singleAccounting"/>
      <sz val="10"/>
      <name val="Arial"/>
      <family val="2"/>
    </font>
    <font>
      <b/>
      <i/>
      <u val="singleAccounting"/>
      <sz val="8"/>
      <name val="Arial"/>
      <family val="2"/>
    </font>
    <font>
      <b/>
      <i/>
      <sz val="9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1" xfId="0" applyFont="1" applyFill="1" applyBorder="1" applyAlignment="1">
      <alignment horizontal="center"/>
    </xf>
    <xf numFmtId="44" fontId="3" fillId="0" borderId="0" xfId="2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5" fontId="3" fillId="0" borderId="0" xfId="2" applyNumberFormat="1" applyFont="1" applyAlignment="1">
      <alignment horizontal="center"/>
    </xf>
    <xf numFmtId="165" fontId="3" fillId="0" borderId="0" xfId="2" applyNumberFormat="1" applyFont="1" applyBorder="1"/>
    <xf numFmtId="165" fontId="4" fillId="0" borderId="0" xfId="2" applyNumberFormat="1" applyFont="1"/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4" fontId="3" fillId="0" borderId="0" xfId="2" applyFont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7" fillId="0" borderId="0" xfId="0" applyFont="1"/>
    <xf numFmtId="44" fontId="8" fillId="0" borderId="0" xfId="2" applyFont="1" applyAlignment="1">
      <alignment horizontal="center"/>
    </xf>
    <xf numFmtId="164" fontId="8" fillId="0" borderId="0" xfId="1" applyNumberFormat="1" applyFont="1" applyAlignment="1">
      <alignment horizontal="center"/>
    </xf>
    <xf numFmtId="165" fontId="8" fillId="0" borderId="0" xfId="2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44" fontId="9" fillId="0" borderId="0" xfId="2" applyFont="1" applyAlignment="1">
      <alignment horizontal="center"/>
    </xf>
    <xf numFmtId="164" fontId="9" fillId="0" borderId="0" xfId="1" applyNumberFormat="1" applyFont="1" applyAlignment="1">
      <alignment horizontal="center"/>
    </xf>
    <xf numFmtId="0" fontId="4" fillId="0" borderId="0" xfId="0" applyFont="1"/>
    <xf numFmtId="165" fontId="3" fillId="0" borderId="0" xfId="2" applyNumberFormat="1" applyFont="1"/>
    <xf numFmtId="9" fontId="4" fillId="0" borderId="0" xfId="0" applyNumberFormat="1" applyFont="1" applyBorder="1" applyAlignment="1">
      <alignment horizontal="center"/>
    </xf>
    <xf numFmtId="0" fontId="10" fillId="0" borderId="0" xfId="0" applyFont="1"/>
    <xf numFmtId="165" fontId="11" fillId="0" borderId="0" xfId="2" applyNumberFormat="1" applyFont="1" applyAlignment="1">
      <alignment horizontal="center"/>
    </xf>
    <xf numFmtId="165" fontId="11" fillId="0" borderId="0" xfId="2" applyNumberFormat="1" applyFont="1" applyBorder="1"/>
    <xf numFmtId="165" fontId="12" fillId="0" borderId="0" xfId="2" applyNumberFormat="1" applyFont="1"/>
    <xf numFmtId="0" fontId="5" fillId="0" borderId="0" xfId="0" applyFont="1"/>
    <xf numFmtId="165" fontId="5" fillId="0" borderId="0" xfId="2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13" fillId="0" borderId="0" xfId="0" applyFont="1"/>
    <xf numFmtId="43" fontId="3" fillId="0" borderId="0" xfId="0" applyNumberFormat="1" applyFont="1" applyBorder="1" applyAlignment="1">
      <alignment horizontal="center"/>
    </xf>
    <xf numFmtId="0" fontId="3" fillId="0" borderId="0" xfId="0" applyFont="1"/>
    <xf numFmtId="165" fontId="8" fillId="0" borderId="0" xfId="2" applyNumberFormat="1" applyFont="1" applyBorder="1"/>
    <xf numFmtId="0" fontId="10" fillId="0" borderId="0" xfId="0" applyFont="1" applyBorder="1" applyAlignment="1">
      <alignment horizontal="center"/>
    </xf>
    <xf numFmtId="44" fontId="5" fillId="0" borderId="0" xfId="2" applyFont="1" applyAlignment="1">
      <alignment horizontal="center"/>
    </xf>
    <xf numFmtId="0" fontId="9" fillId="0" borderId="0" xfId="0" applyFont="1" applyAlignment="1">
      <alignment horizontal="left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43" fontId="0" fillId="0" borderId="0" xfId="0" applyNumberFormat="1"/>
    <xf numFmtId="44" fontId="11" fillId="0" borderId="0" xfId="2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11" fillId="0" borderId="0" xfId="2" applyNumberFormat="1" applyFont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43" fontId="3" fillId="0" borderId="0" xfId="1" applyNumberFormat="1" applyFont="1" applyAlignment="1">
      <alignment horizontal="center"/>
    </xf>
    <xf numFmtId="0" fontId="14" fillId="0" borderId="0" xfId="0" applyFont="1"/>
    <xf numFmtId="165" fontId="11" fillId="0" borderId="0" xfId="2" applyNumberFormat="1" applyFont="1"/>
    <xf numFmtId="0" fontId="14" fillId="0" borderId="0" xfId="0" applyFont="1" applyAlignment="1">
      <alignment horizontal="right"/>
    </xf>
    <xf numFmtId="165" fontId="15" fillId="0" borderId="3" xfId="2" applyNumberFormat="1" applyFont="1" applyBorder="1"/>
    <xf numFmtId="165" fontId="13" fillId="0" borderId="4" xfId="2" applyNumberFormat="1" applyFont="1" applyBorder="1" applyAlignment="1">
      <alignment horizontal="center"/>
    </xf>
    <xf numFmtId="165" fontId="16" fillId="0" borderId="0" xfId="2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3" fillId="0" borderId="6" xfId="2" applyNumberFormat="1" applyFont="1" applyBorder="1"/>
    <xf numFmtId="165" fontId="13" fillId="0" borderId="7" xfId="2" applyNumberFormat="1" applyFont="1" applyBorder="1"/>
    <xf numFmtId="0" fontId="4" fillId="0" borderId="8" xfId="0" applyFont="1" applyBorder="1"/>
    <xf numFmtId="44" fontId="3" fillId="0" borderId="9" xfId="2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5" fontId="13" fillId="0" borderId="9" xfId="2" applyNumberFormat="1" applyFont="1" applyBorder="1"/>
    <xf numFmtId="0" fontId="17" fillId="0" borderId="10" xfId="0" applyFont="1" applyBorder="1"/>
    <xf numFmtId="44" fontId="11" fillId="0" borderId="0" xfId="2" applyFont="1" applyBorder="1" applyAlignment="1">
      <alignment horizontal="center"/>
    </xf>
    <xf numFmtId="164" fontId="11" fillId="0" borderId="0" xfId="1" applyNumberFormat="1" applyFont="1" applyBorder="1" applyAlignment="1">
      <alignment horizontal="center"/>
    </xf>
    <xf numFmtId="165" fontId="11" fillId="0" borderId="0" xfId="2" applyNumberFormat="1" applyFont="1" applyBorder="1" applyAlignment="1">
      <alignment horizontal="center"/>
    </xf>
    <xf numFmtId="0" fontId="4" fillId="0" borderId="10" xfId="0" applyFont="1" applyBorder="1"/>
    <xf numFmtId="168" fontId="3" fillId="0" borderId="0" xfId="1" applyNumberFormat="1" applyFont="1" applyBorder="1" applyAlignment="1">
      <alignment horizontal="center"/>
    </xf>
    <xf numFmtId="168" fontId="11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5" fontId="13" fillId="0" borderId="11" xfId="2" applyNumberFormat="1" applyFont="1" applyBorder="1"/>
    <xf numFmtId="165" fontId="3" fillId="0" borderId="12" xfId="2" applyNumberFormat="1" applyFont="1" applyBorder="1"/>
    <xf numFmtId="44" fontId="3" fillId="0" borderId="13" xfId="2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3" fillId="0" borderId="14" xfId="0" applyFont="1" applyBorder="1"/>
    <xf numFmtId="165" fontId="3" fillId="0" borderId="13" xfId="2" applyNumberFormat="1" applyFont="1" applyBorder="1"/>
    <xf numFmtId="165" fontId="14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right"/>
    </xf>
    <xf numFmtId="0" fontId="18" fillId="0" borderId="10" xfId="0" applyFont="1" applyBorder="1" applyAlignment="1">
      <alignment horizontal="left"/>
    </xf>
    <xf numFmtId="0" fontId="2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165" fontId="2" fillId="0" borderId="0" xfId="2" applyNumberFormat="1" applyFont="1"/>
    <xf numFmtId="165" fontId="13" fillId="0" borderId="0" xfId="2" applyNumberFormat="1" applyFont="1"/>
    <xf numFmtId="165" fontId="13" fillId="0" borderId="0" xfId="2" applyNumberFormat="1" applyFont="1" applyAlignment="1">
      <alignment horizontal="center"/>
    </xf>
    <xf numFmtId="165" fontId="0" fillId="0" borderId="0" xfId="2" applyNumberFormat="1" applyFont="1"/>
    <xf numFmtId="165" fontId="19" fillId="0" borderId="0" xfId="2" applyNumberFormat="1" applyFont="1"/>
    <xf numFmtId="165" fontId="20" fillId="0" borderId="0" xfId="2" applyNumberFormat="1" applyFont="1"/>
    <xf numFmtId="165" fontId="4" fillId="0" borderId="0" xfId="2" applyNumberFormat="1" applyFont="1" applyAlignment="1">
      <alignment horizontal="center"/>
    </xf>
    <xf numFmtId="0" fontId="8" fillId="0" borderId="0" xfId="0" applyFont="1"/>
    <xf numFmtId="165" fontId="22" fillId="0" borderId="3" xfId="2" applyNumberFormat="1" applyFont="1" applyBorder="1" applyAlignment="1">
      <alignment horizontal="center"/>
    </xf>
    <xf numFmtId="6" fontId="7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4" fontId="0" fillId="0" borderId="0" xfId="0" applyNumberFormat="1"/>
    <xf numFmtId="165" fontId="0" fillId="0" borderId="0" xfId="0" applyNumberFormat="1"/>
    <xf numFmtId="0" fontId="4" fillId="0" borderId="10" xfId="0" applyFont="1" applyBorder="1" applyAlignment="1">
      <alignment horizontal="left"/>
    </xf>
    <xf numFmtId="0" fontId="5" fillId="0" borderId="15" xfId="0" applyFont="1" applyBorder="1" applyAlignment="1">
      <alignment horizontal="right"/>
    </xf>
    <xf numFmtId="165" fontId="3" fillId="0" borderId="16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16</xdr:row>
      <xdr:rowOff>47625</xdr:rowOff>
    </xdr:from>
    <xdr:ext cx="76200" cy="200025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15DAA443-8BB4-BA3A-0A10-F79FB8B7ECB8}"/>
            </a:ext>
          </a:extLst>
        </xdr:cNvPr>
        <xdr:cNvSpPr txBox="1">
          <a:spLocks noChangeArrowheads="1"/>
        </xdr:cNvSpPr>
      </xdr:nvSpPr>
      <xdr:spPr bwMode="auto">
        <a:xfrm>
          <a:off x="7600950" y="2733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</xdr:col>
      <xdr:colOff>381000</xdr:colOff>
      <xdr:row>0</xdr:row>
      <xdr:rowOff>180975</xdr:rowOff>
    </xdr:from>
    <xdr:to>
      <xdr:col>4</xdr:col>
      <xdr:colOff>314325</xdr:colOff>
      <xdr:row>3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23120E80-E4DE-6CD8-0355-A8D95AC5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0975"/>
          <a:ext cx="1638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66" workbookViewId="0">
      <selection activeCell="I33" sqref="I33"/>
    </sheetView>
  </sheetViews>
  <sheetFormatPr defaultRowHeight="12.75" x14ac:dyDescent="0.2"/>
  <cols>
    <col min="1" max="1" width="23.140625" bestFit="1" customWidth="1"/>
    <col min="2" max="2" width="11" bestFit="1" customWidth="1"/>
    <col min="3" max="3" width="12.28515625" bestFit="1" customWidth="1"/>
    <col min="4" max="4" width="13.28515625" style="31" bestFit="1" customWidth="1"/>
    <col min="5" max="5" width="13.85546875" bestFit="1" customWidth="1"/>
    <col min="6" max="6" width="11.42578125" bestFit="1" customWidth="1"/>
    <col min="7" max="7" width="13.140625" customWidth="1"/>
    <col min="8" max="8" width="15.85546875" bestFit="1" customWidth="1"/>
    <col min="9" max="9" width="9.28515625" customWidth="1"/>
  </cols>
  <sheetData>
    <row r="1" spans="1:7" ht="15" x14ac:dyDescent="0.2">
      <c r="A1" s="1" t="s">
        <v>0</v>
      </c>
      <c r="B1" s="2"/>
      <c r="C1" s="3"/>
      <c r="D1" s="4"/>
      <c r="E1" s="5"/>
      <c r="F1" s="6"/>
      <c r="G1" s="7"/>
    </row>
    <row r="2" spans="1:7" ht="15" x14ac:dyDescent="0.35">
      <c r="A2" s="8" t="s">
        <v>89</v>
      </c>
      <c r="B2" s="9"/>
      <c r="C2" s="3"/>
      <c r="D2" s="10"/>
      <c r="E2" s="64"/>
      <c r="F2" s="25"/>
      <c r="G2" s="7"/>
    </row>
    <row r="3" spans="1:7" x14ac:dyDescent="0.2">
      <c r="A3" s="11" t="s">
        <v>1</v>
      </c>
      <c r="B3" s="3">
        <v>1510</v>
      </c>
      <c r="C3" s="3"/>
      <c r="D3" s="4"/>
      <c r="E3" s="5"/>
      <c r="F3" s="6"/>
      <c r="G3" s="12"/>
    </row>
    <row r="4" spans="1:7" x14ac:dyDescent="0.2">
      <c r="A4" s="11" t="s">
        <v>2</v>
      </c>
      <c r="B4" s="3">
        <f>5280*B3</f>
        <v>7972800</v>
      </c>
      <c r="C4" s="3"/>
      <c r="D4" s="4"/>
      <c r="E4" s="5"/>
      <c r="F4" s="6"/>
      <c r="G4" s="7"/>
    </row>
    <row r="5" spans="1:7" x14ac:dyDescent="0.2">
      <c r="A5" s="11" t="s">
        <v>3</v>
      </c>
      <c r="B5" s="3">
        <v>74</v>
      </c>
      <c r="C5" s="3"/>
      <c r="D5" s="4"/>
      <c r="E5" s="5"/>
      <c r="F5" s="6"/>
      <c r="G5" s="7"/>
    </row>
    <row r="6" spans="1:7" x14ac:dyDescent="0.2">
      <c r="A6" s="11" t="s">
        <v>4</v>
      </c>
      <c r="B6" s="3">
        <f>B3+B5</f>
        <v>1584</v>
      </c>
      <c r="C6" s="3"/>
      <c r="D6" s="4"/>
      <c r="E6" s="5"/>
      <c r="F6" s="6"/>
      <c r="G6" s="7"/>
    </row>
    <row r="7" spans="1:7" x14ac:dyDescent="0.2">
      <c r="A7" s="11"/>
      <c r="B7" s="9"/>
      <c r="C7" s="3"/>
      <c r="D7" s="4"/>
      <c r="E7" s="5"/>
      <c r="F7" s="6"/>
      <c r="G7" s="7"/>
    </row>
    <row r="8" spans="1:7" ht="15.75" x14ac:dyDescent="0.25">
      <c r="A8" s="13"/>
      <c r="B8" s="14" t="s">
        <v>5</v>
      </c>
      <c r="C8" s="15" t="s">
        <v>6</v>
      </c>
      <c r="D8" s="16" t="s">
        <v>7</v>
      </c>
      <c r="E8" s="5"/>
      <c r="F8" s="16" t="s">
        <v>8</v>
      </c>
      <c r="G8" s="17" t="s">
        <v>9</v>
      </c>
    </row>
    <row r="9" spans="1:7" x14ac:dyDescent="0.2">
      <c r="A9" s="18" t="s">
        <v>10</v>
      </c>
      <c r="B9" s="19"/>
      <c r="C9" s="20"/>
      <c r="D9" s="4"/>
      <c r="E9" s="5"/>
      <c r="F9" s="6"/>
      <c r="G9" s="7"/>
    </row>
    <row r="10" spans="1:7" x14ac:dyDescent="0.2">
      <c r="A10" s="21" t="s">
        <v>11</v>
      </c>
      <c r="B10" s="9">
        <v>2.75</v>
      </c>
      <c r="C10" s="3">
        <f>$B$4</f>
        <v>7972800</v>
      </c>
      <c r="D10" s="22">
        <f>B10*C10</f>
        <v>21925200</v>
      </c>
      <c r="E10" s="5"/>
      <c r="F10" s="6">
        <f>D10/$B$3</f>
        <v>14520</v>
      </c>
      <c r="G10" s="7"/>
    </row>
    <row r="11" spans="1:7" x14ac:dyDescent="0.2">
      <c r="A11" s="21" t="s">
        <v>12</v>
      </c>
      <c r="B11" s="9"/>
      <c r="C11" s="3"/>
      <c r="D11" s="22">
        <f>$D$10*0.02</f>
        <v>438504</v>
      </c>
      <c r="E11" s="5"/>
      <c r="F11" s="6">
        <f t="shared" ref="F11:F19" si="0">D11/$B$3</f>
        <v>290.39999999999998</v>
      </c>
      <c r="G11" s="7" t="s">
        <v>13</v>
      </c>
    </row>
    <row r="12" spans="1:7" x14ac:dyDescent="0.2">
      <c r="A12" s="21" t="s">
        <v>14</v>
      </c>
      <c r="B12" s="9"/>
      <c r="C12" s="3"/>
      <c r="D12" s="22">
        <f>$D$10*0.02</f>
        <v>438504</v>
      </c>
      <c r="E12" s="5"/>
      <c r="F12" s="6">
        <f t="shared" si="0"/>
        <v>290.39999999999998</v>
      </c>
      <c r="G12" s="23">
        <v>0.02</v>
      </c>
    </row>
    <row r="13" spans="1:7" x14ac:dyDescent="0.2">
      <c r="A13" s="21" t="s">
        <v>15</v>
      </c>
      <c r="B13" s="9">
        <v>1</v>
      </c>
      <c r="C13" s="3">
        <f>$B$4</f>
        <v>7972800</v>
      </c>
      <c r="D13" s="22">
        <f>B13*C13</f>
        <v>7972800</v>
      </c>
      <c r="E13" s="5"/>
      <c r="F13" s="6">
        <f t="shared" si="0"/>
        <v>5280</v>
      </c>
      <c r="G13" s="7"/>
    </row>
    <row r="14" spans="1:7" x14ac:dyDescent="0.2">
      <c r="A14" s="21" t="s">
        <v>16</v>
      </c>
      <c r="B14" s="9"/>
      <c r="C14" s="3"/>
      <c r="D14" s="22">
        <f>$D$10*0.05</f>
        <v>1096260</v>
      </c>
      <c r="E14" s="5"/>
      <c r="F14" s="6">
        <f t="shared" si="0"/>
        <v>726</v>
      </c>
      <c r="G14" s="23">
        <v>0.05</v>
      </c>
    </row>
    <row r="15" spans="1:7" x14ac:dyDescent="0.2">
      <c r="A15" s="21" t="s">
        <v>17</v>
      </c>
      <c r="B15" s="9"/>
      <c r="C15" s="3"/>
      <c r="D15" s="22">
        <f>$D$10*0.02</f>
        <v>438504</v>
      </c>
      <c r="E15" s="5"/>
      <c r="F15" s="6">
        <f t="shared" si="0"/>
        <v>290.39999999999998</v>
      </c>
      <c r="G15" s="23">
        <v>0.02</v>
      </c>
    </row>
    <row r="16" spans="1:7" x14ac:dyDescent="0.2">
      <c r="A16" s="21" t="s">
        <v>18</v>
      </c>
      <c r="B16" s="9"/>
      <c r="C16" s="3"/>
      <c r="D16" s="22">
        <f>$D$10*0.02</f>
        <v>438504</v>
      </c>
      <c r="E16" s="5"/>
      <c r="F16" s="6">
        <f t="shared" si="0"/>
        <v>290.39999999999998</v>
      </c>
      <c r="G16" s="23">
        <v>0.02</v>
      </c>
    </row>
    <row r="17" spans="1:7" x14ac:dyDescent="0.2">
      <c r="A17" s="21" t="s">
        <v>19</v>
      </c>
      <c r="B17" s="9"/>
      <c r="C17" s="3"/>
      <c r="D17" s="22">
        <f>$D$10*0.02</f>
        <v>438504</v>
      </c>
      <c r="E17" s="5"/>
      <c r="F17" s="6">
        <f t="shared" si="0"/>
        <v>290.39999999999998</v>
      </c>
      <c r="G17" s="23">
        <v>0.02</v>
      </c>
    </row>
    <row r="18" spans="1:7" x14ac:dyDescent="0.2">
      <c r="A18" s="21" t="s">
        <v>20</v>
      </c>
      <c r="B18" s="9">
        <v>1.25</v>
      </c>
      <c r="C18" s="3">
        <f>$B$4</f>
        <v>7972800</v>
      </c>
      <c r="D18" s="22">
        <f>B18*C18</f>
        <v>9966000</v>
      </c>
      <c r="E18" s="5"/>
      <c r="F18" s="6">
        <f t="shared" si="0"/>
        <v>6600</v>
      </c>
      <c r="G18" s="7"/>
    </row>
    <row r="19" spans="1:7" x14ac:dyDescent="0.2">
      <c r="A19" s="21" t="s">
        <v>21</v>
      </c>
      <c r="B19" s="9"/>
      <c r="C19" s="3"/>
      <c r="D19" s="22">
        <f>$D$10*0.02</f>
        <v>438504</v>
      </c>
      <c r="E19" s="5"/>
      <c r="F19" s="6">
        <f t="shared" si="0"/>
        <v>290.39999999999998</v>
      </c>
      <c r="G19" s="23">
        <v>0.02</v>
      </c>
    </row>
    <row r="20" spans="1:7" ht="15" x14ac:dyDescent="0.35">
      <c r="A20" s="24" t="s">
        <v>22</v>
      </c>
      <c r="B20" s="24"/>
      <c r="C20" s="15"/>
      <c r="D20" s="25">
        <f>SUM(D10:D19)*0.025</f>
        <v>1089782.1000000001</v>
      </c>
      <c r="E20" s="26"/>
      <c r="F20" s="27">
        <f>D20/$B$3</f>
        <v>721.71</v>
      </c>
      <c r="G20" s="38">
        <v>2.5000000000000001E-2</v>
      </c>
    </row>
    <row r="21" spans="1:7" x14ac:dyDescent="0.2">
      <c r="A21" s="28" t="s">
        <v>23</v>
      </c>
      <c r="B21" s="29"/>
      <c r="C21" s="30"/>
      <c r="E21" s="10">
        <f>SUM(D10:D20)</f>
        <v>44681066.100000001</v>
      </c>
      <c r="F21" s="22">
        <f>E21/$B$3</f>
        <v>29590.11</v>
      </c>
      <c r="G21" s="32"/>
    </row>
    <row r="22" spans="1:7" x14ac:dyDescent="0.2">
      <c r="A22" s="33"/>
      <c r="B22" s="9"/>
      <c r="C22" s="3"/>
      <c r="D22" s="4"/>
      <c r="E22" s="5"/>
      <c r="F22" s="6"/>
      <c r="G22" s="7"/>
    </row>
    <row r="23" spans="1:7" x14ac:dyDescent="0.2">
      <c r="A23" s="18" t="s">
        <v>24</v>
      </c>
      <c r="B23" s="19"/>
      <c r="C23" s="20"/>
      <c r="D23" s="4"/>
      <c r="E23" s="5"/>
      <c r="F23" s="6"/>
      <c r="G23" s="7"/>
    </row>
    <row r="24" spans="1:7" x14ac:dyDescent="0.2">
      <c r="A24" s="21" t="s">
        <v>25</v>
      </c>
      <c r="B24" s="9">
        <v>750000</v>
      </c>
      <c r="C24" s="3"/>
      <c r="D24" s="4"/>
      <c r="E24" s="5"/>
      <c r="F24" s="6"/>
      <c r="G24" s="7"/>
    </row>
    <row r="25" spans="1:7" x14ac:dyDescent="0.2">
      <c r="A25" s="21" t="s">
        <v>26</v>
      </c>
      <c r="B25" s="9">
        <v>500000</v>
      </c>
      <c r="C25" s="3"/>
      <c r="D25" s="4"/>
      <c r="E25" s="5"/>
      <c r="F25" s="6"/>
      <c r="G25" s="7"/>
    </row>
    <row r="26" spans="1:7" x14ac:dyDescent="0.2">
      <c r="A26" s="21" t="s">
        <v>27</v>
      </c>
      <c r="B26" s="9">
        <v>500000</v>
      </c>
      <c r="C26" s="3"/>
      <c r="D26" s="4"/>
      <c r="E26" s="5"/>
      <c r="F26" s="6"/>
      <c r="G26" s="7"/>
    </row>
    <row r="27" spans="1:7" x14ac:dyDescent="0.2">
      <c r="A27" s="24" t="s">
        <v>28</v>
      </c>
      <c r="B27" s="14">
        <v>500000</v>
      </c>
      <c r="C27" s="15"/>
      <c r="D27" s="16"/>
      <c r="E27" s="34"/>
      <c r="F27" s="6"/>
      <c r="G27" s="35" t="s">
        <v>29</v>
      </c>
    </row>
    <row r="28" spans="1:7" x14ac:dyDescent="0.2">
      <c r="A28" s="28" t="s">
        <v>23</v>
      </c>
      <c r="B28" s="9"/>
      <c r="C28" s="30"/>
      <c r="D28" s="4"/>
      <c r="E28" s="10">
        <f>SUM(B24:B27)</f>
        <v>2250000</v>
      </c>
      <c r="F28" s="22">
        <f>E28/$B$3</f>
        <v>1490.0662251655629</v>
      </c>
      <c r="G28" s="7"/>
    </row>
    <row r="29" spans="1:7" x14ac:dyDescent="0.2">
      <c r="A29" s="33"/>
      <c r="B29" s="9"/>
      <c r="C29" s="3"/>
      <c r="D29" s="4"/>
      <c r="E29" s="5"/>
      <c r="F29" s="6"/>
      <c r="G29" s="7"/>
    </row>
    <row r="30" spans="1:7" x14ac:dyDescent="0.2">
      <c r="A30" s="18" t="s">
        <v>30</v>
      </c>
      <c r="B30" s="19"/>
      <c r="C30" s="20"/>
      <c r="D30" s="4"/>
      <c r="E30" s="5"/>
      <c r="F30" s="6"/>
      <c r="G30" s="7"/>
    </row>
    <row r="31" spans="1:7" x14ac:dyDescent="0.2">
      <c r="A31" s="28" t="s">
        <v>23</v>
      </c>
      <c r="B31" s="36">
        <v>1</v>
      </c>
      <c r="C31" s="30">
        <f>B4</f>
        <v>7972800</v>
      </c>
      <c r="D31" s="4"/>
      <c r="E31" s="10">
        <f>B31*C31</f>
        <v>7972800</v>
      </c>
      <c r="F31" s="22">
        <f>E31/$B$3</f>
        <v>5280</v>
      </c>
      <c r="G31" s="7"/>
    </row>
    <row r="32" spans="1:7" x14ac:dyDescent="0.2">
      <c r="A32" s="33"/>
      <c r="B32" s="9"/>
      <c r="C32" s="3"/>
      <c r="D32" s="4"/>
      <c r="E32" s="5"/>
      <c r="F32" s="6"/>
      <c r="G32" s="7"/>
    </row>
    <row r="33" spans="1:9" x14ac:dyDescent="0.2">
      <c r="A33" s="37" t="s">
        <v>31</v>
      </c>
      <c r="B33" s="19"/>
      <c r="C33" s="20"/>
      <c r="D33" s="4"/>
      <c r="E33" s="5"/>
      <c r="F33" s="6"/>
      <c r="G33" s="7"/>
    </row>
    <row r="34" spans="1:9" x14ac:dyDescent="0.2">
      <c r="A34" s="21" t="s">
        <v>32</v>
      </c>
      <c r="B34" s="9">
        <v>275</v>
      </c>
      <c r="C34" s="3">
        <f>B3</f>
        <v>1510</v>
      </c>
      <c r="D34" s="5">
        <f t="shared" ref="D34:D47" si="1">B34*C34</f>
        <v>415250</v>
      </c>
      <c r="E34" s="5"/>
      <c r="F34" s="22">
        <f t="shared" ref="F34:F48" si="2">D34/$B$3</f>
        <v>275</v>
      </c>
      <c r="G34" s="7" t="s">
        <v>33</v>
      </c>
    </row>
    <row r="35" spans="1:9" x14ac:dyDescent="0.2">
      <c r="A35" s="21" t="s">
        <v>34</v>
      </c>
      <c r="B35" s="9">
        <v>3.5</v>
      </c>
      <c r="C35" s="3">
        <f>B4*G35</f>
        <v>5501232</v>
      </c>
      <c r="D35" s="5">
        <f t="shared" si="1"/>
        <v>19254312</v>
      </c>
      <c r="E35" s="5"/>
      <c r="F35" s="22">
        <f t="shared" si="2"/>
        <v>12751.2</v>
      </c>
      <c r="G35" s="38">
        <v>0.69</v>
      </c>
      <c r="H35" s="39"/>
    </row>
    <row r="36" spans="1:9" x14ac:dyDescent="0.2">
      <c r="A36" s="21" t="s">
        <v>35</v>
      </c>
      <c r="B36" s="9">
        <v>12</v>
      </c>
      <c r="C36" s="3">
        <f>B4*G36</f>
        <v>1116192</v>
      </c>
      <c r="D36" s="5">
        <f t="shared" si="1"/>
        <v>13394304</v>
      </c>
      <c r="E36" s="5"/>
      <c r="F36" s="22">
        <f t="shared" si="2"/>
        <v>8870.4</v>
      </c>
      <c r="G36" s="38">
        <v>0.14000000000000001</v>
      </c>
      <c r="H36" s="39">
        <f>SUM(G35:G42)</f>
        <v>1</v>
      </c>
    </row>
    <row r="37" spans="1:9" x14ac:dyDescent="0.2">
      <c r="A37" s="21" t="s">
        <v>36</v>
      </c>
      <c r="B37" s="9">
        <v>95</v>
      </c>
      <c r="C37" s="3">
        <f>B4*G37</f>
        <v>79728</v>
      </c>
      <c r="D37" s="5">
        <f t="shared" si="1"/>
        <v>7574160</v>
      </c>
      <c r="E37" s="5"/>
      <c r="F37" s="22">
        <f t="shared" si="2"/>
        <v>5016</v>
      </c>
      <c r="G37" s="38">
        <v>0.01</v>
      </c>
    </row>
    <row r="38" spans="1:9" x14ac:dyDescent="0.2">
      <c r="A38" s="21" t="s">
        <v>37</v>
      </c>
      <c r="B38" s="9">
        <v>18</v>
      </c>
      <c r="C38" s="3">
        <f>B4*G38</f>
        <v>199320</v>
      </c>
      <c r="D38" s="5">
        <f t="shared" si="1"/>
        <v>3587760</v>
      </c>
      <c r="E38" s="5"/>
      <c r="F38" s="22">
        <f t="shared" si="2"/>
        <v>2376</v>
      </c>
      <c r="G38" s="38">
        <v>2.5000000000000001E-2</v>
      </c>
      <c r="I38" s="40"/>
    </row>
    <row r="39" spans="1:9" x14ac:dyDescent="0.2">
      <c r="A39" s="21" t="s">
        <v>38</v>
      </c>
      <c r="B39" s="9">
        <v>26</v>
      </c>
      <c r="C39" s="3">
        <f>B4*G39</f>
        <v>717552</v>
      </c>
      <c r="D39" s="4">
        <f t="shared" si="1"/>
        <v>18656352</v>
      </c>
      <c r="E39" s="5"/>
      <c r="F39" s="22">
        <f t="shared" si="2"/>
        <v>12355.2</v>
      </c>
      <c r="G39" s="38">
        <v>0.09</v>
      </c>
    </row>
    <row r="40" spans="1:9" x14ac:dyDescent="0.2">
      <c r="A40" s="21" t="s">
        <v>39</v>
      </c>
      <c r="B40" s="9">
        <v>45</v>
      </c>
      <c r="C40" s="3">
        <f>B4*G40</f>
        <v>79728</v>
      </c>
      <c r="D40" s="4">
        <f t="shared" si="1"/>
        <v>3587760</v>
      </c>
      <c r="E40" s="5"/>
      <c r="F40" s="22">
        <f t="shared" si="2"/>
        <v>2376</v>
      </c>
      <c r="G40" s="38">
        <v>0.01</v>
      </c>
    </row>
    <row r="41" spans="1:9" x14ac:dyDescent="0.2">
      <c r="A41" s="21" t="s">
        <v>40</v>
      </c>
      <c r="B41" s="9">
        <v>100</v>
      </c>
      <c r="C41" s="3">
        <f>B4*G41</f>
        <v>119592</v>
      </c>
      <c r="D41" s="4">
        <f t="shared" si="1"/>
        <v>11959200</v>
      </c>
      <c r="E41" s="5"/>
      <c r="F41" s="22">
        <f t="shared" si="2"/>
        <v>7920</v>
      </c>
      <c r="G41" s="38">
        <v>1.4999999999999999E-2</v>
      </c>
      <c r="I41" s="41"/>
    </row>
    <row r="42" spans="1:9" x14ac:dyDescent="0.2">
      <c r="A42" s="21" t="s">
        <v>41</v>
      </c>
      <c r="B42" s="9">
        <v>1.75</v>
      </c>
      <c r="C42" s="3">
        <f>B4*G42</f>
        <v>159456</v>
      </c>
      <c r="D42" s="5">
        <f t="shared" si="1"/>
        <v>279048</v>
      </c>
      <c r="E42" s="5"/>
      <c r="F42" s="22">
        <f t="shared" si="2"/>
        <v>184.8</v>
      </c>
      <c r="G42" s="38">
        <v>0.02</v>
      </c>
    </row>
    <row r="43" spans="1:9" x14ac:dyDescent="0.2">
      <c r="A43" s="21" t="s">
        <v>42</v>
      </c>
      <c r="B43" s="9">
        <v>500</v>
      </c>
      <c r="C43" s="3">
        <f>(B4/4700)*2</f>
        <v>3392.6808510638298</v>
      </c>
      <c r="D43" s="4">
        <f t="shared" si="1"/>
        <v>1696340.4255319149</v>
      </c>
      <c r="E43" s="5"/>
      <c r="F43" s="22">
        <f t="shared" si="2"/>
        <v>1123.4042553191489</v>
      </c>
      <c r="G43" s="7" t="s">
        <v>43</v>
      </c>
    </row>
    <row r="44" spans="1:9" x14ac:dyDescent="0.2">
      <c r="A44" s="21" t="s">
        <v>44</v>
      </c>
      <c r="B44" s="9">
        <v>2000</v>
      </c>
      <c r="C44" s="3">
        <f>B4/19500</f>
        <v>408.86153846153849</v>
      </c>
      <c r="D44" s="4">
        <f t="shared" si="1"/>
        <v>817723.07692307699</v>
      </c>
      <c r="E44" s="5"/>
      <c r="F44" s="22">
        <f t="shared" si="2"/>
        <v>541.53846153846155</v>
      </c>
      <c r="G44" s="7" t="s">
        <v>45</v>
      </c>
    </row>
    <row r="45" spans="1:9" x14ac:dyDescent="0.2">
      <c r="A45" s="21" t="s">
        <v>46</v>
      </c>
      <c r="B45" s="9">
        <v>20</v>
      </c>
      <c r="C45" s="3">
        <f>B3*8</f>
        <v>12080</v>
      </c>
      <c r="D45" s="4">
        <f t="shared" si="1"/>
        <v>241600</v>
      </c>
      <c r="E45" s="5"/>
      <c r="F45" s="22">
        <f t="shared" si="2"/>
        <v>160</v>
      </c>
      <c r="G45" s="7" t="s">
        <v>117</v>
      </c>
    </row>
    <row r="46" spans="1:9" x14ac:dyDescent="0.2">
      <c r="A46" s="21" t="s">
        <v>47</v>
      </c>
      <c r="B46" s="9">
        <v>0.25</v>
      </c>
      <c r="C46" s="3">
        <f>B4</f>
        <v>7972800</v>
      </c>
      <c r="D46" s="4">
        <f t="shared" si="1"/>
        <v>1993200</v>
      </c>
      <c r="E46" s="5"/>
      <c r="F46" s="22">
        <f t="shared" si="2"/>
        <v>1320</v>
      </c>
      <c r="G46" s="7"/>
    </row>
    <row r="47" spans="1:9" x14ac:dyDescent="0.2">
      <c r="A47" s="21" t="s">
        <v>48</v>
      </c>
      <c r="B47" s="9">
        <v>100</v>
      </c>
      <c r="C47" s="3">
        <f>4*B3</f>
        <v>6040</v>
      </c>
      <c r="D47" s="4">
        <f t="shared" si="1"/>
        <v>604000</v>
      </c>
      <c r="E47" s="5"/>
      <c r="F47" s="22">
        <f t="shared" si="2"/>
        <v>400</v>
      </c>
      <c r="G47" s="7" t="s">
        <v>118</v>
      </c>
    </row>
    <row r="48" spans="1:9" ht="15" x14ac:dyDescent="0.35">
      <c r="A48" s="21" t="s">
        <v>28</v>
      </c>
      <c r="B48" s="42"/>
      <c r="C48" s="43"/>
      <c r="D48" s="44">
        <f>SUM(D38:D47)*0.05</f>
        <v>2171149.17512275</v>
      </c>
      <c r="E48" s="26"/>
      <c r="F48" s="22">
        <f t="shared" si="2"/>
        <v>1437.8471358428808</v>
      </c>
      <c r="G48" s="7" t="s">
        <v>119</v>
      </c>
    </row>
    <row r="49" spans="1:7" x14ac:dyDescent="0.2">
      <c r="A49" s="28" t="s">
        <v>23</v>
      </c>
      <c r="B49" s="36"/>
      <c r="C49" s="30"/>
      <c r="D49" s="4"/>
      <c r="E49" s="45">
        <f>SUM(D34:D48)</f>
        <v>86232158.677577734</v>
      </c>
      <c r="F49" s="22">
        <f>E49/$B$3</f>
        <v>57107.389852700486</v>
      </c>
      <c r="G49" s="7"/>
    </row>
    <row r="50" spans="1:7" x14ac:dyDescent="0.2">
      <c r="A50" s="21"/>
      <c r="B50" s="9"/>
      <c r="C50" s="3"/>
      <c r="D50" s="4"/>
      <c r="E50" s="5"/>
      <c r="F50" s="22"/>
      <c r="G50" s="7"/>
    </row>
    <row r="51" spans="1:7" x14ac:dyDescent="0.2">
      <c r="A51" s="37" t="s">
        <v>49</v>
      </c>
      <c r="B51" s="19"/>
      <c r="C51" s="20"/>
      <c r="D51" s="4"/>
      <c r="E51" s="5"/>
      <c r="F51" s="22"/>
      <c r="G51" s="7"/>
    </row>
    <row r="52" spans="1:7" x14ac:dyDescent="0.2">
      <c r="A52" s="21" t="s">
        <v>50</v>
      </c>
      <c r="B52" s="9">
        <v>0.33</v>
      </c>
      <c r="C52" s="3">
        <f>B4</f>
        <v>7972800</v>
      </c>
      <c r="D52" s="4">
        <f>B52*C52*6</f>
        <v>15786144</v>
      </c>
      <c r="E52" s="5"/>
      <c r="F52" s="22">
        <f>D52/$B$3</f>
        <v>10454.4</v>
      </c>
      <c r="G52" s="7" t="s">
        <v>86</v>
      </c>
    </row>
    <row r="53" spans="1:7" x14ac:dyDescent="0.2">
      <c r="A53" s="21" t="s">
        <v>51</v>
      </c>
      <c r="B53" s="9">
        <v>1</v>
      </c>
      <c r="C53" s="3">
        <f>C39</f>
        <v>717552</v>
      </c>
      <c r="D53" s="4">
        <f t="shared" ref="D53:D60" si="3">B53*C53</f>
        <v>717552</v>
      </c>
      <c r="E53" s="5"/>
      <c r="F53" s="22">
        <f>D53/$B$3</f>
        <v>475.2</v>
      </c>
      <c r="G53" s="7"/>
    </row>
    <row r="54" spans="1:7" x14ac:dyDescent="0.2">
      <c r="A54" s="21" t="s">
        <v>52</v>
      </c>
      <c r="B54" s="9">
        <v>9</v>
      </c>
      <c r="C54" s="3">
        <f>C41+C38</f>
        <v>318912</v>
      </c>
      <c r="D54" s="4">
        <f t="shared" si="3"/>
        <v>2870208</v>
      </c>
      <c r="E54" s="5"/>
      <c r="F54" s="22">
        <f t="shared" ref="F54:F61" si="4">D54/$B$3</f>
        <v>1900.8</v>
      </c>
      <c r="G54" s="7"/>
    </row>
    <row r="55" spans="1:7" x14ac:dyDescent="0.2">
      <c r="A55" s="21" t="s">
        <v>53</v>
      </c>
      <c r="B55" s="9">
        <v>0.02</v>
      </c>
      <c r="C55" s="3">
        <f>B4</f>
        <v>7972800</v>
      </c>
      <c r="D55" s="4">
        <f t="shared" si="3"/>
        <v>159456</v>
      </c>
      <c r="E55" s="5"/>
      <c r="F55" s="22">
        <f t="shared" si="4"/>
        <v>105.6</v>
      </c>
      <c r="G55" s="7" t="s">
        <v>54</v>
      </c>
    </row>
    <row r="56" spans="1:7" x14ac:dyDescent="0.2">
      <c r="A56" s="21" t="s">
        <v>55</v>
      </c>
      <c r="B56" s="9">
        <v>600</v>
      </c>
      <c r="C56" s="46">
        <f>B4/4700*2</f>
        <v>3392.6808510638298</v>
      </c>
      <c r="D56" s="4">
        <f t="shared" si="3"/>
        <v>2035608.5106382978</v>
      </c>
      <c r="E56" s="5"/>
      <c r="F56" s="22">
        <f t="shared" si="4"/>
        <v>1348.0851063829787</v>
      </c>
      <c r="G56" s="7" t="s">
        <v>56</v>
      </c>
    </row>
    <row r="57" spans="1:7" x14ac:dyDescent="0.2">
      <c r="A57" s="21" t="s">
        <v>57</v>
      </c>
      <c r="B57" s="9">
        <v>1100</v>
      </c>
      <c r="C57" s="3">
        <f>B4/19500</f>
        <v>408.86153846153849</v>
      </c>
      <c r="D57" s="4">
        <f t="shared" si="3"/>
        <v>449747.69230769231</v>
      </c>
      <c r="E57" s="5"/>
      <c r="F57" s="22">
        <f t="shared" si="4"/>
        <v>297.84615384615387</v>
      </c>
      <c r="G57" s="7"/>
    </row>
    <row r="58" spans="1:7" x14ac:dyDescent="0.2">
      <c r="A58" s="21" t="s">
        <v>58</v>
      </c>
      <c r="B58" s="9">
        <v>3.25</v>
      </c>
      <c r="C58" s="3">
        <f>5*6*B3</f>
        <v>45300</v>
      </c>
      <c r="D58" s="4">
        <f t="shared" si="3"/>
        <v>147225</v>
      </c>
      <c r="E58" s="5"/>
      <c r="F58" s="22">
        <f t="shared" si="4"/>
        <v>97.5</v>
      </c>
      <c r="G58" s="7" t="s">
        <v>59</v>
      </c>
    </row>
    <row r="59" spans="1:7" x14ac:dyDescent="0.2">
      <c r="A59" s="21" t="s">
        <v>60</v>
      </c>
      <c r="B59" s="9">
        <v>0.04</v>
      </c>
      <c r="C59" s="3">
        <f>B4</f>
        <v>7972800</v>
      </c>
      <c r="D59" s="4">
        <f t="shared" si="3"/>
        <v>318912</v>
      </c>
      <c r="E59" s="5"/>
      <c r="F59" s="22">
        <f t="shared" si="4"/>
        <v>211.2</v>
      </c>
      <c r="G59" s="7" t="s">
        <v>54</v>
      </c>
    </row>
    <row r="60" spans="1:7" x14ac:dyDescent="0.2">
      <c r="A60" s="21" t="s">
        <v>61</v>
      </c>
      <c r="B60" s="9">
        <v>7</v>
      </c>
      <c r="C60" s="3">
        <f>8*B3</f>
        <v>12080</v>
      </c>
      <c r="D60" s="4">
        <f t="shared" si="3"/>
        <v>84560</v>
      </c>
      <c r="E60" s="5"/>
      <c r="F60" s="22">
        <f t="shared" si="4"/>
        <v>56</v>
      </c>
      <c r="G60" s="7" t="s">
        <v>117</v>
      </c>
    </row>
    <row r="61" spans="1:7" ht="15" x14ac:dyDescent="0.35">
      <c r="A61" s="21" t="s">
        <v>28</v>
      </c>
      <c r="B61" s="42"/>
      <c r="C61" s="43"/>
      <c r="D61" s="44">
        <f>SUM(D52:D60)*0.05</f>
        <v>1128470.6601472995</v>
      </c>
      <c r="E61" s="26"/>
      <c r="F61" s="22">
        <f t="shared" si="4"/>
        <v>747.33156301145664</v>
      </c>
      <c r="G61" s="7" t="s">
        <v>62</v>
      </c>
    </row>
    <row r="62" spans="1:7" x14ac:dyDescent="0.2">
      <c r="A62" s="47" t="s">
        <v>23</v>
      </c>
      <c r="B62" s="36"/>
      <c r="C62" s="36"/>
      <c r="D62" s="22"/>
      <c r="E62" s="45">
        <f>SUM(D52:D61)</f>
        <v>23697883.863093287</v>
      </c>
      <c r="F62" s="22">
        <f>E62/$B$3</f>
        <v>15693.962823240587</v>
      </c>
      <c r="G62" s="7"/>
    </row>
    <row r="63" spans="1:7" x14ac:dyDescent="0.2">
      <c r="A63" s="21"/>
      <c r="B63" s="9"/>
      <c r="C63" s="3"/>
      <c r="D63" s="4"/>
      <c r="E63" s="5"/>
      <c r="F63" s="22"/>
      <c r="G63" s="7"/>
    </row>
    <row r="64" spans="1:7" x14ac:dyDescent="0.2">
      <c r="A64" s="37" t="s">
        <v>63</v>
      </c>
      <c r="B64" s="19"/>
      <c r="C64" s="20"/>
      <c r="D64" s="4"/>
      <c r="E64" s="5"/>
      <c r="F64" s="22"/>
      <c r="G64" s="7"/>
    </row>
    <row r="65" spans="1:7" x14ac:dyDescent="0.2">
      <c r="A65" s="21" t="s">
        <v>64</v>
      </c>
      <c r="B65" s="9">
        <v>30000</v>
      </c>
      <c r="C65" s="3">
        <f>$B$3/55</f>
        <v>27.454545454545453</v>
      </c>
      <c r="D65" s="4">
        <f>B65*C65</f>
        <v>823636.36363636365</v>
      </c>
      <c r="E65" s="5"/>
      <c r="F65" s="22">
        <f>D65/$B$3</f>
        <v>545.4545454545455</v>
      </c>
      <c r="G65" s="7" t="s">
        <v>65</v>
      </c>
    </row>
    <row r="66" spans="1:7" x14ac:dyDescent="0.2">
      <c r="A66" s="21" t="s">
        <v>66</v>
      </c>
      <c r="B66" s="9">
        <v>20000</v>
      </c>
      <c r="C66" s="3">
        <f>$B$3/55</f>
        <v>27.454545454545453</v>
      </c>
      <c r="D66" s="4">
        <f>B66*C66</f>
        <v>549090.90909090906</v>
      </c>
      <c r="E66" s="5"/>
      <c r="F66" s="22">
        <f>D66/$B$3</f>
        <v>363.63636363636363</v>
      </c>
      <c r="G66" s="7" t="s">
        <v>65</v>
      </c>
    </row>
    <row r="67" spans="1:7" x14ac:dyDescent="0.2">
      <c r="A67" s="21" t="s">
        <v>67</v>
      </c>
      <c r="B67" s="9">
        <v>40000</v>
      </c>
      <c r="C67" s="3">
        <f>$B$3/55</f>
        <v>27.454545454545453</v>
      </c>
      <c r="D67" s="4">
        <f>B67*C67</f>
        <v>1098181.8181818181</v>
      </c>
      <c r="E67" s="5"/>
      <c r="F67" s="22">
        <f>D67/$B$3</f>
        <v>727.27272727272725</v>
      </c>
      <c r="G67" s="7" t="s">
        <v>65</v>
      </c>
    </row>
    <row r="68" spans="1:7" x14ac:dyDescent="0.2">
      <c r="A68" s="21" t="s">
        <v>68</v>
      </c>
      <c r="B68" s="9">
        <v>35000</v>
      </c>
      <c r="C68" s="3">
        <f>$B$3/55</f>
        <v>27.454545454545453</v>
      </c>
      <c r="D68" s="4">
        <f>B68*C68</f>
        <v>960909.09090909082</v>
      </c>
      <c r="E68" s="5"/>
      <c r="F68" s="22">
        <f>D68/$B$3</f>
        <v>636.36363636363626</v>
      </c>
      <c r="G68" s="7" t="s">
        <v>65</v>
      </c>
    </row>
    <row r="69" spans="1:7" ht="15" x14ac:dyDescent="0.35">
      <c r="A69" s="21" t="s">
        <v>69</v>
      </c>
      <c r="B69" s="42">
        <v>10000</v>
      </c>
      <c r="C69" s="43">
        <f>$B$3/55</f>
        <v>27.454545454545453</v>
      </c>
      <c r="D69" s="25">
        <f>B69*C69</f>
        <v>274545.45454545453</v>
      </c>
      <c r="E69" s="26"/>
      <c r="F69" s="48">
        <f>D69/$B$3</f>
        <v>181.81818181818181</v>
      </c>
      <c r="G69" s="7" t="s">
        <v>65</v>
      </c>
    </row>
    <row r="70" spans="1:7" x14ac:dyDescent="0.2">
      <c r="A70" s="28" t="s">
        <v>23</v>
      </c>
      <c r="B70" s="36"/>
      <c r="C70" s="30"/>
      <c r="D70" s="4"/>
      <c r="E70" s="45">
        <f>SUM(D65:D69)</f>
        <v>3706363.6363636362</v>
      </c>
      <c r="F70" s="22">
        <f>E70/$B$3</f>
        <v>2454.5454545454545</v>
      </c>
      <c r="G70" s="7"/>
    </row>
    <row r="71" spans="1:7" x14ac:dyDescent="0.2">
      <c r="A71" s="33"/>
      <c r="B71" s="9"/>
      <c r="C71" s="3"/>
      <c r="D71" s="4"/>
      <c r="E71" s="5"/>
      <c r="F71" s="22"/>
      <c r="G71" s="7"/>
    </row>
    <row r="72" spans="1:7" x14ac:dyDescent="0.2">
      <c r="A72" s="18" t="s">
        <v>114</v>
      </c>
      <c r="B72" s="19"/>
      <c r="C72" s="20"/>
      <c r="D72" s="4"/>
      <c r="E72" s="5"/>
      <c r="F72" s="22"/>
      <c r="G72" s="7"/>
    </row>
    <row r="73" spans="1:7" x14ac:dyDescent="0.2">
      <c r="A73" s="21" t="s">
        <v>70</v>
      </c>
      <c r="B73" s="9">
        <v>500000</v>
      </c>
      <c r="C73" s="3"/>
      <c r="D73" s="4">
        <f>B73</f>
        <v>500000</v>
      </c>
      <c r="E73" s="5"/>
      <c r="F73" s="22">
        <f>D73/$B$3</f>
        <v>331.12582781456956</v>
      </c>
      <c r="G73" s="7"/>
    </row>
    <row r="74" spans="1:7" x14ac:dyDescent="0.2">
      <c r="A74" s="21" t="s">
        <v>71</v>
      </c>
      <c r="B74" s="9">
        <v>250000</v>
      </c>
      <c r="C74" s="3"/>
      <c r="D74" s="4">
        <f>B74</f>
        <v>250000</v>
      </c>
      <c r="E74" s="5"/>
      <c r="F74" s="22">
        <f>D74/$B$3</f>
        <v>165.56291390728478</v>
      </c>
      <c r="G74" s="7"/>
    </row>
    <row r="75" spans="1:7" x14ac:dyDescent="0.2">
      <c r="A75" s="21" t="s">
        <v>72</v>
      </c>
      <c r="B75" s="9">
        <v>750000</v>
      </c>
      <c r="C75" s="3"/>
      <c r="D75" s="4">
        <f>B75</f>
        <v>750000</v>
      </c>
      <c r="E75" s="5"/>
      <c r="F75" s="22">
        <f>D75/$B$3</f>
        <v>496.68874172185429</v>
      </c>
      <c r="G75" s="7" t="s">
        <v>115</v>
      </c>
    </row>
    <row r="76" spans="1:7" x14ac:dyDescent="0.2">
      <c r="A76" s="21" t="s">
        <v>73</v>
      </c>
      <c r="B76" s="9">
        <v>250000</v>
      </c>
      <c r="C76" s="3"/>
      <c r="D76" s="4">
        <f>B76</f>
        <v>250000</v>
      </c>
      <c r="E76" s="5"/>
      <c r="F76" s="22">
        <f>D76/$B$3</f>
        <v>165.56291390728478</v>
      </c>
      <c r="G76" s="7"/>
    </row>
    <row r="77" spans="1:7" ht="15" x14ac:dyDescent="0.35">
      <c r="A77" s="24" t="s">
        <v>74</v>
      </c>
      <c r="B77" s="42">
        <v>750000</v>
      </c>
      <c r="C77" s="43"/>
      <c r="D77" s="25">
        <f>B77</f>
        <v>750000</v>
      </c>
      <c r="E77" s="26"/>
      <c r="F77" s="48">
        <f>D77/$B$3</f>
        <v>496.68874172185429</v>
      </c>
      <c r="G77" s="7" t="s">
        <v>116</v>
      </c>
    </row>
    <row r="78" spans="1:7" x14ac:dyDescent="0.2">
      <c r="A78" s="28" t="s">
        <v>23</v>
      </c>
      <c r="B78" s="36"/>
      <c r="C78" s="30"/>
      <c r="D78" s="4"/>
      <c r="E78" s="45">
        <f>SUM(D73:D77)</f>
        <v>2500000</v>
      </c>
      <c r="F78" s="22">
        <f>E78/$B$3</f>
        <v>1655.6291390728477</v>
      </c>
      <c r="G78" s="7"/>
    </row>
    <row r="79" spans="1:7" x14ac:dyDescent="0.2">
      <c r="A79" s="28"/>
      <c r="B79" s="36"/>
      <c r="C79" s="30"/>
      <c r="D79" s="4"/>
      <c r="E79" s="5"/>
      <c r="F79" s="22"/>
      <c r="G79" s="12"/>
    </row>
    <row r="80" spans="1:7" ht="15" x14ac:dyDescent="0.35">
      <c r="A80" s="49" t="s">
        <v>23</v>
      </c>
      <c r="B80" s="36"/>
      <c r="C80" s="30"/>
      <c r="D80" s="29"/>
      <c r="E80" s="50">
        <f>SUM(E1:E79)</f>
        <v>171040272.27703464</v>
      </c>
      <c r="F80" s="51">
        <f>E80/B3</f>
        <v>113271.70349472493</v>
      </c>
      <c r="G80" s="7"/>
    </row>
    <row r="81" spans="1:8" x14ac:dyDescent="0.2">
      <c r="A81" s="18" t="s">
        <v>75</v>
      </c>
      <c r="B81" s="19"/>
      <c r="C81" s="20"/>
      <c r="D81" s="4"/>
      <c r="E81" s="5"/>
      <c r="F81" s="22"/>
      <c r="G81" s="7"/>
    </row>
    <row r="82" spans="1:8" x14ac:dyDescent="0.2">
      <c r="A82" s="21" t="s">
        <v>76</v>
      </c>
      <c r="B82" s="9"/>
      <c r="C82" s="3"/>
      <c r="D82" s="4">
        <f>0.1*E80</f>
        <v>17104027.227703463</v>
      </c>
      <c r="E82" s="5"/>
      <c r="F82" s="22">
        <f>D82/$B$3</f>
        <v>11327.170349472492</v>
      </c>
      <c r="G82" s="7"/>
    </row>
    <row r="83" spans="1:8" x14ac:dyDescent="0.2">
      <c r="A83" s="21" t="s">
        <v>77</v>
      </c>
      <c r="B83" s="9"/>
      <c r="C83" s="3"/>
      <c r="D83" s="4">
        <f>E80*0.1</f>
        <v>17104027.227703463</v>
      </c>
      <c r="E83" s="5"/>
      <c r="F83" s="22">
        <f>D83/$B$3</f>
        <v>11327.170349472492</v>
      </c>
      <c r="G83" s="7"/>
    </row>
    <row r="84" spans="1:8" ht="14.25" x14ac:dyDescent="0.3">
      <c r="A84" s="21"/>
      <c r="B84" s="9"/>
      <c r="C84" s="3"/>
      <c r="D84" s="4"/>
      <c r="E84" s="52">
        <f>SUM(D82:D83)</f>
        <v>34208054.455406927</v>
      </c>
      <c r="F84" s="22">
        <f>E84/$B$3</f>
        <v>22654.340698944983</v>
      </c>
      <c r="G84" s="7"/>
    </row>
    <row r="85" spans="1:8" ht="13.5" thickBot="1" x14ac:dyDescent="0.25">
      <c r="A85" s="33"/>
      <c r="B85" s="9"/>
      <c r="C85" s="3"/>
      <c r="D85" s="4"/>
      <c r="E85" s="5"/>
      <c r="F85" s="22">
        <f>E85/$B$3</f>
        <v>0</v>
      </c>
      <c r="G85" s="12"/>
    </row>
    <row r="86" spans="1:8" ht="13.5" thickBot="1" x14ac:dyDescent="0.25">
      <c r="B86" s="9"/>
      <c r="C86" s="3"/>
      <c r="D86" s="53" t="s">
        <v>78</v>
      </c>
      <c r="E86" s="54">
        <f>SUM(E80)+(E84)</f>
        <v>205248326.73244157</v>
      </c>
      <c r="F86" s="55">
        <f>E86/$B$3</f>
        <v>135926.04419366992</v>
      </c>
      <c r="G86" s="10"/>
    </row>
    <row r="88" spans="1:8" ht="15.75" x14ac:dyDescent="0.25">
      <c r="A88" s="56"/>
      <c r="B88" s="57"/>
      <c r="C88" s="58"/>
      <c r="D88" s="59"/>
      <c r="E88" s="60"/>
      <c r="F88" s="69"/>
      <c r="G88" s="7"/>
      <c r="H88" s="96"/>
    </row>
    <row r="89" spans="1:8" ht="15" x14ac:dyDescent="0.35">
      <c r="A89" s="61" t="s">
        <v>79</v>
      </c>
      <c r="B89" s="62" t="s">
        <v>80</v>
      </c>
      <c r="C89" s="63" t="s">
        <v>81</v>
      </c>
      <c r="D89" s="10"/>
      <c r="E89" s="64" t="s">
        <v>82</v>
      </c>
      <c r="F89" s="70"/>
      <c r="G89" s="7"/>
    </row>
    <row r="90" spans="1:8" x14ac:dyDescent="0.2">
      <c r="A90" s="65" t="s">
        <v>83</v>
      </c>
      <c r="B90" s="10">
        <v>485000</v>
      </c>
      <c r="C90" s="66">
        <v>21.5</v>
      </c>
      <c r="D90" s="10"/>
      <c r="E90" s="10">
        <f>B90*C90</f>
        <v>10427500</v>
      </c>
      <c r="F90" s="70"/>
      <c r="G90" s="7"/>
    </row>
    <row r="91" spans="1:8" x14ac:dyDescent="0.2">
      <c r="A91" s="65" t="s">
        <v>84</v>
      </c>
      <c r="B91" s="10">
        <v>375000</v>
      </c>
      <c r="C91" s="66">
        <v>13.5</v>
      </c>
      <c r="D91" s="10"/>
      <c r="E91" s="10">
        <f>B91*C91</f>
        <v>5062500</v>
      </c>
      <c r="F91" s="70"/>
      <c r="G91" s="7"/>
    </row>
    <row r="92" spans="1:8" x14ac:dyDescent="0.2">
      <c r="A92" s="65" t="s">
        <v>85</v>
      </c>
      <c r="B92" s="10">
        <v>425000</v>
      </c>
      <c r="C92" s="66">
        <v>10</v>
      </c>
      <c r="D92" s="10"/>
      <c r="E92" s="10">
        <f>B92*C92</f>
        <v>4250000</v>
      </c>
      <c r="F92" s="70"/>
      <c r="G92" s="7"/>
    </row>
    <row r="93" spans="1:8" x14ac:dyDescent="0.2">
      <c r="A93" s="65" t="s">
        <v>87</v>
      </c>
      <c r="B93" s="10">
        <v>425000</v>
      </c>
      <c r="C93" s="66">
        <v>8</v>
      </c>
      <c r="D93" s="10"/>
      <c r="E93" s="10">
        <f>B93*C93</f>
        <v>3400000</v>
      </c>
      <c r="F93" s="70"/>
      <c r="G93" s="7"/>
    </row>
    <row r="94" spans="1:8" ht="15" x14ac:dyDescent="0.35">
      <c r="A94" s="98" t="s">
        <v>112</v>
      </c>
      <c r="B94" s="10">
        <v>525000</v>
      </c>
      <c r="C94" s="67">
        <v>21</v>
      </c>
      <c r="D94" s="10"/>
      <c r="E94" s="64">
        <f>B94*C94</f>
        <v>11025000</v>
      </c>
      <c r="F94" s="70"/>
      <c r="G94" s="7"/>
    </row>
    <row r="95" spans="1:8" x14ac:dyDescent="0.2">
      <c r="A95" s="80" t="s">
        <v>91</v>
      </c>
      <c r="B95" s="10"/>
      <c r="C95" s="68">
        <f>SUM(C90:C94)</f>
        <v>74</v>
      </c>
      <c r="D95" s="79" t="s">
        <v>90</v>
      </c>
      <c r="E95" s="78">
        <f>SUM(E90:E94)</f>
        <v>34165000</v>
      </c>
      <c r="F95" s="99" t="s">
        <v>113</v>
      </c>
      <c r="G95" s="7"/>
    </row>
    <row r="96" spans="1:8" x14ac:dyDescent="0.2">
      <c r="A96" s="76"/>
      <c r="B96" s="71"/>
      <c r="C96" s="72"/>
      <c r="D96" s="73"/>
      <c r="E96" s="77"/>
      <c r="F96" s="100">
        <f>E95/C95</f>
        <v>461689.18918918917</v>
      </c>
      <c r="G96" s="12"/>
      <c r="H96" s="97"/>
    </row>
    <row r="97" spans="1:7" x14ac:dyDescent="0.2">
      <c r="A97" s="74"/>
      <c r="B97" s="2"/>
      <c r="C97" s="68"/>
      <c r="D97" s="75"/>
      <c r="E97" s="74"/>
      <c r="F97" s="74"/>
      <c r="G97" s="10"/>
    </row>
    <row r="98" spans="1:7" ht="13.5" thickBot="1" x14ac:dyDescent="0.25"/>
    <row r="99" spans="1:7" ht="13.5" thickBot="1" x14ac:dyDescent="0.25">
      <c r="C99" s="53" t="s">
        <v>88</v>
      </c>
      <c r="D99" s="54">
        <f>SUM(E86+E95)</f>
        <v>239413326.73244157</v>
      </c>
      <c r="E99" s="55">
        <f>D99/$B$6</f>
        <v>151144.77697755149</v>
      </c>
    </row>
  </sheetData>
  <printOptions horizontalCentered="1" verticalCentered="1" gridLines="1"/>
  <pageMargins left="0.75" right="0.75" top="1" bottom="1" header="0.5" footer="0.5"/>
  <pageSetup orientation="landscape" horizontalDpi="4294967292" r:id="rId1"/>
  <headerFooter alignWithMargins="0">
    <oddHeader>EPECC-SysCost.xls</oddHeader>
    <oddFooter>&amp;C&amp;D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I10" sqref="I10"/>
    </sheetView>
  </sheetViews>
  <sheetFormatPr defaultRowHeight="12.75" x14ac:dyDescent="0.2"/>
  <cols>
    <col min="1" max="1" width="15.28515625" style="31" bestFit="1" customWidth="1"/>
    <col min="2" max="2" width="13.85546875" style="88" bestFit="1" customWidth="1"/>
    <col min="3" max="3" width="9.28515625" style="82" bestFit="1" customWidth="1"/>
    <col min="4" max="4" width="14" style="88" bestFit="1" customWidth="1"/>
  </cols>
  <sheetData>
    <row r="1" spans="1:5" ht="15" x14ac:dyDescent="0.2">
      <c r="A1" s="83" t="s">
        <v>92</v>
      </c>
      <c r="B1" s="85" t="s">
        <v>93</v>
      </c>
    </row>
    <row r="3" spans="1:5" x14ac:dyDescent="0.2">
      <c r="A3" s="81" t="s">
        <v>94</v>
      </c>
      <c r="B3" s="86"/>
      <c r="D3" s="86"/>
    </row>
    <row r="4" spans="1:5" x14ac:dyDescent="0.2">
      <c r="A4" s="84"/>
      <c r="B4" s="87" t="s">
        <v>95</v>
      </c>
      <c r="C4" s="95" t="s">
        <v>107</v>
      </c>
      <c r="D4" s="87" t="s">
        <v>96</v>
      </c>
    </row>
    <row r="5" spans="1:5" x14ac:dyDescent="0.2">
      <c r="A5" s="33" t="s">
        <v>97</v>
      </c>
      <c r="B5" s="88">
        <v>142900000</v>
      </c>
      <c r="D5" s="88">
        <v>142900000</v>
      </c>
    </row>
    <row r="6" spans="1:5" x14ac:dyDescent="0.2">
      <c r="A6" s="92" t="s">
        <v>109</v>
      </c>
      <c r="B6" s="89">
        <v>-11400000</v>
      </c>
      <c r="C6" s="82" t="s">
        <v>98</v>
      </c>
      <c r="D6" s="89">
        <f>28277*1300</f>
        <v>36760100</v>
      </c>
      <c r="E6" t="s">
        <v>110</v>
      </c>
    </row>
    <row r="7" spans="1:5" x14ac:dyDescent="0.2">
      <c r="A7" s="33" t="s">
        <v>82</v>
      </c>
      <c r="B7" s="88">
        <f>SUM(B5:B6)</f>
        <v>131500000</v>
      </c>
      <c r="D7" s="88">
        <f>SUM(D5:D6)</f>
        <v>179660100</v>
      </c>
    </row>
    <row r="9" spans="1:5" x14ac:dyDescent="0.2">
      <c r="A9" s="81" t="s">
        <v>99</v>
      </c>
      <c r="B9" s="86"/>
      <c r="C9" s="95" t="s">
        <v>108</v>
      </c>
      <c r="D9" s="86"/>
    </row>
    <row r="10" spans="1:5" x14ac:dyDescent="0.2">
      <c r="A10" s="84"/>
      <c r="B10" s="87" t="s">
        <v>95</v>
      </c>
      <c r="D10" s="87" t="s">
        <v>96</v>
      </c>
    </row>
    <row r="11" spans="1:5" x14ac:dyDescent="0.2">
      <c r="A11" s="33" t="s">
        <v>97</v>
      </c>
      <c r="B11" s="88">
        <v>166000000</v>
      </c>
      <c r="D11" s="88">
        <v>166000000</v>
      </c>
    </row>
    <row r="12" spans="1:5" x14ac:dyDescent="0.2">
      <c r="A12" s="92" t="s">
        <v>109</v>
      </c>
      <c r="B12" s="90">
        <v>-11400000</v>
      </c>
      <c r="C12" s="82" t="s">
        <v>98</v>
      </c>
      <c r="D12" s="89">
        <f>28277*1353</f>
        <v>38258781</v>
      </c>
      <c r="E12" t="s">
        <v>111</v>
      </c>
    </row>
    <row r="13" spans="1:5" x14ac:dyDescent="0.2">
      <c r="A13" s="92" t="s">
        <v>100</v>
      </c>
      <c r="B13" s="89">
        <v>-5600000</v>
      </c>
      <c r="D13" s="89">
        <v>0</v>
      </c>
    </row>
    <row r="14" spans="1:5" x14ac:dyDescent="0.2">
      <c r="A14" s="33" t="s">
        <v>82</v>
      </c>
      <c r="B14" s="88">
        <f>SUM(B11:B13)</f>
        <v>149000000</v>
      </c>
      <c r="D14" s="88">
        <f>SUM(D11:D12)</f>
        <v>204258781</v>
      </c>
    </row>
    <row r="15" spans="1:5" ht="18.75" customHeight="1" x14ac:dyDescent="0.2"/>
    <row r="16" spans="1:5" x14ac:dyDescent="0.2">
      <c r="A16" s="31" t="s">
        <v>101</v>
      </c>
      <c r="B16" s="91" t="s">
        <v>102</v>
      </c>
      <c r="C16" s="84" t="s">
        <v>103</v>
      </c>
      <c r="D16" s="6" t="s">
        <v>105</v>
      </c>
    </row>
    <row r="17" spans="1:2" ht="15.75" x14ac:dyDescent="0.25">
      <c r="A17" s="93" t="s">
        <v>104</v>
      </c>
      <c r="B17" s="94">
        <f>NPV(0.1,B18:B47)</f>
        <v>28276.640393138718</v>
      </c>
    </row>
    <row r="18" spans="1:2" x14ac:dyDescent="0.2">
      <c r="A18" s="31" t="s">
        <v>106</v>
      </c>
      <c r="B18" s="88">
        <v>2640</v>
      </c>
    </row>
    <row r="19" spans="1:2" x14ac:dyDescent="0.2">
      <c r="A19" s="31">
        <v>2</v>
      </c>
      <c r="B19" s="88">
        <f>B18*1.015</f>
        <v>2679.6</v>
      </c>
    </row>
    <row r="20" spans="1:2" x14ac:dyDescent="0.2">
      <c r="A20" s="31">
        <v>3</v>
      </c>
      <c r="B20" s="88">
        <f>B19*1.015</f>
        <v>2719.7939999999999</v>
      </c>
    </row>
    <row r="21" spans="1:2" x14ac:dyDescent="0.2">
      <c r="A21" s="31">
        <v>4</v>
      </c>
      <c r="B21" s="88">
        <f t="shared" ref="B21:B47" si="0">B20*1.015</f>
        <v>2760.5909099999994</v>
      </c>
    </row>
    <row r="22" spans="1:2" x14ac:dyDescent="0.2">
      <c r="A22" s="31">
        <v>5</v>
      </c>
      <c r="B22" s="88">
        <f t="shared" si="0"/>
        <v>2801.999773649999</v>
      </c>
    </row>
    <row r="23" spans="1:2" x14ac:dyDescent="0.2">
      <c r="A23" s="31">
        <v>6</v>
      </c>
      <c r="B23" s="88">
        <f t="shared" si="0"/>
        <v>2844.0297702547487</v>
      </c>
    </row>
    <row r="24" spans="1:2" x14ac:dyDescent="0.2">
      <c r="A24" s="31">
        <v>7</v>
      </c>
      <c r="B24" s="88">
        <f t="shared" si="0"/>
        <v>2886.6902168085694</v>
      </c>
    </row>
    <row r="25" spans="1:2" x14ac:dyDescent="0.2">
      <c r="A25" s="31">
        <v>8</v>
      </c>
      <c r="B25" s="88">
        <f t="shared" si="0"/>
        <v>2929.9905700606978</v>
      </c>
    </row>
    <row r="26" spans="1:2" x14ac:dyDescent="0.2">
      <c r="A26" s="31">
        <v>9</v>
      </c>
      <c r="B26" s="88">
        <f t="shared" si="0"/>
        <v>2973.9404286116078</v>
      </c>
    </row>
    <row r="27" spans="1:2" x14ac:dyDescent="0.2">
      <c r="A27" s="31">
        <v>10</v>
      </c>
      <c r="B27" s="88">
        <f t="shared" si="0"/>
        <v>3018.5495350407814</v>
      </c>
    </row>
    <row r="28" spans="1:2" x14ac:dyDescent="0.2">
      <c r="A28" s="31">
        <v>11</v>
      </c>
      <c r="B28" s="88">
        <f t="shared" si="0"/>
        <v>3063.827778066393</v>
      </c>
    </row>
    <row r="29" spans="1:2" x14ac:dyDescent="0.2">
      <c r="A29" s="31">
        <v>12</v>
      </c>
      <c r="B29" s="88">
        <f t="shared" si="0"/>
        <v>3109.7851947373883</v>
      </c>
    </row>
    <row r="30" spans="1:2" x14ac:dyDescent="0.2">
      <c r="A30" s="31">
        <v>13</v>
      </c>
      <c r="B30" s="88">
        <f t="shared" si="0"/>
        <v>3156.431972658449</v>
      </c>
    </row>
    <row r="31" spans="1:2" x14ac:dyDescent="0.2">
      <c r="A31" s="31">
        <v>14</v>
      </c>
      <c r="B31" s="88">
        <f t="shared" si="0"/>
        <v>3203.7784522483253</v>
      </c>
    </row>
    <row r="32" spans="1:2" x14ac:dyDescent="0.2">
      <c r="A32" s="31">
        <v>15</v>
      </c>
      <c r="B32" s="88">
        <f t="shared" si="0"/>
        <v>3251.8351290320497</v>
      </c>
    </row>
    <row r="33" spans="1:2" x14ac:dyDescent="0.2">
      <c r="A33" s="31">
        <v>16</v>
      </c>
      <c r="B33" s="88">
        <f t="shared" si="0"/>
        <v>3300.6126559675304</v>
      </c>
    </row>
    <row r="34" spans="1:2" x14ac:dyDescent="0.2">
      <c r="A34" s="31">
        <v>17</v>
      </c>
      <c r="B34" s="88">
        <f t="shared" si="0"/>
        <v>3350.121845807043</v>
      </c>
    </row>
    <row r="35" spans="1:2" x14ac:dyDescent="0.2">
      <c r="A35" s="31">
        <v>18</v>
      </c>
      <c r="B35" s="88">
        <f t="shared" si="0"/>
        <v>3400.3736734941481</v>
      </c>
    </row>
    <row r="36" spans="1:2" x14ac:dyDescent="0.2">
      <c r="A36" s="31">
        <v>19</v>
      </c>
      <c r="B36" s="88">
        <f t="shared" si="0"/>
        <v>3451.3792785965597</v>
      </c>
    </row>
    <row r="37" spans="1:2" x14ac:dyDescent="0.2">
      <c r="A37" s="31">
        <v>20</v>
      </c>
      <c r="B37" s="88">
        <f t="shared" si="0"/>
        <v>3503.1499677755078</v>
      </c>
    </row>
    <row r="38" spans="1:2" x14ac:dyDescent="0.2">
      <c r="A38" s="31">
        <v>21</v>
      </c>
      <c r="B38" s="88">
        <f t="shared" si="0"/>
        <v>3555.6972172921401</v>
      </c>
    </row>
    <row r="39" spans="1:2" x14ac:dyDescent="0.2">
      <c r="A39" s="31">
        <v>22</v>
      </c>
      <c r="B39" s="88">
        <f t="shared" si="0"/>
        <v>3609.0326755515216</v>
      </c>
    </row>
    <row r="40" spans="1:2" x14ac:dyDescent="0.2">
      <c r="A40" s="31">
        <v>23</v>
      </c>
      <c r="B40" s="88">
        <f t="shared" si="0"/>
        <v>3663.1681656847941</v>
      </c>
    </row>
    <row r="41" spans="1:2" x14ac:dyDescent="0.2">
      <c r="A41" s="31">
        <v>24</v>
      </c>
      <c r="B41" s="88">
        <f t="shared" si="0"/>
        <v>3718.1156881700658</v>
      </c>
    </row>
    <row r="42" spans="1:2" x14ac:dyDescent="0.2">
      <c r="A42" s="31">
        <v>25</v>
      </c>
      <c r="B42" s="88">
        <f t="shared" si="0"/>
        <v>3773.8874234926166</v>
      </c>
    </row>
    <row r="43" spans="1:2" x14ac:dyDescent="0.2">
      <c r="A43" s="31">
        <v>26</v>
      </c>
      <c r="B43" s="88">
        <f t="shared" si="0"/>
        <v>3830.4957348450052</v>
      </c>
    </row>
    <row r="44" spans="1:2" x14ac:dyDescent="0.2">
      <c r="A44" s="31">
        <v>27</v>
      </c>
      <c r="B44" s="88">
        <f t="shared" si="0"/>
        <v>3887.95317086768</v>
      </c>
    </row>
    <row r="45" spans="1:2" x14ac:dyDescent="0.2">
      <c r="A45" s="31">
        <v>28</v>
      </c>
      <c r="B45" s="88">
        <f t="shared" si="0"/>
        <v>3946.272468430695</v>
      </c>
    </row>
    <row r="46" spans="1:2" x14ac:dyDescent="0.2">
      <c r="A46" s="31">
        <v>29</v>
      </c>
      <c r="B46" s="88">
        <f t="shared" si="0"/>
        <v>4005.4665554571552</v>
      </c>
    </row>
    <row r="47" spans="1:2" x14ac:dyDescent="0.2">
      <c r="A47" s="31">
        <v>30</v>
      </c>
      <c r="B47" s="88">
        <f t="shared" si="0"/>
        <v>4065.5485537890122</v>
      </c>
    </row>
  </sheetData>
  <printOptions horizontalCentered="1" verticalCentered="1" gridLines="1"/>
  <pageMargins left="0.75" right="0.75" top="1" bottom="1" header="0.5" footer="0.5"/>
  <pageSetup scale="90" orientation="landscape" horizontalDpi="0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jballen</dc:creator>
  <cp:lastModifiedBy>Jan Havlíček</cp:lastModifiedBy>
  <cp:lastPrinted>1999-12-30T18:46:25Z</cp:lastPrinted>
  <dcterms:created xsi:type="dcterms:W3CDTF">1999-08-05T02:32:03Z</dcterms:created>
  <dcterms:modified xsi:type="dcterms:W3CDTF">2023-09-17T19:47:26Z</dcterms:modified>
</cp:coreProperties>
</file>