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54D0D4-7D64-496A-9D1A-B1348B280B9D}" xr6:coauthVersionLast="47" xr6:coauthVersionMax="47" xr10:uidLastSave="{00000000-0000-0000-0000-000000000000}"/>
  <bookViews>
    <workbookView xWindow="-120" yWindow="-120" windowWidth="38640" windowHeight="15720"/>
  </bookViews>
  <sheets>
    <sheet name="ECAR" sheetId="22" r:id="rId1"/>
    <sheet name="MAIN" sheetId="21" r:id="rId2"/>
    <sheet name="SPP" sheetId="19" r:id="rId3"/>
    <sheet name="PJM" sheetId="12" r:id="rId4"/>
    <sheet name="NPCC" sheetId="23" r:id="rId5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G5" i="22" l="1"/>
  <c r="I5" i="22"/>
  <c r="K5" i="22"/>
  <c r="M5" i="22"/>
  <c r="G6" i="22"/>
  <c r="I6" i="22"/>
  <c r="K6" i="22"/>
  <c r="M6" i="22"/>
  <c r="G7" i="22"/>
  <c r="I7" i="22"/>
  <c r="K7" i="22"/>
  <c r="M7" i="22"/>
  <c r="G8" i="22"/>
  <c r="I8" i="22"/>
  <c r="K8" i="22"/>
  <c r="M8" i="22"/>
  <c r="G9" i="22"/>
  <c r="I9" i="22"/>
  <c r="K9" i="22"/>
  <c r="M9" i="22"/>
  <c r="G10" i="22"/>
  <c r="I10" i="22"/>
  <c r="K10" i="22"/>
  <c r="M10" i="22"/>
  <c r="G11" i="22"/>
  <c r="I11" i="22"/>
  <c r="K11" i="22"/>
  <c r="M11" i="22"/>
  <c r="G12" i="22"/>
  <c r="I12" i="22"/>
  <c r="K12" i="22"/>
  <c r="M12" i="22"/>
  <c r="G13" i="22"/>
  <c r="I13" i="22"/>
  <c r="K13" i="22"/>
  <c r="M13" i="22"/>
  <c r="G14" i="22"/>
  <c r="I14" i="22"/>
  <c r="K14" i="22"/>
  <c r="M14" i="22"/>
  <c r="G15" i="22"/>
  <c r="I15" i="22"/>
  <c r="K15" i="22"/>
  <c r="M15" i="22"/>
  <c r="G16" i="22"/>
  <c r="I16" i="22"/>
  <c r="K16" i="22"/>
  <c r="M16" i="22"/>
  <c r="G17" i="22"/>
  <c r="I17" i="22"/>
  <c r="K17" i="22"/>
  <c r="M17" i="22"/>
  <c r="G18" i="22"/>
  <c r="I18" i="22"/>
  <c r="K18" i="22"/>
  <c r="M18" i="22"/>
  <c r="G19" i="22"/>
  <c r="I19" i="22"/>
  <c r="K19" i="22"/>
  <c r="M19" i="22"/>
  <c r="G20" i="22"/>
  <c r="I20" i="22"/>
  <c r="K20" i="22"/>
  <c r="M20" i="22"/>
  <c r="G21" i="22"/>
  <c r="I21" i="22"/>
  <c r="K21" i="22"/>
  <c r="M21" i="22"/>
  <c r="G22" i="22"/>
  <c r="I22" i="22"/>
  <c r="K22" i="22"/>
  <c r="M22" i="22"/>
  <c r="G23" i="22"/>
  <c r="I23" i="22"/>
  <c r="K23" i="22"/>
  <c r="M23" i="22"/>
  <c r="G24" i="22"/>
  <c r="I24" i="22"/>
  <c r="K24" i="22"/>
  <c r="M24" i="22"/>
  <c r="G25" i="22"/>
  <c r="I25" i="22"/>
  <c r="K25" i="22"/>
  <c r="M25" i="22"/>
  <c r="G26" i="22"/>
  <c r="I26" i="22"/>
  <c r="K26" i="22"/>
  <c r="M26" i="22"/>
  <c r="G27" i="22"/>
  <c r="I27" i="22"/>
  <c r="K27" i="22"/>
  <c r="M27" i="22"/>
  <c r="G28" i="22"/>
  <c r="I28" i="22"/>
  <c r="K28" i="22"/>
  <c r="M28" i="22"/>
  <c r="G29" i="22"/>
  <c r="I29" i="22"/>
  <c r="K29" i="22"/>
  <c r="M29" i="22"/>
  <c r="G30" i="22"/>
  <c r="I30" i="22"/>
  <c r="K30" i="22"/>
  <c r="M30" i="22"/>
  <c r="G31" i="22"/>
  <c r="I31" i="22"/>
  <c r="K31" i="22"/>
  <c r="M31" i="22"/>
  <c r="G32" i="22"/>
  <c r="I32" i="22"/>
  <c r="K32" i="22"/>
  <c r="M32" i="22"/>
  <c r="G33" i="22"/>
  <c r="I33" i="22"/>
  <c r="K33" i="22"/>
  <c r="M33" i="22"/>
  <c r="E34" i="22"/>
  <c r="F34" i="22"/>
  <c r="G34" i="22"/>
  <c r="H34" i="22"/>
  <c r="I34" i="22"/>
  <c r="J34" i="22"/>
  <c r="K34" i="22"/>
  <c r="L34" i="22"/>
  <c r="M34" i="22"/>
  <c r="B1" i="21"/>
  <c r="G5" i="21"/>
  <c r="I5" i="21"/>
  <c r="K5" i="21"/>
  <c r="M5" i="21"/>
  <c r="G6" i="21"/>
  <c r="I6" i="21"/>
  <c r="K6" i="21"/>
  <c r="M6" i="21"/>
  <c r="G7" i="21"/>
  <c r="I7" i="21"/>
  <c r="K7" i="21"/>
  <c r="M7" i="21"/>
  <c r="G8" i="21"/>
  <c r="I8" i="21"/>
  <c r="K8" i="21"/>
  <c r="M8" i="21"/>
  <c r="G9" i="21"/>
  <c r="I9" i="21"/>
  <c r="K9" i="21"/>
  <c r="M9" i="21"/>
  <c r="G10" i="21"/>
  <c r="I10" i="21"/>
  <c r="K10" i="21"/>
  <c r="M10" i="21"/>
  <c r="G11" i="21"/>
  <c r="I11" i="21"/>
  <c r="K11" i="21"/>
  <c r="M11" i="21"/>
  <c r="G12" i="21"/>
  <c r="I12" i="21"/>
  <c r="K12" i="21"/>
  <c r="M12" i="21"/>
  <c r="G13" i="21"/>
  <c r="I13" i="21"/>
  <c r="K13" i="21"/>
  <c r="M13" i="21"/>
  <c r="G14" i="21"/>
  <c r="I14" i="21"/>
  <c r="K14" i="21"/>
  <c r="M14" i="21"/>
  <c r="G15" i="21"/>
  <c r="I15" i="21"/>
  <c r="K15" i="21"/>
  <c r="M15" i="21"/>
  <c r="F16" i="21"/>
  <c r="G16" i="21"/>
  <c r="H16" i="21"/>
  <c r="I16" i="21"/>
  <c r="J16" i="21"/>
  <c r="K16" i="21"/>
  <c r="L16" i="21"/>
  <c r="M16" i="21"/>
  <c r="B1" i="23"/>
  <c r="I5" i="23"/>
  <c r="J5" i="23"/>
  <c r="K5" i="23"/>
  <c r="L5" i="23"/>
  <c r="I6" i="23"/>
  <c r="J6" i="23"/>
  <c r="K6" i="23"/>
  <c r="L6" i="23"/>
  <c r="I7" i="23"/>
  <c r="J7" i="23"/>
  <c r="K7" i="23"/>
  <c r="L7" i="23"/>
  <c r="C8" i="23"/>
  <c r="D8" i="23"/>
  <c r="I8" i="23"/>
  <c r="J8" i="23"/>
  <c r="K8" i="23"/>
  <c r="L8" i="23"/>
  <c r="C11" i="23"/>
  <c r="C13" i="23"/>
  <c r="C15" i="23"/>
  <c r="L16" i="23"/>
  <c r="L17" i="23"/>
  <c r="C18" i="23"/>
  <c r="D18" i="23"/>
  <c r="L18" i="23"/>
  <c r="C20" i="23"/>
  <c r="C24" i="23"/>
  <c r="C28" i="23"/>
  <c r="C30" i="23"/>
  <c r="I32" i="23"/>
  <c r="C34" i="23"/>
  <c r="C38" i="23"/>
  <c r="C43" i="23"/>
  <c r="C45" i="23"/>
  <c r="C46" i="23"/>
  <c r="D46" i="23"/>
  <c r="B1" i="12"/>
  <c r="C6" i="12"/>
  <c r="C9" i="12"/>
  <c r="C18" i="12"/>
  <c r="C22" i="12"/>
  <c r="I23" i="12"/>
  <c r="I24" i="12"/>
  <c r="C25" i="12"/>
  <c r="I25" i="12"/>
  <c r="C28" i="12"/>
  <c r="C32" i="12"/>
  <c r="I33" i="12"/>
  <c r="C34" i="12"/>
  <c r="I34" i="12"/>
  <c r="I35" i="12"/>
  <c r="I36" i="12"/>
  <c r="I37" i="12"/>
  <c r="C38" i="12"/>
  <c r="I38" i="12"/>
  <c r="C40" i="12"/>
  <c r="I41" i="12"/>
  <c r="J41" i="12"/>
  <c r="C42" i="12"/>
  <c r="I42" i="12"/>
  <c r="J42" i="12"/>
  <c r="C47" i="12"/>
  <c r="C48" i="12"/>
  <c r="D48" i="12"/>
  <c r="B1" i="19"/>
  <c r="G5" i="19"/>
  <c r="I5" i="19"/>
  <c r="K5" i="19"/>
  <c r="M5" i="19"/>
  <c r="G6" i="19"/>
  <c r="I6" i="19"/>
  <c r="K6" i="19"/>
  <c r="M6" i="19"/>
  <c r="G7" i="19"/>
  <c r="I7" i="19"/>
  <c r="K7" i="19"/>
  <c r="M7" i="19"/>
  <c r="G8" i="19"/>
  <c r="I8" i="19"/>
  <c r="K8" i="19"/>
  <c r="M8" i="19"/>
  <c r="G9" i="19"/>
  <c r="I9" i="19"/>
  <c r="K9" i="19"/>
  <c r="M9" i="19"/>
  <c r="G10" i="19"/>
  <c r="I10" i="19"/>
  <c r="K10" i="19"/>
  <c r="M10" i="19"/>
  <c r="G11" i="19"/>
  <c r="I11" i="19"/>
  <c r="K11" i="19"/>
  <c r="M11" i="19"/>
  <c r="G12" i="19"/>
  <c r="I12" i="19"/>
  <c r="K12" i="19"/>
  <c r="M12" i="19"/>
  <c r="F13" i="19"/>
  <c r="G13" i="19"/>
  <c r="H13" i="19"/>
  <c r="I13" i="19"/>
  <c r="J13" i="19"/>
  <c r="K13" i="19"/>
  <c r="L13" i="19"/>
  <c r="M13" i="19"/>
  <c r="F14" i="19"/>
  <c r="G14" i="19"/>
  <c r="H14" i="19"/>
  <c r="I14" i="19"/>
  <c r="J14" i="19"/>
  <c r="K14" i="19"/>
  <c r="L14" i="19"/>
  <c r="M14" i="19"/>
  <c r="E15" i="19"/>
  <c r="F15" i="19"/>
  <c r="G15" i="19"/>
  <c r="H15" i="19"/>
  <c r="I15" i="19"/>
  <c r="J15" i="19"/>
  <c r="K15" i="19"/>
  <c r="L15" i="19"/>
  <c r="M15" i="19"/>
</calcChain>
</file>

<file path=xl/sharedStrings.xml><?xml version="1.0" encoding="utf-8"?>
<sst xmlns="http://schemas.openxmlformats.org/spreadsheetml/2006/main" count="792" uniqueCount="167">
  <si>
    <t>Amos</t>
  </si>
  <si>
    <t>Gavin</t>
  </si>
  <si>
    <t>Rockport (IN)</t>
  </si>
  <si>
    <t>Gibson</t>
  </si>
  <si>
    <t>Stuart</t>
  </si>
  <si>
    <t>W.H. Zimmer</t>
  </si>
  <si>
    <t>Cayuga</t>
  </si>
  <si>
    <t>Campbell (MI)</t>
  </si>
  <si>
    <t>Killen</t>
  </si>
  <si>
    <t>Merom</t>
  </si>
  <si>
    <t>Petersburg (IN)</t>
  </si>
  <si>
    <t>Mill Creek (KY)</t>
  </si>
  <si>
    <t>Newton</t>
  </si>
  <si>
    <t>Labadie</t>
  </si>
  <si>
    <t>Rush Island</t>
  </si>
  <si>
    <t>Greenwood</t>
  </si>
  <si>
    <t>Monroe (MO)</t>
  </si>
  <si>
    <t>Mountaineer</t>
  </si>
  <si>
    <t>Muskingum River</t>
  </si>
  <si>
    <t>Avon Lake</t>
  </si>
  <si>
    <t>Ghent</t>
  </si>
  <si>
    <t>Cardinal</t>
  </si>
  <si>
    <t>Harrison</t>
  </si>
  <si>
    <t>Hatfield Power Station</t>
  </si>
  <si>
    <t>Mansfield</t>
  </si>
  <si>
    <t>Pleasants</t>
  </si>
  <si>
    <t>Sammis</t>
  </si>
  <si>
    <t>PLANT</t>
  </si>
  <si>
    <t>Columbia (WI) - WPL</t>
  </si>
  <si>
    <t>Oak Creek South</t>
  </si>
  <si>
    <t>Coffeen</t>
  </si>
  <si>
    <t>Kincaid</t>
  </si>
  <si>
    <t>Baldwin (IL)</t>
  </si>
  <si>
    <t>Powerton</t>
  </si>
  <si>
    <t>Pleasant Prairie</t>
  </si>
  <si>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</si>
  <si>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</si>
  <si>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</si>
  <si>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</si>
  <si>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</si>
  <si>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</si>
  <si>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</si>
  <si>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</si>
  <si>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</si>
  <si>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Jeffrey</t>
  </si>
  <si>
    <t>Sooner</t>
  </si>
  <si>
    <t>Muskogee</t>
  </si>
  <si>
    <t>ECAR</t>
  </si>
  <si>
    <t>MAIN</t>
  </si>
  <si>
    <t>SPP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</si>
  <si>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</si>
  <si>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</si>
  <si>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</si>
  <si>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</si>
  <si>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</si>
  <si>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</si>
  <si>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</si>
  <si>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</si>
  <si>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Full</t>
  </si>
  <si>
    <t>Capacity</t>
  </si>
  <si>
    <t>On/Off</t>
  </si>
  <si>
    <t>GT3</t>
  </si>
  <si>
    <t>GT6</t>
  </si>
  <si>
    <t>Current Output</t>
  </si>
  <si>
    <t xml:space="preserve"> @ 1200</t>
  </si>
  <si>
    <t xml:space="preserve"> @ 0630</t>
  </si>
  <si>
    <t xml:space="preserve"> @ 0900</t>
  </si>
  <si>
    <t xml:space="preserve"> @1600</t>
  </si>
  <si>
    <t>Change</t>
  </si>
  <si>
    <t>Comments</t>
  </si>
  <si>
    <t>New Haven Harbor</t>
  </si>
  <si>
    <t>Unit</t>
  </si>
  <si>
    <t>NPCC</t>
  </si>
  <si>
    <t>OPERATOR</t>
  </si>
  <si>
    <t>AEP</t>
  </si>
  <si>
    <t>CIN</t>
  </si>
  <si>
    <t>DPL</t>
  </si>
  <si>
    <t>IPALCO</t>
  </si>
  <si>
    <t>CMS</t>
  </si>
  <si>
    <t>LG&amp;EE</t>
  </si>
  <si>
    <t>DTE</t>
  </si>
  <si>
    <t>FE</t>
  </si>
  <si>
    <t>APS</t>
  </si>
  <si>
    <t>ILLC</t>
  </si>
  <si>
    <t>AEE</t>
  </si>
  <si>
    <t>ALIANT</t>
  </si>
  <si>
    <t>UCM</t>
  </si>
  <si>
    <t>WIEC</t>
  </si>
  <si>
    <t>KPL</t>
  </si>
  <si>
    <t>OGE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</si>
  <si>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</si>
  <si>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</si>
  <si>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</si>
  <si>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</si>
  <si>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</si>
  <si>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</si>
  <si>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</si>
  <si>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</si>
  <si>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</si>
  <si>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</si>
  <si>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</si>
  <si>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Conesville</t>
  </si>
  <si>
    <t>La Cygne</t>
  </si>
  <si>
    <t>Thomas Hill</t>
  </si>
  <si>
    <t>Mitchell</t>
  </si>
  <si>
    <t>KCP&amp;L</t>
  </si>
  <si>
    <t>AEC</t>
  </si>
  <si>
    <t>Stout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</si>
  <si>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</si>
  <si>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</si>
  <si>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</si>
  <si>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</si>
  <si>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</si>
  <si>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</si>
  <si>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</si>
  <si>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</si>
  <si>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</si>
  <si>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</si>
  <si>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</si>
  <si>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</si>
  <si>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</si>
  <si>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</si>
  <si>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</si>
  <si>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</si>
  <si>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</si>
  <si>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</si>
  <si>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</si>
  <si>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</si>
  <si>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</si>
  <si>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</si>
  <si>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</si>
  <si>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</si>
  <si>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</si>
  <si>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</si>
  <si>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</si>
  <si>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</si>
  <si>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</si>
  <si>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</si>
  <si>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</si>
  <si>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</si>
  <si>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</si>
  <si>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Coal/Gas</t>
  </si>
  <si>
    <t>Coal/FO2</t>
  </si>
  <si>
    <t>Gas/FO6</t>
  </si>
  <si>
    <t>Coal/FO2/Gas</t>
  </si>
  <si>
    <t>PJM / MAAC</t>
  </si>
  <si>
    <t>Karn (Units 3&amp;4)</t>
  </si>
  <si>
    <t>Fort Martin</t>
  </si>
  <si>
    <t>White Bluff</t>
  </si>
  <si>
    <t>Full Plant Capacity</t>
  </si>
  <si>
    <t>Current Plant Output</t>
  </si>
  <si>
    <t>On</t>
  </si>
  <si>
    <t>Off</t>
  </si>
  <si>
    <t>Entergy</t>
  </si>
  <si>
    <t>Bridgeport Energy</t>
  </si>
  <si>
    <t>Hoosier</t>
  </si>
  <si>
    <t>Detroit  Ed</t>
  </si>
  <si>
    <t>Dominion Resources</t>
  </si>
  <si>
    <t>Joppa</t>
  </si>
  <si>
    <t>New Madrid</t>
  </si>
  <si>
    <t>Grand River Dam</t>
  </si>
  <si>
    <t>Rodemacher</t>
  </si>
  <si>
    <t>GRDA</t>
  </si>
  <si>
    <t>EEI</t>
  </si>
  <si>
    <t>Independence</t>
  </si>
  <si>
    <t>CLECO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</si>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</sst>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_)"/>
    <numFmt numFmtId="178" formatCode="0.00_);[Red]\(0.00\)"/>
  </numFmts>
  <fonts count="11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22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vertical="center"/>
    </xf>
    <xf numFmtId="0" fontId="0" fillId="0" borderId="1" xfId="0" applyBorder="1"/>
    <xf numFmtId="1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178" fontId="1" fillId="0" borderId="10" xfId="0" applyNumberFormat="1" applyFont="1" applyFill="1" applyBorder="1" applyAlignment="1">
      <alignment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2" xfId="0" applyBorder="1"/>
    <xf numFmtId="0" fontId="1" fillId="0" borderId="1" xfId="1" applyFont="1" applyFill="1" applyBorder="1" applyAlignment="1">
      <alignment vertical="center"/>
    </xf>
    <xf numFmtId="0" fontId="1" fillId="0" borderId="8" xfId="1" applyFont="1" applyFill="1" applyBorder="1" applyAlignment="1">
      <alignment vertical="center"/>
    </xf>
    <xf numFmtId="178" fontId="6" fillId="0" borderId="2" xfId="1" applyNumberFormat="1" applyFont="1" applyFill="1" applyBorder="1" applyAlignment="1">
      <alignment vertical="center"/>
    </xf>
    <xf numFmtId="178" fontId="6" fillId="0" borderId="10" xfId="1" applyNumberFormat="1" applyFont="1" applyFill="1" applyBorder="1" applyAlignment="1">
      <alignment vertical="center"/>
    </xf>
    <xf numFmtId="178" fontId="1" fillId="0" borderId="2" xfId="0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8" fontId="1" fillId="0" borderId="1" xfId="0" applyNumberFormat="1" applyFont="1" applyFill="1" applyBorder="1" applyAlignment="1">
      <alignment horizontal="right" vertical="center"/>
    </xf>
    <xf numFmtId="3" fontId="1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right" vertical="center"/>
    </xf>
    <xf numFmtId="38" fontId="0" fillId="0" borderId="1" xfId="0" applyNumberFormat="1" applyBorder="1"/>
    <xf numFmtId="3" fontId="0" fillId="2" borderId="0" xfId="0" applyNumberFormat="1" applyFill="1" applyAlignment="1">
      <alignment horizontal="center"/>
    </xf>
    <xf numFmtId="0" fontId="8" fillId="0" borderId="0" xfId="0" applyFont="1"/>
    <xf numFmtId="0" fontId="6" fillId="0" borderId="0" xfId="0" applyFont="1" applyBorder="1"/>
    <xf numFmtId="38" fontId="6" fillId="0" borderId="2" xfId="0" applyNumberFormat="1" applyFont="1" applyBorder="1" applyAlignment="1">
      <alignment horizontal="right"/>
    </xf>
    <xf numFmtId="38" fontId="0" fillId="3" borderId="2" xfId="0" applyNumberFormat="1" applyFill="1" applyBorder="1" applyAlignment="1">
      <alignment horizontal="right"/>
    </xf>
    <xf numFmtId="38" fontId="6" fillId="0" borderId="10" xfId="0" applyNumberFormat="1" applyFont="1" applyBorder="1" applyAlignment="1">
      <alignment horizontal="right"/>
    </xf>
    <xf numFmtId="38" fontId="0" fillId="3" borderId="10" xfId="0" applyNumberFormat="1" applyFill="1" applyBorder="1" applyAlignment="1">
      <alignment horizontal="right"/>
    </xf>
    <xf numFmtId="38" fontId="0" fillId="0" borderId="2" xfId="0" applyNumberFormat="1" applyBorder="1" applyAlignment="1">
      <alignment horizontal="right"/>
    </xf>
    <xf numFmtId="38" fontId="9" fillId="0" borderId="1" xfId="0" applyNumberFormat="1" applyFont="1" applyFill="1" applyBorder="1" applyAlignment="1">
      <alignment horizontal="right" vertical="center"/>
    </xf>
    <xf numFmtId="38" fontId="1" fillId="0" borderId="1" xfId="0" applyNumberFormat="1" applyFont="1" applyFill="1" applyBorder="1" applyAlignment="1">
      <alignment vertical="center"/>
    </xf>
    <xf numFmtId="178" fontId="3" fillId="0" borderId="10" xfId="0" applyNumberFormat="1" applyFont="1" applyFill="1" applyBorder="1" applyAlignment="1">
      <alignment horizontal="center" vertical="center"/>
    </xf>
    <xf numFmtId="178" fontId="3" fillId="3" borderId="1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78" fontId="3" fillId="0" borderId="3" xfId="0" applyNumberFormat="1" applyFont="1" applyFill="1" applyBorder="1" applyAlignment="1">
      <alignment horizontal="center" vertical="center"/>
    </xf>
    <xf numFmtId="178" fontId="3" fillId="3" borderId="4" xfId="0" applyNumberFormat="1" applyFont="1" applyFill="1" applyBorder="1" applyAlignment="1">
      <alignment horizontal="center" vertical="center"/>
    </xf>
    <xf numFmtId="178" fontId="3" fillId="0" borderId="4" xfId="0" applyNumberFormat="1" applyFont="1" applyFill="1" applyBorder="1" applyAlignment="1">
      <alignment horizontal="center" vertical="center"/>
    </xf>
    <xf numFmtId="38" fontId="1" fillId="0" borderId="8" xfId="0" applyNumberFormat="1" applyFont="1" applyFill="1" applyBorder="1" applyAlignment="1">
      <alignment horizontal="right" vertical="center"/>
    </xf>
    <xf numFmtId="38" fontId="2" fillId="0" borderId="1" xfId="0" applyNumberFormat="1" applyFont="1" applyBorder="1" applyAlignment="1">
      <alignment horizontal="center"/>
    </xf>
    <xf numFmtId="38" fontId="2" fillId="0" borderId="3" xfId="0" applyNumberFormat="1" applyFont="1" applyFill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Border="1" applyAlignment="1">
      <alignment horizontal="center"/>
    </xf>
    <xf numFmtId="178" fontId="5" fillId="0" borderId="2" xfId="0" applyNumberFormat="1" applyFont="1" applyBorder="1" applyAlignment="1">
      <alignment horizontal="center"/>
    </xf>
    <xf numFmtId="178" fontId="2" fillId="3" borderId="2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178" fontId="1" fillId="0" borderId="2" xfId="1" applyNumberFormat="1" applyFont="1" applyFill="1" applyBorder="1" applyAlignment="1">
      <alignment vertical="center"/>
    </xf>
    <xf numFmtId="178" fontId="2" fillId="0" borderId="1" xfId="0" applyNumberFormat="1" applyFont="1" applyBorder="1" applyAlignment="1">
      <alignment horizontal="center"/>
    </xf>
    <xf numFmtId="38" fontId="2" fillId="0" borderId="1" xfId="0" applyNumberFormat="1" applyFont="1" applyFill="1" applyBorder="1" applyAlignment="1">
      <alignment vertical="center"/>
    </xf>
    <xf numFmtId="178" fontId="1" fillId="0" borderId="1" xfId="0" applyNumberFormat="1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vertical="center"/>
    </xf>
    <xf numFmtId="164" fontId="1" fillId="0" borderId="8" xfId="0" applyNumberFormat="1" applyFont="1" applyFill="1" applyBorder="1" applyAlignment="1">
      <alignment vertical="center"/>
    </xf>
    <xf numFmtId="178" fontId="1" fillId="0" borderId="8" xfId="0" applyNumberFormat="1" applyFont="1" applyFill="1" applyBorder="1" applyAlignment="1">
      <alignment horizontal="right" vertic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6" fillId="0" borderId="15" xfId="0" applyFont="1" applyFill="1" applyBorder="1" applyAlignment="1" applyProtection="1">
      <alignment vertical="center"/>
    </xf>
    <xf numFmtId="0" fontId="6" fillId="0" borderId="12" xfId="0" applyFont="1" applyBorder="1"/>
    <xf numFmtId="0" fontId="6" fillId="0" borderId="16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1" xfId="0" applyFont="1" applyBorder="1"/>
    <xf numFmtId="164" fontId="6" fillId="0" borderId="17" xfId="0" applyNumberFormat="1" applyFont="1" applyFill="1" applyBorder="1" applyAlignment="1" applyProtection="1">
      <alignment vertical="center"/>
    </xf>
    <xf numFmtId="0" fontId="6" fillId="0" borderId="3" xfId="0" applyFont="1" applyBorder="1"/>
    <xf numFmtId="0" fontId="6" fillId="0" borderId="18" xfId="0" applyFont="1" applyFill="1" applyBorder="1" applyAlignment="1" applyProtection="1">
      <alignment vertical="center"/>
    </xf>
    <xf numFmtId="0" fontId="6" fillId="0" borderId="18" xfId="0" applyFont="1" applyBorder="1" applyProtection="1"/>
    <xf numFmtId="0" fontId="6" fillId="0" borderId="17" xfId="0" applyFont="1" applyFill="1" applyBorder="1" applyAlignment="1" applyProtection="1">
      <alignment vertical="center"/>
    </xf>
    <xf numFmtId="0" fontId="6" fillId="0" borderId="9" xfId="0" applyFont="1" applyBorder="1" applyProtection="1"/>
    <xf numFmtId="0" fontId="6" fillId="0" borderId="8" xfId="0" applyFont="1" applyBorder="1"/>
    <xf numFmtId="38" fontId="6" fillId="0" borderId="12" xfId="0" applyNumberFormat="1" applyFont="1" applyFill="1" applyBorder="1" applyAlignment="1" applyProtection="1">
      <alignment horizontal="center" vertical="center"/>
    </xf>
    <xf numFmtId="38" fontId="6" fillId="0" borderId="19" xfId="0" applyNumberFormat="1" applyFont="1" applyBorder="1" applyAlignment="1">
      <alignment horizontal="center"/>
    </xf>
    <xf numFmtId="38" fontId="6" fillId="0" borderId="12" xfId="0" applyNumberFormat="1" applyFont="1" applyBorder="1" applyAlignment="1">
      <alignment horizontal="center"/>
    </xf>
    <xf numFmtId="38" fontId="6" fillId="0" borderId="4" xfId="0" applyNumberFormat="1" applyFont="1" applyFill="1" applyBorder="1" applyAlignment="1" applyProtection="1">
      <alignment horizontal="center" vertical="center"/>
    </xf>
    <xf numFmtId="38" fontId="6" fillId="0" borderId="3" xfId="0" applyNumberFormat="1" applyFont="1" applyBorder="1" applyAlignment="1">
      <alignment horizontal="center"/>
    </xf>
    <xf numFmtId="38" fontId="6" fillId="0" borderId="4" xfId="0" applyNumberFormat="1" applyFont="1" applyBorder="1" applyAlignment="1">
      <alignment horizontal="center"/>
    </xf>
    <xf numFmtId="38" fontId="6" fillId="0" borderId="6" xfId="0" applyNumberFormat="1" applyFont="1" applyFill="1" applyBorder="1" applyAlignment="1" applyProtection="1">
      <alignment horizontal="center" vertical="center"/>
    </xf>
    <xf numFmtId="38" fontId="6" fillId="0" borderId="5" xfId="0" applyNumberFormat="1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38" fontId="6" fillId="0" borderId="2" xfId="0" applyNumberFormat="1" applyFont="1" applyFill="1" applyBorder="1" applyAlignment="1" applyProtection="1">
      <alignment horizontal="center" vertical="center"/>
    </xf>
    <xf numFmtId="38" fontId="6" fillId="0" borderId="1" xfId="0" applyNumberFormat="1" applyFont="1" applyBorder="1" applyAlignment="1">
      <alignment horizontal="center"/>
    </xf>
    <xf numFmtId="38" fontId="6" fillId="0" borderId="2" xfId="0" applyNumberFormat="1" applyFont="1" applyBorder="1" applyAlignment="1">
      <alignment horizontal="center"/>
    </xf>
    <xf numFmtId="38" fontId="6" fillId="0" borderId="6" xfId="0" applyNumberFormat="1" applyFont="1" applyBorder="1" applyAlignment="1" applyProtection="1">
      <alignment horizontal="center"/>
    </xf>
    <xf numFmtId="38" fontId="6" fillId="0" borderId="2" xfId="0" applyNumberFormat="1" applyFont="1" applyBorder="1" applyAlignment="1" applyProtection="1">
      <alignment horizontal="center"/>
    </xf>
    <xf numFmtId="38" fontId="6" fillId="0" borderId="10" xfId="0" applyNumberFormat="1" applyFont="1" applyBorder="1" applyAlignment="1" applyProtection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2" borderId="10" xfId="0" applyNumberFormat="1" applyFont="1" applyFill="1" applyBorder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38" fontId="6" fillId="0" borderId="2" xfId="0" applyNumberFormat="1" applyFont="1" applyBorder="1"/>
    <xf numFmtId="38" fontId="6" fillId="2" borderId="2" xfId="0" applyNumberFormat="1" applyFont="1" applyFill="1" applyBorder="1"/>
    <xf numFmtId="38" fontId="6" fillId="0" borderId="0" xfId="0" applyNumberFormat="1" applyFont="1" applyBorder="1"/>
    <xf numFmtId="38" fontId="6" fillId="2" borderId="0" xfId="0" applyNumberFormat="1" applyFont="1" applyFill="1" applyBorder="1"/>
    <xf numFmtId="14" fontId="5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6" fillId="0" borderId="0" xfId="0" applyFont="1" applyBorder="1" applyProtection="1"/>
    <xf numFmtId="38" fontId="6" fillId="0" borderId="0" xfId="0" applyNumberFormat="1" applyFont="1" applyBorder="1" applyAlignment="1" applyProtection="1">
      <alignment horizontal="center"/>
    </xf>
    <xf numFmtId="38" fontId="6" fillId="0" borderId="0" xfId="0" applyNumberFormat="1" applyFont="1" applyBorder="1" applyAlignment="1">
      <alignment horizontal="center"/>
    </xf>
    <xf numFmtId="38" fontId="6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38" fontId="6" fillId="3" borderId="2" xfId="0" applyNumberFormat="1" applyFont="1" applyFill="1" applyBorder="1" applyAlignment="1">
      <alignment horizontal="right"/>
    </xf>
    <xf numFmtId="38" fontId="6" fillId="3" borderId="10" xfId="0" applyNumberFormat="1" applyFont="1" applyFill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164" fontId="7" fillId="0" borderId="6" xfId="0" applyNumberFormat="1" applyFont="1" applyFill="1" applyBorder="1" applyAlignment="1" applyProtection="1">
      <alignment horizontal="center" vertical="center"/>
    </xf>
    <xf numFmtId="38" fontId="0" fillId="3" borderId="2" xfId="0" applyNumberFormat="1" applyFill="1" applyBorder="1"/>
    <xf numFmtId="38" fontId="0" fillId="3" borderId="12" xfId="0" applyNumberFormat="1" applyFill="1" applyBorder="1"/>
    <xf numFmtId="38" fontId="0" fillId="0" borderId="0" xfId="0" applyNumberFormat="1" applyBorder="1"/>
    <xf numFmtId="38" fontId="0" fillId="3" borderId="0" xfId="0" applyNumberFormat="1" applyFill="1"/>
    <xf numFmtId="38" fontId="0" fillId="3" borderId="10" xfId="0" applyNumberFormat="1" applyFill="1" applyBorder="1"/>
    <xf numFmtId="38" fontId="1" fillId="0" borderId="2" xfId="1" applyNumberFormat="1" applyFont="1" applyFill="1" applyBorder="1" applyAlignment="1">
      <alignment vertical="center"/>
    </xf>
    <xf numFmtId="164" fontId="7" fillId="0" borderId="2" xfId="0" applyNumberFormat="1" applyFont="1" applyFill="1" applyBorder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vertical="center"/>
    </xf>
    <xf numFmtId="3" fontId="1" fillId="0" borderId="10" xfId="0" applyNumberFormat="1" applyFont="1" applyFill="1" applyBorder="1" applyAlignment="1">
      <alignment vertical="center"/>
    </xf>
    <xf numFmtId="38" fontId="2" fillId="0" borderId="10" xfId="0" applyNumberFormat="1" applyFont="1" applyFill="1" applyBorder="1" applyAlignment="1">
      <alignment vertical="center"/>
    </xf>
    <xf numFmtId="3" fontId="1" fillId="0" borderId="10" xfId="0" applyNumberFormat="1" applyFont="1" applyFill="1" applyBorder="1" applyAlignment="1">
      <alignment horizontal="right" vertical="center"/>
    </xf>
    <xf numFmtId="0" fontId="0" fillId="3" borderId="4" xfId="0" applyFill="1" applyBorder="1" applyAlignment="1">
      <alignment horizontal="center"/>
    </xf>
    <xf numFmtId="38" fontId="6" fillId="0" borderId="10" xfId="0" applyNumberFormat="1" applyFont="1" applyBorder="1"/>
    <xf numFmtId="0" fontId="10" fillId="0" borderId="21" xfId="0" applyFont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178" fontId="6" fillId="0" borderId="2" xfId="0" applyNumberFormat="1" applyFont="1" applyFill="1" applyBorder="1" applyAlignment="1">
      <alignment vertical="center"/>
    </xf>
    <xf numFmtId="38" fontId="6" fillId="0" borderId="1" xfId="0" applyNumberFormat="1" applyFont="1" applyFill="1" applyBorder="1" applyAlignment="1">
      <alignment horizontal="right" vertical="center"/>
    </xf>
    <xf numFmtId="38" fontId="7" fillId="0" borderId="1" xfId="0" applyNumberFormat="1" applyFont="1" applyFill="1" applyBorder="1" applyAlignment="1">
      <alignment vertical="center"/>
    </xf>
    <xf numFmtId="0" fontId="6" fillId="0" borderId="0" xfId="0" applyFont="1"/>
    <xf numFmtId="38" fontId="1" fillId="0" borderId="0" xfId="1" applyNumberFormat="1" applyFont="1" applyFill="1" applyBorder="1" applyAlignment="1">
      <alignment vertical="center"/>
    </xf>
    <xf numFmtId="0" fontId="7" fillId="0" borderId="21" xfId="0" applyFont="1" applyBorder="1" applyAlignment="1">
      <alignment horizontal="center"/>
    </xf>
    <xf numFmtId="164" fontId="10" fillId="0" borderId="4" xfId="0" applyNumberFormat="1" applyFont="1" applyFill="1" applyBorder="1" applyAlignment="1" applyProtection="1">
      <alignment horizontal="center" vertical="center"/>
    </xf>
    <xf numFmtId="38" fontId="1" fillId="0" borderId="10" xfId="0" applyNumberFormat="1" applyFont="1" applyFill="1" applyBorder="1" applyAlignment="1">
      <alignment horizontal="right" vertical="center"/>
    </xf>
    <xf numFmtId="0" fontId="10" fillId="0" borderId="12" xfId="0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4" xfId="0" applyNumberFormat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vertical="center"/>
    </xf>
    <xf numFmtId="3" fontId="7" fillId="0" borderId="2" xfId="1" applyNumberFormat="1" applyFont="1" applyFill="1" applyBorder="1" applyAlignment="1">
      <alignment vertical="center"/>
    </xf>
    <xf numFmtId="38" fontId="0" fillId="0" borderId="2" xfId="0" applyNumberFormat="1" applyBorder="1"/>
    <xf numFmtId="3" fontId="7" fillId="0" borderId="10" xfId="1" applyNumberFormat="1" applyFont="1" applyFill="1" applyBorder="1" applyAlignment="1">
      <alignment vertical="center"/>
    </xf>
    <xf numFmtId="164" fontId="7" fillId="0" borderId="6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64" fontId="7" fillId="0" borderId="1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38" fontId="0" fillId="0" borderId="0" xfId="0" applyNumberFormat="1" applyBorder="1" applyAlignment="1">
      <alignment horizontal="right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>
      <alignment horizontal="right" vertical="center"/>
    </xf>
    <xf numFmtId="164" fontId="6" fillId="0" borderId="12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2">
    <cellStyle name="Normal" xfId="0" builtinId="0"/>
    <cellStyle name="Normal_SPP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2"/>
  <dimension ref="A1:M46"/>
  <sheetViews>
    <sheetView tabSelected="1" workbookViewId="0"/>
  </sheetViews>
  <sheetFormatPr defaultRowHeight="12" x14ac:dyDescent="0.2"/>
  <cols>
    <col min="2" max="2" width="17.5703125" customWidth="1"/>
    <col min="3" max="3" width="9.7109375" customWidth="1"/>
    <col min="4" max="4" width="8.7109375" customWidth="1"/>
    <col min="5" max="5" width="7.140625" customWidth="1"/>
    <col min="6" max="6" width="12.7109375" customWidth="1"/>
    <col min="7" max="7" width="7.42578125" customWidth="1"/>
    <col min="8" max="8" width="12.7109375" customWidth="1"/>
    <col min="9" max="9" width="6.7109375" customWidth="1"/>
    <col min="10" max="10" width="12.7109375" customWidth="1"/>
    <col min="11" max="11" width="6.7109375" customWidth="1"/>
    <col min="12" max="12" width="12.7109375" customWidth="1"/>
    <col min="13" max="13" width="6.7109375" customWidth="1"/>
  </cols>
  <sheetData>
    <row r="1" spans="1:13" ht="15.75" x14ac:dyDescent="0.25">
      <c r="A1" s="53" t="s">
        <v>47</v>
      </c>
      <c r="B1" s="80">
        <v>36831</v>
      </c>
      <c r="C1" s="81"/>
      <c r="D1" s="81"/>
      <c r="E1" s="82"/>
      <c r="F1" s="83"/>
      <c r="G1" s="81"/>
      <c r="H1" s="82"/>
      <c r="I1" s="82"/>
      <c r="J1" s="82"/>
      <c r="K1" s="82"/>
      <c r="L1" s="82"/>
      <c r="M1" s="83"/>
    </row>
    <row r="2" spans="1:13" ht="15.75" x14ac:dyDescent="0.25">
      <c r="A2" s="83"/>
      <c r="B2" s="81"/>
      <c r="C2" s="81"/>
      <c r="D2" s="81"/>
      <c r="E2" s="81"/>
      <c r="F2" s="84"/>
      <c r="G2" s="82"/>
      <c r="H2" s="82"/>
      <c r="I2" s="82"/>
      <c r="J2" s="82"/>
      <c r="K2" s="82"/>
      <c r="L2" s="82"/>
      <c r="M2" s="83"/>
    </row>
    <row r="3" spans="1:13" ht="15.75" x14ac:dyDescent="0.25">
      <c r="A3" s="46"/>
      <c r="B3" s="85"/>
      <c r="C3" s="77" t="s">
        <v>125</v>
      </c>
      <c r="D3" s="77" t="s">
        <v>140</v>
      </c>
      <c r="E3" s="90" t="s">
        <v>58</v>
      </c>
      <c r="F3" s="79" t="s">
        <v>63</v>
      </c>
      <c r="G3" s="86" t="s">
        <v>68</v>
      </c>
      <c r="H3" s="79" t="s">
        <v>63</v>
      </c>
      <c r="I3" s="86" t="s">
        <v>68</v>
      </c>
      <c r="J3" s="79" t="s">
        <v>63</v>
      </c>
      <c r="K3" s="86" t="s">
        <v>68</v>
      </c>
      <c r="L3" s="79" t="s">
        <v>63</v>
      </c>
      <c r="M3" s="86" t="s">
        <v>68</v>
      </c>
    </row>
    <row r="4" spans="1:13" ht="12.75" thickBot="1" x14ac:dyDescent="0.25">
      <c r="A4" s="87" t="s">
        <v>73</v>
      </c>
      <c r="B4" s="75" t="s">
        <v>27</v>
      </c>
      <c r="C4" s="78" t="s">
        <v>126</v>
      </c>
      <c r="D4" s="78" t="s">
        <v>127</v>
      </c>
      <c r="E4" s="73" t="s">
        <v>59</v>
      </c>
      <c r="F4" s="75" t="s">
        <v>65</v>
      </c>
      <c r="G4" s="74"/>
      <c r="H4" s="75" t="s">
        <v>66</v>
      </c>
      <c r="I4" s="74"/>
      <c r="J4" s="75" t="s">
        <v>64</v>
      </c>
      <c r="K4" s="71"/>
      <c r="L4" s="70" t="s">
        <v>67</v>
      </c>
      <c r="M4" s="88"/>
    </row>
    <row r="5" spans="1:13" x14ac:dyDescent="0.2">
      <c r="A5" s="72" t="s">
        <v>74</v>
      </c>
      <c r="B5" s="36" t="s">
        <v>0</v>
      </c>
      <c r="C5" s="56" t="s">
        <v>128</v>
      </c>
      <c r="D5" s="56">
        <v>9081</v>
      </c>
      <c r="E5" s="91">
        <v>2932.6</v>
      </c>
      <c r="F5" s="137">
        <v>570</v>
      </c>
      <c r="G5" s="64">
        <f>F5 - 1770</f>
        <v>-1200</v>
      </c>
      <c r="H5" s="63">
        <v>770</v>
      </c>
      <c r="I5" s="64">
        <f t="shared" ref="I5:I33" si="0">H5 - F5</f>
        <v>200</v>
      </c>
      <c r="J5" s="63">
        <v>880</v>
      </c>
      <c r="K5" s="161">
        <f t="shared" ref="K5:K33" si="1">J5 - H5</f>
        <v>110</v>
      </c>
      <c r="L5" s="63">
        <v>970</v>
      </c>
      <c r="M5" s="161">
        <f t="shared" ref="M5:M33" si="2">L5 - J5</f>
        <v>90</v>
      </c>
    </row>
    <row r="6" spans="1:13" x14ac:dyDescent="0.2">
      <c r="A6" s="72" t="s">
        <v>75</v>
      </c>
      <c r="B6" s="36" t="s">
        <v>6</v>
      </c>
      <c r="C6" s="56" t="s">
        <v>141</v>
      </c>
      <c r="D6" s="56">
        <v>9948</v>
      </c>
      <c r="E6" s="91">
        <v>1193.4000000000001</v>
      </c>
      <c r="F6" s="137">
        <v>840</v>
      </c>
      <c r="G6" s="64">
        <f>F6 - 445</f>
        <v>395</v>
      </c>
      <c r="H6" s="63">
        <v>905</v>
      </c>
      <c r="I6" s="64">
        <f t="shared" si="0"/>
        <v>65</v>
      </c>
      <c r="J6" s="63">
        <v>985</v>
      </c>
      <c r="K6" s="161">
        <f t="shared" si="1"/>
        <v>80</v>
      </c>
      <c r="L6" s="63">
        <v>450</v>
      </c>
      <c r="M6" s="161">
        <f t="shared" si="2"/>
        <v>-535</v>
      </c>
    </row>
    <row r="7" spans="1:13" x14ac:dyDescent="0.2">
      <c r="A7" s="72" t="s">
        <v>74</v>
      </c>
      <c r="B7" s="36" t="s">
        <v>1</v>
      </c>
      <c r="C7" s="56" t="s">
        <v>128</v>
      </c>
      <c r="D7" s="56">
        <v>9548</v>
      </c>
      <c r="E7" s="91">
        <v>2600</v>
      </c>
      <c r="F7" s="137">
        <v>2255</v>
      </c>
      <c r="G7" s="64">
        <f>F7 - 2150</f>
        <v>105</v>
      </c>
      <c r="H7" s="63">
        <v>2260</v>
      </c>
      <c r="I7" s="64">
        <f t="shared" si="0"/>
        <v>5</v>
      </c>
      <c r="J7" s="63">
        <v>2180</v>
      </c>
      <c r="K7" s="161">
        <f t="shared" si="1"/>
        <v>-80</v>
      </c>
      <c r="L7" s="63">
        <v>2060</v>
      </c>
      <c r="M7" s="161">
        <f t="shared" si="2"/>
        <v>-120</v>
      </c>
    </row>
    <row r="8" spans="1:13" s="189" customFormat="1" x14ac:dyDescent="0.2">
      <c r="A8" s="185" t="s">
        <v>76</v>
      </c>
      <c r="B8" s="186" t="s">
        <v>8</v>
      </c>
      <c r="C8" s="187" t="s">
        <v>142</v>
      </c>
      <c r="D8" s="187">
        <v>9337</v>
      </c>
      <c r="E8" s="188">
        <v>686.63</v>
      </c>
      <c r="F8" s="137">
        <v>630</v>
      </c>
      <c r="G8" s="161">
        <f>F8 - 640</f>
        <v>-10</v>
      </c>
      <c r="H8" s="63">
        <v>625</v>
      </c>
      <c r="I8" s="161">
        <f t="shared" si="0"/>
        <v>-5</v>
      </c>
      <c r="J8" s="63">
        <v>630</v>
      </c>
      <c r="K8" s="161">
        <f t="shared" si="1"/>
        <v>5</v>
      </c>
      <c r="L8" s="63">
        <v>645</v>
      </c>
      <c r="M8" s="161">
        <f t="shared" si="2"/>
        <v>15</v>
      </c>
    </row>
    <row r="9" spans="1:13" x14ac:dyDescent="0.2">
      <c r="A9" s="72" t="s">
        <v>155</v>
      </c>
      <c r="B9" s="36" t="s">
        <v>9</v>
      </c>
      <c r="C9" s="56" t="s">
        <v>128</v>
      </c>
      <c r="D9" s="56">
        <v>9764</v>
      </c>
      <c r="E9" s="91">
        <v>1080</v>
      </c>
      <c r="F9" s="137">
        <v>1035</v>
      </c>
      <c r="G9" s="64">
        <f>F9 - 1030</f>
        <v>5</v>
      </c>
      <c r="H9" s="63">
        <v>1025</v>
      </c>
      <c r="I9" s="64">
        <f t="shared" si="0"/>
        <v>-10</v>
      </c>
      <c r="J9" s="63">
        <v>1035</v>
      </c>
      <c r="K9" s="161">
        <f t="shared" si="1"/>
        <v>10</v>
      </c>
      <c r="L9" s="63">
        <v>510</v>
      </c>
      <c r="M9" s="161">
        <f t="shared" si="2"/>
        <v>-525</v>
      </c>
    </row>
    <row r="10" spans="1:13" x14ac:dyDescent="0.2">
      <c r="A10" s="72" t="s">
        <v>75</v>
      </c>
      <c r="B10" s="36" t="s">
        <v>5</v>
      </c>
      <c r="C10" s="56" t="s">
        <v>128</v>
      </c>
      <c r="D10" s="56">
        <v>9522</v>
      </c>
      <c r="E10" s="91">
        <v>1425.62</v>
      </c>
      <c r="F10" s="137">
        <v>0</v>
      </c>
      <c r="G10" s="64">
        <f>F10 - 0</f>
        <v>0</v>
      </c>
      <c r="H10" s="63">
        <v>0</v>
      </c>
      <c r="I10" s="64">
        <f t="shared" si="0"/>
        <v>0</v>
      </c>
      <c r="J10" s="63">
        <v>0</v>
      </c>
      <c r="K10" s="161">
        <f t="shared" si="1"/>
        <v>0</v>
      </c>
      <c r="L10" s="63">
        <v>0</v>
      </c>
      <c r="M10" s="161">
        <f t="shared" si="2"/>
        <v>0</v>
      </c>
    </row>
    <row r="11" spans="1:13" x14ac:dyDescent="0.2">
      <c r="A11" s="72" t="s">
        <v>75</v>
      </c>
      <c r="B11" s="36" t="s">
        <v>3</v>
      </c>
      <c r="C11" s="56" t="s">
        <v>128</v>
      </c>
      <c r="D11" s="56">
        <v>9859</v>
      </c>
      <c r="E11" s="91">
        <v>3339.9</v>
      </c>
      <c r="F11" s="137">
        <v>3120</v>
      </c>
      <c r="G11" s="64">
        <f>F11 - 2830</f>
        <v>290</v>
      </c>
      <c r="H11" s="63">
        <v>2970</v>
      </c>
      <c r="I11" s="64">
        <f t="shared" si="0"/>
        <v>-150</v>
      </c>
      <c r="J11" s="63">
        <v>3025</v>
      </c>
      <c r="K11" s="161">
        <f t="shared" si="1"/>
        <v>55</v>
      </c>
      <c r="L11" s="63">
        <v>2995</v>
      </c>
      <c r="M11" s="161">
        <f t="shared" si="2"/>
        <v>-30</v>
      </c>
    </row>
    <row r="12" spans="1:13" x14ac:dyDescent="0.2">
      <c r="A12" s="72" t="s">
        <v>77</v>
      </c>
      <c r="B12" s="36" t="s">
        <v>10</v>
      </c>
      <c r="C12" s="56" t="s">
        <v>128</v>
      </c>
      <c r="D12" s="56">
        <v>10359</v>
      </c>
      <c r="E12" s="91">
        <v>1881.27</v>
      </c>
      <c r="F12" s="137">
        <v>1405</v>
      </c>
      <c r="G12" s="64">
        <f>F12 - 1315</f>
        <v>90</v>
      </c>
      <c r="H12" s="63">
        <v>1525</v>
      </c>
      <c r="I12" s="64">
        <f t="shared" si="0"/>
        <v>120</v>
      </c>
      <c r="J12" s="63">
        <v>1600</v>
      </c>
      <c r="K12" s="161">
        <f t="shared" si="1"/>
        <v>75</v>
      </c>
      <c r="L12" s="63">
        <v>1535</v>
      </c>
      <c r="M12" s="161">
        <f t="shared" si="2"/>
        <v>-65</v>
      </c>
    </row>
    <row r="13" spans="1:13" x14ac:dyDescent="0.2">
      <c r="A13" s="72" t="s">
        <v>74</v>
      </c>
      <c r="B13" s="36" t="s">
        <v>2</v>
      </c>
      <c r="C13" s="56" t="s">
        <v>128</v>
      </c>
      <c r="D13" s="56">
        <v>9792</v>
      </c>
      <c r="E13" s="91">
        <v>2600</v>
      </c>
      <c r="F13" s="137">
        <v>2385</v>
      </c>
      <c r="G13" s="64">
        <f>F13 - 2495</f>
        <v>-110</v>
      </c>
      <c r="H13" s="63">
        <v>2585</v>
      </c>
      <c r="I13" s="64">
        <f t="shared" si="0"/>
        <v>200</v>
      </c>
      <c r="J13" s="63">
        <v>2605</v>
      </c>
      <c r="K13" s="161">
        <f t="shared" si="1"/>
        <v>20</v>
      </c>
      <c r="L13" s="63">
        <v>2525</v>
      </c>
      <c r="M13" s="161">
        <f t="shared" si="2"/>
        <v>-80</v>
      </c>
    </row>
    <row r="14" spans="1:13" s="189" customFormat="1" x14ac:dyDescent="0.2">
      <c r="A14" s="185" t="s">
        <v>76</v>
      </c>
      <c r="B14" s="186" t="s">
        <v>4</v>
      </c>
      <c r="C14" s="187" t="s">
        <v>128</v>
      </c>
      <c r="D14" s="187">
        <v>9301</v>
      </c>
      <c r="E14" s="188">
        <v>2451.8000000000002</v>
      </c>
      <c r="F14" s="137">
        <v>995</v>
      </c>
      <c r="G14" s="161">
        <f>F14 - 1105</f>
        <v>-110</v>
      </c>
      <c r="H14" s="63">
        <v>1320</v>
      </c>
      <c r="I14" s="161">
        <f t="shared" si="0"/>
        <v>325</v>
      </c>
      <c r="J14" s="63">
        <v>1355</v>
      </c>
      <c r="K14" s="161">
        <f t="shared" si="1"/>
        <v>35</v>
      </c>
      <c r="L14" s="63">
        <v>1500</v>
      </c>
      <c r="M14" s="161">
        <f t="shared" si="2"/>
        <v>145</v>
      </c>
    </row>
    <row r="15" spans="1:13" x14ac:dyDescent="0.2">
      <c r="A15" s="72" t="s">
        <v>78</v>
      </c>
      <c r="B15" s="36" t="s">
        <v>7</v>
      </c>
      <c r="C15" s="56" t="s">
        <v>128</v>
      </c>
      <c r="D15" s="56">
        <v>9346</v>
      </c>
      <c r="E15" s="91">
        <v>1542</v>
      </c>
      <c r="F15" s="137">
        <v>880</v>
      </c>
      <c r="G15" s="64">
        <f>F15 - 960</f>
        <v>-80</v>
      </c>
      <c r="H15" s="63">
        <v>1010</v>
      </c>
      <c r="I15" s="64">
        <f t="shared" si="0"/>
        <v>130</v>
      </c>
      <c r="J15" s="63">
        <v>1125</v>
      </c>
      <c r="K15" s="161">
        <f t="shared" si="1"/>
        <v>115</v>
      </c>
      <c r="L15" s="63">
        <v>1145</v>
      </c>
      <c r="M15" s="161">
        <f t="shared" si="2"/>
        <v>20</v>
      </c>
    </row>
    <row r="16" spans="1:13" x14ac:dyDescent="0.2">
      <c r="A16" s="72" t="s">
        <v>79</v>
      </c>
      <c r="B16" s="36" t="s">
        <v>11</v>
      </c>
      <c r="C16" s="56" t="s">
        <v>128</v>
      </c>
      <c r="D16" s="56">
        <v>10275</v>
      </c>
      <c r="E16" s="91">
        <v>1717.2</v>
      </c>
      <c r="F16" s="137">
        <v>1405</v>
      </c>
      <c r="G16" s="64">
        <f>F16 - 1545</f>
        <v>-140</v>
      </c>
      <c r="H16" s="63">
        <v>1360</v>
      </c>
      <c r="I16" s="64">
        <f t="shared" si="0"/>
        <v>-45</v>
      </c>
      <c r="J16" s="63">
        <v>1315</v>
      </c>
      <c r="K16" s="161">
        <f t="shared" si="1"/>
        <v>-45</v>
      </c>
      <c r="L16" s="63">
        <v>1435</v>
      </c>
      <c r="M16" s="161">
        <f t="shared" si="2"/>
        <v>120</v>
      </c>
    </row>
    <row r="17" spans="1:13" x14ac:dyDescent="0.2">
      <c r="A17" s="72" t="s">
        <v>80</v>
      </c>
      <c r="B17" s="36" t="s">
        <v>15</v>
      </c>
      <c r="C17" s="56" t="s">
        <v>143</v>
      </c>
      <c r="D17" s="56">
        <v>10159</v>
      </c>
      <c r="E17" s="91">
        <v>815.4</v>
      </c>
      <c r="F17" s="137">
        <v>0</v>
      </c>
      <c r="G17" s="64">
        <f>F17 - 0</f>
        <v>0</v>
      </c>
      <c r="H17" s="63">
        <v>270</v>
      </c>
      <c r="I17" s="64">
        <f t="shared" si="0"/>
        <v>270</v>
      </c>
      <c r="J17" s="63">
        <v>0</v>
      </c>
      <c r="K17" s="161">
        <f t="shared" si="1"/>
        <v>-270</v>
      </c>
      <c r="L17" s="63">
        <v>0</v>
      </c>
      <c r="M17" s="161">
        <f t="shared" si="2"/>
        <v>0</v>
      </c>
    </row>
    <row r="18" spans="1:13" x14ac:dyDescent="0.2">
      <c r="A18" s="72" t="s">
        <v>78</v>
      </c>
      <c r="B18" s="36" t="s">
        <v>146</v>
      </c>
      <c r="C18" s="56" t="s">
        <v>143</v>
      </c>
      <c r="D18" s="56">
        <v>11423</v>
      </c>
      <c r="E18" s="91">
        <v>1276</v>
      </c>
      <c r="F18" s="137">
        <v>305</v>
      </c>
      <c r="G18" s="64">
        <f>F18 - 460</f>
        <v>-155</v>
      </c>
      <c r="H18" s="63">
        <v>395</v>
      </c>
      <c r="I18" s="64">
        <f t="shared" si="0"/>
        <v>90</v>
      </c>
      <c r="J18" s="63">
        <v>585</v>
      </c>
      <c r="K18" s="161">
        <f t="shared" si="1"/>
        <v>190</v>
      </c>
      <c r="L18" s="63">
        <v>435</v>
      </c>
      <c r="M18" s="161">
        <f t="shared" si="2"/>
        <v>-150</v>
      </c>
    </row>
    <row r="19" spans="1:13" x14ac:dyDescent="0.2">
      <c r="A19" s="72" t="s">
        <v>156</v>
      </c>
      <c r="B19" s="36" t="s">
        <v>16</v>
      </c>
      <c r="C19" s="56" t="s">
        <v>128</v>
      </c>
      <c r="D19" s="56">
        <v>9194</v>
      </c>
      <c r="E19" s="91">
        <v>3294</v>
      </c>
      <c r="F19" s="137">
        <v>1635</v>
      </c>
      <c r="G19" s="64">
        <f>F19 - 1560</f>
        <v>75</v>
      </c>
      <c r="H19" s="63">
        <v>1440</v>
      </c>
      <c r="I19" s="64">
        <f t="shared" si="0"/>
        <v>-195</v>
      </c>
      <c r="J19" s="63">
        <v>1830</v>
      </c>
      <c r="K19" s="161">
        <f t="shared" si="1"/>
        <v>390</v>
      </c>
      <c r="L19" s="63">
        <v>1835</v>
      </c>
      <c r="M19" s="161">
        <f t="shared" si="2"/>
        <v>5</v>
      </c>
    </row>
    <row r="20" spans="1:13" x14ac:dyDescent="0.2">
      <c r="A20" s="72" t="s">
        <v>74</v>
      </c>
      <c r="B20" s="36" t="s">
        <v>17</v>
      </c>
      <c r="C20" s="56" t="s">
        <v>128</v>
      </c>
      <c r="D20" s="56">
        <v>9290</v>
      </c>
      <c r="E20" s="91">
        <v>1300</v>
      </c>
      <c r="F20" s="137">
        <v>0</v>
      </c>
      <c r="G20" s="64">
        <f>F20 - 395</f>
        <v>-395</v>
      </c>
      <c r="H20" s="63">
        <v>0</v>
      </c>
      <c r="I20" s="64">
        <f t="shared" si="0"/>
        <v>0</v>
      </c>
      <c r="J20" s="63">
        <v>485</v>
      </c>
      <c r="K20" s="161">
        <f t="shared" si="1"/>
        <v>485</v>
      </c>
      <c r="L20" s="63">
        <v>610</v>
      </c>
      <c r="M20" s="161">
        <f t="shared" si="2"/>
        <v>125</v>
      </c>
    </row>
    <row r="21" spans="1:13" x14ac:dyDescent="0.2">
      <c r="A21" s="72" t="s">
        <v>74</v>
      </c>
      <c r="B21" s="36" t="s">
        <v>18</v>
      </c>
      <c r="C21" s="56" t="s">
        <v>128</v>
      </c>
      <c r="D21" s="56">
        <v>9265</v>
      </c>
      <c r="E21" s="91">
        <v>1529.61</v>
      </c>
      <c r="F21" s="137">
        <v>805</v>
      </c>
      <c r="G21" s="64">
        <f>F21 - 780</f>
        <v>25</v>
      </c>
      <c r="H21" s="63">
        <v>905</v>
      </c>
      <c r="I21" s="64">
        <f t="shared" si="0"/>
        <v>100</v>
      </c>
      <c r="J21" s="63">
        <v>965</v>
      </c>
      <c r="K21" s="161">
        <f t="shared" si="1"/>
        <v>60</v>
      </c>
      <c r="L21" s="63">
        <v>830</v>
      </c>
      <c r="M21" s="161">
        <f t="shared" si="2"/>
        <v>-135</v>
      </c>
    </row>
    <row r="22" spans="1:13" x14ac:dyDescent="0.2">
      <c r="A22" s="72" t="s">
        <v>77</v>
      </c>
      <c r="B22" s="36" t="s">
        <v>107</v>
      </c>
      <c r="C22" s="68" t="s">
        <v>144</v>
      </c>
      <c r="D22" s="56">
        <v>11006</v>
      </c>
      <c r="E22" s="91">
        <v>1058</v>
      </c>
      <c r="F22" s="137">
        <v>530</v>
      </c>
      <c r="G22" s="64">
        <f>F22 - 545</f>
        <v>-15</v>
      </c>
      <c r="H22" s="137">
        <v>570</v>
      </c>
      <c r="I22" s="64">
        <f t="shared" si="0"/>
        <v>40</v>
      </c>
      <c r="J22" s="63">
        <v>560</v>
      </c>
      <c r="K22" s="161">
        <f t="shared" si="1"/>
        <v>-10</v>
      </c>
      <c r="L22" s="63">
        <v>555</v>
      </c>
      <c r="M22" s="161">
        <f t="shared" si="2"/>
        <v>-5</v>
      </c>
    </row>
    <row r="23" spans="1:13" x14ac:dyDescent="0.2">
      <c r="A23" s="72" t="s">
        <v>81</v>
      </c>
      <c r="B23" s="36" t="s">
        <v>19</v>
      </c>
      <c r="C23" s="56" t="s">
        <v>142</v>
      </c>
      <c r="D23" s="56">
        <v>9648</v>
      </c>
      <c r="E23" s="91">
        <v>884</v>
      </c>
      <c r="F23" s="137">
        <v>455</v>
      </c>
      <c r="G23" s="64">
        <f>F23 - 425</f>
        <v>30</v>
      </c>
      <c r="H23" s="137">
        <v>550</v>
      </c>
      <c r="I23" s="64">
        <f t="shared" si="0"/>
        <v>95</v>
      </c>
      <c r="J23" s="63">
        <v>750</v>
      </c>
      <c r="K23" s="161">
        <f t="shared" si="1"/>
        <v>200</v>
      </c>
      <c r="L23" s="63">
        <v>770</v>
      </c>
      <c r="M23" s="161">
        <f t="shared" si="2"/>
        <v>20</v>
      </c>
    </row>
    <row r="24" spans="1:13" x14ac:dyDescent="0.2">
      <c r="A24" s="72" t="s">
        <v>79</v>
      </c>
      <c r="B24" s="36" t="s">
        <v>20</v>
      </c>
      <c r="C24" s="56" t="s">
        <v>128</v>
      </c>
      <c r="D24" s="56">
        <v>10029</v>
      </c>
      <c r="E24" s="91">
        <v>2226.06</v>
      </c>
      <c r="F24" s="137">
        <v>1990</v>
      </c>
      <c r="G24" s="64">
        <f>F24 - 2005</f>
        <v>-15</v>
      </c>
      <c r="H24" s="137">
        <v>1990</v>
      </c>
      <c r="I24" s="64">
        <f t="shared" si="0"/>
        <v>0</v>
      </c>
      <c r="J24" s="63">
        <v>1865</v>
      </c>
      <c r="K24" s="161">
        <f t="shared" si="1"/>
        <v>-125</v>
      </c>
      <c r="L24" s="63">
        <v>1900</v>
      </c>
      <c r="M24" s="161">
        <f t="shared" si="2"/>
        <v>35</v>
      </c>
    </row>
    <row r="25" spans="1:13" x14ac:dyDescent="0.2">
      <c r="A25" s="72" t="s">
        <v>74</v>
      </c>
      <c r="B25" s="36" t="s">
        <v>101</v>
      </c>
      <c r="C25" s="56" t="s">
        <v>128</v>
      </c>
      <c r="D25" s="56">
        <v>9927</v>
      </c>
      <c r="E25" s="91">
        <v>1880</v>
      </c>
      <c r="F25" s="137">
        <v>915</v>
      </c>
      <c r="G25" s="64">
        <f>F25 - 1795</f>
        <v>-880</v>
      </c>
      <c r="H25" s="137">
        <v>915</v>
      </c>
      <c r="I25" s="64">
        <f t="shared" si="0"/>
        <v>0</v>
      </c>
      <c r="J25" s="63">
        <v>975</v>
      </c>
      <c r="K25" s="161">
        <f t="shared" si="1"/>
        <v>60</v>
      </c>
      <c r="L25" s="63">
        <v>1035</v>
      </c>
      <c r="M25" s="161">
        <f t="shared" si="2"/>
        <v>60</v>
      </c>
    </row>
    <row r="26" spans="1:13" x14ac:dyDescent="0.2">
      <c r="A26" s="72" t="s">
        <v>74</v>
      </c>
      <c r="B26" s="36" t="s">
        <v>21</v>
      </c>
      <c r="C26" s="56" t="s">
        <v>128</v>
      </c>
      <c r="D26" s="56">
        <v>9160</v>
      </c>
      <c r="E26" s="91">
        <v>1880.46</v>
      </c>
      <c r="F26" s="137">
        <v>1670</v>
      </c>
      <c r="G26" s="64">
        <f>F26 - 1385</f>
        <v>285</v>
      </c>
      <c r="H26" s="137">
        <v>1505</v>
      </c>
      <c r="I26" s="64">
        <f t="shared" si="0"/>
        <v>-165</v>
      </c>
      <c r="J26" s="63">
        <v>1405</v>
      </c>
      <c r="K26" s="161">
        <f t="shared" si="1"/>
        <v>-100</v>
      </c>
      <c r="L26" s="63">
        <v>1285</v>
      </c>
      <c r="M26" s="161">
        <f t="shared" si="2"/>
        <v>-120</v>
      </c>
    </row>
    <row r="27" spans="1:13" x14ac:dyDescent="0.2">
      <c r="A27" s="72" t="s">
        <v>82</v>
      </c>
      <c r="B27" s="36" t="s">
        <v>147</v>
      </c>
      <c r="C27" s="56" t="s">
        <v>128</v>
      </c>
      <c r="D27" s="56">
        <v>9022</v>
      </c>
      <c r="E27" s="91">
        <v>1152</v>
      </c>
      <c r="F27" s="137">
        <v>625</v>
      </c>
      <c r="G27" s="64">
        <f>F27 - 525</f>
        <v>100</v>
      </c>
      <c r="H27" s="137">
        <v>535</v>
      </c>
      <c r="I27" s="64">
        <f t="shared" si="0"/>
        <v>-90</v>
      </c>
      <c r="J27" s="63">
        <v>430</v>
      </c>
      <c r="K27" s="161">
        <f t="shared" si="1"/>
        <v>-105</v>
      </c>
      <c r="L27" s="63">
        <v>430</v>
      </c>
      <c r="M27" s="161">
        <f t="shared" si="2"/>
        <v>0</v>
      </c>
    </row>
    <row r="28" spans="1:13" x14ac:dyDescent="0.2">
      <c r="A28" s="72" t="s">
        <v>82</v>
      </c>
      <c r="B28" s="36" t="s">
        <v>22</v>
      </c>
      <c r="C28" s="56" t="s">
        <v>128</v>
      </c>
      <c r="D28" s="56">
        <v>9468</v>
      </c>
      <c r="E28" s="91">
        <v>2052</v>
      </c>
      <c r="F28" s="137">
        <v>1535</v>
      </c>
      <c r="G28" s="64">
        <f>F28 - 760</f>
        <v>775</v>
      </c>
      <c r="H28" s="137">
        <v>1435</v>
      </c>
      <c r="I28" s="64">
        <f t="shared" si="0"/>
        <v>-100</v>
      </c>
      <c r="J28" s="63">
        <v>1615</v>
      </c>
      <c r="K28" s="161">
        <f t="shared" si="1"/>
        <v>180</v>
      </c>
      <c r="L28" s="63">
        <v>1605</v>
      </c>
      <c r="M28" s="161">
        <f t="shared" si="2"/>
        <v>-10</v>
      </c>
    </row>
    <row r="29" spans="1:13" x14ac:dyDescent="0.2">
      <c r="A29" s="72" t="s">
        <v>82</v>
      </c>
      <c r="B29" s="36" t="s">
        <v>23</v>
      </c>
      <c r="C29" s="56" t="s">
        <v>128</v>
      </c>
      <c r="D29" s="56">
        <v>9315</v>
      </c>
      <c r="E29" s="91">
        <v>1728</v>
      </c>
      <c r="F29" s="137">
        <v>210</v>
      </c>
      <c r="G29" s="64">
        <f>F29 - 960</f>
        <v>-750</v>
      </c>
      <c r="H29" s="137">
        <v>260</v>
      </c>
      <c r="I29" s="64">
        <f t="shared" si="0"/>
        <v>50</v>
      </c>
      <c r="J29" s="63">
        <v>585</v>
      </c>
      <c r="K29" s="161">
        <f t="shared" si="1"/>
        <v>325</v>
      </c>
      <c r="L29" s="63">
        <v>610</v>
      </c>
      <c r="M29" s="161">
        <f t="shared" si="2"/>
        <v>25</v>
      </c>
    </row>
    <row r="30" spans="1:13" x14ac:dyDescent="0.2">
      <c r="A30" s="72" t="s">
        <v>81</v>
      </c>
      <c r="B30" s="36" t="s">
        <v>24</v>
      </c>
      <c r="C30" s="56" t="s">
        <v>128</v>
      </c>
      <c r="D30" s="56">
        <v>9672</v>
      </c>
      <c r="E30" s="91">
        <v>2741.25</v>
      </c>
      <c r="F30" s="137">
        <v>1700</v>
      </c>
      <c r="G30" s="64">
        <f>F30 - 1760</f>
        <v>-60</v>
      </c>
      <c r="H30" s="137">
        <v>1745</v>
      </c>
      <c r="I30" s="64">
        <f t="shared" si="0"/>
        <v>45</v>
      </c>
      <c r="J30" s="63">
        <v>1760</v>
      </c>
      <c r="K30" s="161">
        <f t="shared" si="1"/>
        <v>15</v>
      </c>
      <c r="L30" s="63">
        <v>1710</v>
      </c>
      <c r="M30" s="161">
        <f t="shared" si="2"/>
        <v>-50</v>
      </c>
    </row>
    <row r="31" spans="1:13" x14ac:dyDescent="0.2">
      <c r="A31" s="72" t="s">
        <v>82</v>
      </c>
      <c r="B31" s="36" t="s">
        <v>25</v>
      </c>
      <c r="C31" s="56" t="s">
        <v>128</v>
      </c>
      <c r="D31" s="56">
        <v>9772</v>
      </c>
      <c r="E31" s="91">
        <v>1368</v>
      </c>
      <c r="F31" s="137">
        <v>1390</v>
      </c>
      <c r="G31" s="64">
        <f>F31 - 975</f>
        <v>415</v>
      </c>
      <c r="H31" s="137">
        <v>1175</v>
      </c>
      <c r="I31" s="64">
        <f t="shared" si="0"/>
        <v>-215</v>
      </c>
      <c r="J31" s="63">
        <v>655</v>
      </c>
      <c r="K31" s="161">
        <f t="shared" si="1"/>
        <v>-520</v>
      </c>
      <c r="L31" s="63">
        <v>630</v>
      </c>
      <c r="M31" s="161">
        <f t="shared" si="2"/>
        <v>-25</v>
      </c>
    </row>
    <row r="32" spans="1:13" ht="12.75" thickBot="1" x14ac:dyDescent="0.25">
      <c r="A32" s="72" t="s">
        <v>81</v>
      </c>
      <c r="B32" s="36" t="s">
        <v>26</v>
      </c>
      <c r="C32" s="56" t="s">
        <v>128</v>
      </c>
      <c r="D32" s="56">
        <v>9561</v>
      </c>
      <c r="E32" s="91">
        <v>2468.15</v>
      </c>
      <c r="F32" s="137">
        <v>0</v>
      </c>
      <c r="G32" s="64">
        <f>F32 - 0</f>
        <v>0</v>
      </c>
      <c r="H32" s="137">
        <v>0</v>
      </c>
      <c r="I32" s="64">
        <f t="shared" si="0"/>
        <v>0</v>
      </c>
      <c r="J32" s="65">
        <v>0</v>
      </c>
      <c r="K32" s="161">
        <f t="shared" si="1"/>
        <v>0</v>
      </c>
      <c r="L32" s="63">
        <v>0</v>
      </c>
      <c r="M32" s="161">
        <f t="shared" si="2"/>
        <v>0</v>
      </c>
    </row>
    <row r="33" spans="1:13" ht="12.75" thickBot="1" x14ac:dyDescent="0.25">
      <c r="A33" s="37" t="s">
        <v>74</v>
      </c>
      <c r="B33" s="25" t="s">
        <v>104</v>
      </c>
      <c r="C33" s="76" t="s">
        <v>128</v>
      </c>
      <c r="D33" s="193">
        <v>9267</v>
      </c>
      <c r="E33" s="180">
        <v>1633</v>
      </c>
      <c r="F33" s="183">
        <v>535</v>
      </c>
      <c r="G33" s="66">
        <f>F33 - 1425</f>
        <v>-890</v>
      </c>
      <c r="H33" s="183">
        <v>650</v>
      </c>
      <c r="I33" s="66">
        <f t="shared" si="0"/>
        <v>115</v>
      </c>
      <c r="J33" s="65">
        <v>1295</v>
      </c>
      <c r="K33" s="162">
        <f t="shared" si="1"/>
        <v>645</v>
      </c>
      <c r="L33" s="65">
        <v>1633</v>
      </c>
      <c r="M33" s="162">
        <f t="shared" si="2"/>
        <v>338</v>
      </c>
    </row>
    <row r="34" spans="1:13" x14ac:dyDescent="0.2">
      <c r="A34" s="1"/>
      <c r="B34" s="2"/>
      <c r="C34" s="2"/>
      <c r="D34" s="69"/>
      <c r="E34" s="59">
        <f>SUM(E5:E33)</f>
        <v>52736.35</v>
      </c>
      <c r="F34" s="67">
        <f>SUM(F5:F33)</f>
        <v>29820</v>
      </c>
      <c r="G34" s="67">
        <f>SUM(G5:G33)</f>
        <v>-2220</v>
      </c>
      <c r="H34" s="67">
        <f t="shared" ref="H34:K34" si="3">SUM(H5:H33)</f>
        <v>30695</v>
      </c>
      <c r="I34" s="67">
        <f t="shared" si="3"/>
        <v>875</v>
      </c>
      <c r="J34" s="67">
        <f t="shared" si="3"/>
        <v>32495</v>
      </c>
      <c r="K34" s="67">
        <f t="shared" si="3"/>
        <v>1800</v>
      </c>
      <c r="L34" s="67">
        <f>SUM(L5:L33)</f>
        <v>31643</v>
      </c>
      <c r="M34" s="67">
        <f>SUM(M5:M33)</f>
        <v>-852</v>
      </c>
    </row>
    <row r="35" spans="1:13" x14ac:dyDescent="0.2">
      <c r="A35" s="1"/>
      <c r="B35" s="1"/>
      <c r="C35" s="1"/>
      <c r="D35" s="1"/>
      <c r="F35" s="5"/>
      <c r="G35" s="5"/>
    </row>
    <row r="36" spans="1:13" x14ac:dyDescent="0.2">
      <c r="B36" s="2"/>
      <c r="C36" s="2"/>
      <c r="D36" s="2"/>
      <c r="E36" s="3"/>
      <c r="F36" s="5"/>
      <c r="G36" s="5"/>
    </row>
    <row r="37" spans="1:13" x14ac:dyDescent="0.2">
      <c r="B37" s="2"/>
      <c r="C37" s="2"/>
      <c r="D37" s="2"/>
      <c r="E37" s="3"/>
      <c r="F37" s="5"/>
      <c r="G37" s="5"/>
    </row>
    <row r="38" spans="1:13" x14ac:dyDescent="0.2">
      <c r="B38" s="2"/>
      <c r="C38" s="2"/>
      <c r="D38" s="2"/>
      <c r="E38" s="3"/>
      <c r="F38" s="5"/>
      <c r="G38" s="5"/>
      <c r="J38" s="61"/>
    </row>
    <row r="39" spans="1:13" x14ac:dyDescent="0.2">
      <c r="B39" s="2"/>
      <c r="C39" s="2"/>
      <c r="D39" s="2"/>
      <c r="E39" s="3"/>
      <c r="F39" s="5"/>
      <c r="G39" s="5"/>
    </row>
    <row r="40" spans="1:13" x14ac:dyDescent="0.2">
      <c r="B40" s="2"/>
      <c r="C40" s="2"/>
      <c r="D40" s="2"/>
      <c r="E40" s="3"/>
      <c r="F40" s="5"/>
      <c r="G40" s="5"/>
    </row>
    <row r="41" spans="1:13" x14ac:dyDescent="0.2">
      <c r="B41" s="2"/>
      <c r="C41" s="2"/>
      <c r="D41" s="2"/>
      <c r="E41" s="3"/>
      <c r="F41" s="5"/>
      <c r="G41" s="5"/>
    </row>
    <row r="42" spans="1:13" x14ac:dyDescent="0.2">
      <c r="B42" s="2"/>
      <c r="C42" s="2"/>
      <c r="D42" s="2"/>
      <c r="E42" s="3"/>
      <c r="F42" s="5"/>
      <c r="G42" s="5"/>
    </row>
    <row r="43" spans="1:13" x14ac:dyDescent="0.2">
      <c r="B43" s="2"/>
      <c r="C43" s="2"/>
      <c r="D43" s="2"/>
      <c r="E43" s="3"/>
      <c r="F43" s="5"/>
      <c r="G43" s="5"/>
      <c r="J43" s="61"/>
    </row>
    <row r="46" spans="1:13" x14ac:dyDescent="0.2">
      <c r="J46" s="61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"/>
  <dimension ref="A1:M28"/>
  <sheetViews>
    <sheetView workbookViewId="0"/>
  </sheetViews>
  <sheetFormatPr defaultRowHeight="12" x14ac:dyDescent="0.2"/>
  <cols>
    <col min="2" max="2" width="17.5703125" customWidth="1"/>
    <col min="3" max="3" width="9.7109375" customWidth="1"/>
    <col min="4" max="4" width="8.7109375" customWidth="1"/>
    <col min="5" max="5" width="7.140625" customWidth="1"/>
    <col min="6" max="6" width="12.7109375" customWidth="1"/>
    <col min="7" max="7" width="6.7109375" customWidth="1"/>
    <col min="8" max="8" width="12.7109375" customWidth="1"/>
    <col min="9" max="9" width="6.7109375" customWidth="1"/>
    <col min="10" max="10" width="12.7109375" customWidth="1"/>
    <col min="11" max="11" width="6.7109375" customWidth="1"/>
    <col min="12" max="12" width="12.7109375" customWidth="1"/>
    <col min="13" max="13" width="6.7109375" customWidth="1"/>
  </cols>
  <sheetData>
    <row r="1" spans="1:13" ht="15.75" x14ac:dyDescent="0.25">
      <c r="A1" s="53" t="s">
        <v>48</v>
      </c>
      <c r="B1" s="80">
        <f>ECAR!$B$1</f>
        <v>36831</v>
      </c>
      <c r="C1" s="81"/>
      <c r="D1" s="81"/>
      <c r="E1" s="82"/>
      <c r="F1" s="83"/>
      <c r="G1" s="81"/>
      <c r="H1" s="82"/>
      <c r="I1" s="82"/>
      <c r="J1" s="82"/>
      <c r="K1" s="82"/>
      <c r="L1" s="82"/>
      <c r="M1" s="83"/>
    </row>
    <row r="2" spans="1:13" ht="15.75" x14ac:dyDescent="0.25">
      <c r="A2" s="83"/>
      <c r="B2" s="81"/>
      <c r="C2" s="81"/>
      <c r="D2" s="81"/>
      <c r="E2" s="81"/>
      <c r="F2" s="84"/>
      <c r="G2" s="82"/>
      <c r="H2" s="82"/>
      <c r="I2" s="82"/>
      <c r="J2" s="82"/>
      <c r="K2" s="82"/>
      <c r="L2" s="82"/>
      <c r="M2" s="83"/>
    </row>
    <row r="3" spans="1:13" ht="15.75" x14ac:dyDescent="0.25">
      <c r="A3" s="46"/>
      <c r="B3" s="85"/>
      <c r="C3" s="77" t="s">
        <v>125</v>
      </c>
      <c r="D3" s="77" t="s">
        <v>140</v>
      </c>
      <c r="E3" s="90" t="s">
        <v>58</v>
      </c>
      <c r="F3" s="79" t="s">
        <v>63</v>
      </c>
      <c r="G3" s="86" t="s">
        <v>68</v>
      </c>
      <c r="H3" s="79" t="s">
        <v>63</v>
      </c>
      <c r="I3" s="86" t="s">
        <v>68</v>
      </c>
      <c r="J3" s="79" t="s">
        <v>63</v>
      </c>
      <c r="K3" s="86" t="s">
        <v>68</v>
      </c>
      <c r="L3" s="79" t="s">
        <v>63</v>
      </c>
      <c r="M3" s="86" t="s">
        <v>68</v>
      </c>
    </row>
    <row r="4" spans="1:13" ht="12.75" thickBot="1" x14ac:dyDescent="0.25">
      <c r="A4" s="87" t="s">
        <v>73</v>
      </c>
      <c r="B4" s="75" t="s">
        <v>27</v>
      </c>
      <c r="C4" s="78" t="s">
        <v>126</v>
      </c>
      <c r="D4" s="78" t="s">
        <v>127</v>
      </c>
      <c r="E4" s="73" t="s">
        <v>59</v>
      </c>
      <c r="F4" s="75" t="s">
        <v>65</v>
      </c>
      <c r="G4" s="74"/>
      <c r="H4" s="75" t="s">
        <v>66</v>
      </c>
      <c r="I4" s="74"/>
      <c r="J4" s="75" t="s">
        <v>64</v>
      </c>
      <c r="K4" s="71"/>
      <c r="L4" s="70" t="s">
        <v>67</v>
      </c>
      <c r="M4" s="88"/>
    </row>
    <row r="5" spans="1:13" x14ac:dyDescent="0.2">
      <c r="A5" s="72" t="s">
        <v>83</v>
      </c>
      <c r="B5" s="36" t="s">
        <v>32</v>
      </c>
      <c r="C5" s="92" t="s">
        <v>128</v>
      </c>
      <c r="D5" s="57">
        <v>9817</v>
      </c>
      <c r="E5" s="58">
        <v>1892.05</v>
      </c>
      <c r="F5" s="137">
        <v>1605</v>
      </c>
      <c r="G5" s="171">
        <f>F5 - 1595</f>
        <v>10</v>
      </c>
      <c r="H5" s="137">
        <v>1570</v>
      </c>
      <c r="I5" s="170">
        <f t="shared" ref="I5:I15" si="0">H5 - F5</f>
        <v>-35</v>
      </c>
      <c r="J5" s="63">
        <v>1655</v>
      </c>
      <c r="K5" s="64">
        <f t="shared" ref="K5:K15" si="1">J5 - H5</f>
        <v>85</v>
      </c>
      <c r="L5" s="63">
        <v>1610</v>
      </c>
      <c r="M5" s="64">
        <f t="shared" ref="M5:M15" si="2">L5 - J5</f>
        <v>-45</v>
      </c>
    </row>
    <row r="6" spans="1:13" x14ac:dyDescent="0.2">
      <c r="A6" s="72" t="s">
        <v>84</v>
      </c>
      <c r="B6" s="36" t="s">
        <v>30</v>
      </c>
      <c r="C6" s="92" t="s">
        <v>128</v>
      </c>
      <c r="D6" s="57">
        <v>9875</v>
      </c>
      <c r="E6" s="58">
        <v>1005.46</v>
      </c>
      <c r="F6" s="137">
        <v>1070</v>
      </c>
      <c r="G6" s="170">
        <f>F6 - 1045</f>
        <v>25</v>
      </c>
      <c r="H6" s="137">
        <v>630</v>
      </c>
      <c r="I6" s="170">
        <f t="shared" si="0"/>
        <v>-440</v>
      </c>
      <c r="J6" s="63">
        <v>715</v>
      </c>
      <c r="K6" s="64">
        <f t="shared" si="1"/>
        <v>85</v>
      </c>
      <c r="L6" s="63">
        <v>1005</v>
      </c>
      <c r="M6" s="64">
        <f t="shared" si="2"/>
        <v>290</v>
      </c>
    </row>
    <row r="7" spans="1:13" x14ac:dyDescent="0.2">
      <c r="A7" s="72" t="s">
        <v>163</v>
      </c>
      <c r="B7" s="36" t="s">
        <v>158</v>
      </c>
      <c r="C7" s="92" t="s">
        <v>128</v>
      </c>
      <c r="D7" s="57">
        <v>10344</v>
      </c>
      <c r="E7" s="58">
        <v>1100</v>
      </c>
      <c r="F7" s="137">
        <v>935</v>
      </c>
      <c r="G7" s="170">
        <f>F7 - 1065</f>
        <v>-130</v>
      </c>
      <c r="H7" s="137">
        <v>1010</v>
      </c>
      <c r="I7" s="170">
        <f t="shared" si="0"/>
        <v>75</v>
      </c>
      <c r="J7" s="63">
        <v>1025</v>
      </c>
      <c r="K7" s="64">
        <f t="shared" si="1"/>
        <v>15</v>
      </c>
      <c r="L7" s="63">
        <v>1035</v>
      </c>
      <c r="M7" s="64">
        <f t="shared" si="2"/>
        <v>10</v>
      </c>
    </row>
    <row r="8" spans="1:13" x14ac:dyDescent="0.2">
      <c r="A8" s="72" t="s">
        <v>84</v>
      </c>
      <c r="B8" s="36" t="s">
        <v>13</v>
      </c>
      <c r="C8" s="92" t="s">
        <v>128</v>
      </c>
      <c r="D8" s="57">
        <v>10298</v>
      </c>
      <c r="E8" s="58">
        <v>2389.5</v>
      </c>
      <c r="F8" s="137">
        <v>780</v>
      </c>
      <c r="G8" s="170">
        <f>F8 - 1175</f>
        <v>-395</v>
      </c>
      <c r="H8" s="137">
        <v>1215</v>
      </c>
      <c r="I8" s="170">
        <f t="shared" si="0"/>
        <v>435</v>
      </c>
      <c r="J8" s="63">
        <v>1255</v>
      </c>
      <c r="K8" s="64">
        <f t="shared" si="1"/>
        <v>40</v>
      </c>
      <c r="L8" s="63">
        <v>1255</v>
      </c>
      <c r="M8" s="64">
        <f t="shared" si="2"/>
        <v>0</v>
      </c>
    </row>
    <row r="9" spans="1:13" x14ac:dyDescent="0.2">
      <c r="A9" s="93" t="s">
        <v>84</v>
      </c>
      <c r="B9" s="36" t="s">
        <v>14</v>
      </c>
      <c r="C9" s="92" t="s">
        <v>128</v>
      </c>
      <c r="D9" s="57">
        <v>10192</v>
      </c>
      <c r="E9" s="58">
        <v>1242</v>
      </c>
      <c r="F9" s="137">
        <v>1120</v>
      </c>
      <c r="G9" s="170">
        <f>F9 - 1242</f>
        <v>-122</v>
      </c>
      <c r="H9" s="137">
        <v>1242</v>
      </c>
      <c r="I9" s="170">
        <f t="shared" si="0"/>
        <v>122</v>
      </c>
      <c r="J9" s="63">
        <v>1215</v>
      </c>
      <c r="K9" s="64">
        <f t="shared" si="1"/>
        <v>-27</v>
      </c>
      <c r="L9" s="63">
        <v>1242</v>
      </c>
      <c r="M9" s="64">
        <f t="shared" si="2"/>
        <v>27</v>
      </c>
    </row>
    <row r="10" spans="1:13" x14ac:dyDescent="0.2">
      <c r="A10" s="93" t="s">
        <v>85</v>
      </c>
      <c r="B10" s="36" t="s">
        <v>28</v>
      </c>
      <c r="C10" s="92" t="s">
        <v>128</v>
      </c>
      <c r="D10" s="57">
        <v>10257</v>
      </c>
      <c r="E10" s="58">
        <v>1070</v>
      </c>
      <c r="F10" s="137">
        <v>1055</v>
      </c>
      <c r="G10" s="170">
        <f>F10 - 1070</f>
        <v>-15</v>
      </c>
      <c r="H10" s="137">
        <v>1070</v>
      </c>
      <c r="I10" s="170">
        <f t="shared" si="0"/>
        <v>15</v>
      </c>
      <c r="J10" s="63">
        <v>1070</v>
      </c>
      <c r="K10" s="64">
        <f t="shared" si="1"/>
        <v>0</v>
      </c>
      <c r="L10" s="63">
        <v>1070</v>
      </c>
      <c r="M10" s="64">
        <f t="shared" si="2"/>
        <v>0</v>
      </c>
    </row>
    <row r="11" spans="1:13" x14ac:dyDescent="0.2">
      <c r="A11" s="93" t="s">
        <v>84</v>
      </c>
      <c r="B11" s="36" t="s">
        <v>12</v>
      </c>
      <c r="C11" s="92" t="s">
        <v>128</v>
      </c>
      <c r="D11" s="57">
        <v>9474</v>
      </c>
      <c r="E11" s="58">
        <v>1234.8</v>
      </c>
      <c r="F11" s="137">
        <v>530</v>
      </c>
      <c r="G11" s="170">
        <f>F11 - 1235</f>
        <v>-705</v>
      </c>
      <c r="H11" s="137">
        <v>535</v>
      </c>
      <c r="I11" s="170">
        <f t="shared" si="0"/>
        <v>5</v>
      </c>
      <c r="J11" s="63">
        <v>750</v>
      </c>
      <c r="K11" s="64">
        <f t="shared" si="1"/>
        <v>215</v>
      </c>
      <c r="L11" s="63">
        <v>1000</v>
      </c>
      <c r="M11" s="64">
        <f t="shared" si="2"/>
        <v>250</v>
      </c>
    </row>
    <row r="12" spans="1:13" x14ac:dyDescent="0.2">
      <c r="A12" s="93" t="s">
        <v>157</v>
      </c>
      <c r="B12" s="36" t="s">
        <v>31</v>
      </c>
      <c r="C12" s="92" t="s">
        <v>128</v>
      </c>
      <c r="D12" s="57">
        <v>10449</v>
      </c>
      <c r="E12" s="58">
        <v>1319</v>
      </c>
      <c r="F12" s="137">
        <v>540</v>
      </c>
      <c r="G12" s="170">
        <f>F12 - 520</f>
        <v>20</v>
      </c>
      <c r="H12" s="137">
        <v>530</v>
      </c>
      <c r="I12" s="170">
        <f t="shared" si="0"/>
        <v>-10</v>
      </c>
      <c r="J12" s="63">
        <v>505</v>
      </c>
      <c r="K12" s="64">
        <f t="shared" si="1"/>
        <v>-25</v>
      </c>
      <c r="L12" s="63">
        <v>475</v>
      </c>
      <c r="M12" s="64">
        <f t="shared" si="2"/>
        <v>-30</v>
      </c>
    </row>
    <row r="13" spans="1:13" x14ac:dyDescent="0.2">
      <c r="A13" s="93" t="s">
        <v>86</v>
      </c>
      <c r="B13" s="36" t="s">
        <v>33</v>
      </c>
      <c r="C13" s="92" t="s">
        <v>128</v>
      </c>
      <c r="D13" s="57">
        <v>10665</v>
      </c>
      <c r="E13" s="58">
        <v>1785.6</v>
      </c>
      <c r="F13" s="137">
        <v>1270</v>
      </c>
      <c r="G13" s="170">
        <f>F13 - 1415</f>
        <v>-145</v>
      </c>
      <c r="H13" s="137">
        <v>1405</v>
      </c>
      <c r="I13" s="170">
        <f t="shared" si="0"/>
        <v>135</v>
      </c>
      <c r="J13" s="63">
        <v>1390</v>
      </c>
      <c r="K13" s="64">
        <f t="shared" si="1"/>
        <v>-15</v>
      </c>
      <c r="L13" s="63">
        <v>1420</v>
      </c>
      <c r="M13" s="64">
        <f t="shared" si="2"/>
        <v>30</v>
      </c>
    </row>
    <row r="14" spans="1:13" x14ac:dyDescent="0.2">
      <c r="A14" s="93" t="s">
        <v>87</v>
      </c>
      <c r="B14" s="36" t="s">
        <v>29</v>
      </c>
      <c r="C14" s="92" t="s">
        <v>128</v>
      </c>
      <c r="D14" s="57">
        <v>8898</v>
      </c>
      <c r="E14" s="58">
        <v>1216</v>
      </c>
      <c r="F14" s="137">
        <v>1015</v>
      </c>
      <c r="G14" s="170">
        <f>F14 - 1216</f>
        <v>-201</v>
      </c>
      <c r="H14" s="137">
        <v>1216</v>
      </c>
      <c r="I14" s="170">
        <f t="shared" si="0"/>
        <v>201</v>
      </c>
      <c r="J14" s="63">
        <v>1216</v>
      </c>
      <c r="K14" s="64">
        <f t="shared" si="1"/>
        <v>0</v>
      </c>
      <c r="L14" s="63">
        <v>1216</v>
      </c>
      <c r="M14" s="64">
        <f t="shared" si="2"/>
        <v>0</v>
      </c>
    </row>
    <row r="15" spans="1:13" ht="12.75" thickBot="1" x14ac:dyDescent="0.25">
      <c r="A15" s="94" t="s">
        <v>87</v>
      </c>
      <c r="B15" s="25" t="s">
        <v>34</v>
      </c>
      <c r="C15" s="95" t="s">
        <v>128</v>
      </c>
      <c r="D15" s="181">
        <v>10806</v>
      </c>
      <c r="E15" s="214">
        <v>1235</v>
      </c>
      <c r="F15" s="183">
        <v>945</v>
      </c>
      <c r="G15" s="174">
        <f>F15 - 1230</f>
        <v>-285</v>
      </c>
      <c r="H15" s="183">
        <v>1300</v>
      </c>
      <c r="I15" s="174">
        <f t="shared" si="0"/>
        <v>355</v>
      </c>
      <c r="J15" s="65">
        <v>1235</v>
      </c>
      <c r="K15" s="66">
        <f t="shared" si="1"/>
        <v>-65</v>
      </c>
      <c r="L15" s="65">
        <v>1235</v>
      </c>
      <c r="M15" s="66">
        <f t="shared" si="2"/>
        <v>0</v>
      </c>
    </row>
    <row r="16" spans="1:13" x14ac:dyDescent="0.2">
      <c r="A16" s="1"/>
      <c r="B16" s="2"/>
      <c r="C16" s="2"/>
      <c r="D16" s="69"/>
      <c r="E16" s="59"/>
      <c r="F16" s="172">
        <f t="shared" ref="F16:K16" si="3">SUM(F5:F15)</f>
        <v>10865</v>
      </c>
      <c r="G16" s="170">
        <f t="shared" si="3"/>
        <v>-1943</v>
      </c>
      <c r="H16" s="172">
        <f t="shared" si="3"/>
        <v>11723</v>
      </c>
      <c r="I16" s="173">
        <f t="shared" si="3"/>
        <v>858</v>
      </c>
      <c r="J16" s="67">
        <f t="shared" si="3"/>
        <v>12031</v>
      </c>
      <c r="K16" s="67">
        <f t="shared" si="3"/>
        <v>308</v>
      </c>
      <c r="L16" s="67">
        <f>SUM(L5:L15)</f>
        <v>12563</v>
      </c>
      <c r="M16" s="67">
        <f>SUM(M5:M15)</f>
        <v>532</v>
      </c>
    </row>
    <row r="17" spans="1:10" x14ac:dyDescent="0.2">
      <c r="A17" s="1"/>
      <c r="B17" s="1"/>
      <c r="C17" s="1"/>
      <c r="D17" s="1"/>
      <c r="F17" s="5"/>
      <c r="G17" s="5"/>
    </row>
    <row r="18" spans="1:10" x14ac:dyDescent="0.2">
      <c r="B18" s="2"/>
      <c r="C18" s="2"/>
      <c r="D18" s="2"/>
      <c r="E18" s="3"/>
      <c r="F18" s="5"/>
      <c r="G18" s="5"/>
    </row>
    <row r="19" spans="1:10" x14ac:dyDescent="0.2">
      <c r="B19" s="2"/>
      <c r="C19" s="2"/>
      <c r="D19" s="2"/>
      <c r="E19" s="3"/>
      <c r="F19" s="5"/>
      <c r="G19" s="5"/>
    </row>
    <row r="20" spans="1:10" x14ac:dyDescent="0.2">
      <c r="B20" s="2"/>
      <c r="C20" s="2"/>
      <c r="D20" s="2"/>
      <c r="E20" s="3"/>
      <c r="F20" s="5"/>
      <c r="G20" s="5"/>
      <c r="J20" s="61"/>
    </row>
    <row r="21" spans="1:10" x14ac:dyDescent="0.2">
      <c r="B21" s="2"/>
      <c r="C21" s="2"/>
      <c r="D21" s="2"/>
      <c r="E21" s="3"/>
      <c r="F21" s="5"/>
      <c r="G21" s="5"/>
    </row>
    <row r="22" spans="1:10" x14ac:dyDescent="0.2">
      <c r="B22" s="2"/>
      <c r="C22" s="2"/>
      <c r="D22" s="2"/>
      <c r="E22" s="3"/>
      <c r="F22" s="5"/>
      <c r="G22" s="5"/>
    </row>
    <row r="23" spans="1:10" x14ac:dyDescent="0.2">
      <c r="B23" s="2"/>
      <c r="C23" s="2"/>
      <c r="D23" s="2"/>
      <c r="E23" s="3"/>
      <c r="F23" s="5"/>
      <c r="G23" s="5"/>
    </row>
    <row r="24" spans="1:10" x14ac:dyDescent="0.2">
      <c r="B24" s="2"/>
      <c r="C24" s="2"/>
      <c r="D24" s="2"/>
      <c r="E24" s="3"/>
      <c r="F24" s="5"/>
      <c r="G24" s="5"/>
    </row>
    <row r="25" spans="1:10" ht="15.75" customHeight="1" x14ac:dyDescent="0.2">
      <c r="B25" s="2"/>
      <c r="C25" s="2"/>
      <c r="D25" s="2"/>
      <c r="E25" s="3"/>
      <c r="F25" s="5"/>
      <c r="G25" s="5"/>
      <c r="J25" s="61"/>
    </row>
    <row r="28" spans="1:10" x14ac:dyDescent="0.2">
      <c r="J28" s="61"/>
    </row>
  </sheetData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N27"/>
  <sheetViews>
    <sheetView workbookViewId="0"/>
  </sheetViews>
  <sheetFormatPr defaultRowHeight="12" x14ac:dyDescent="0.2"/>
  <cols>
    <col min="2" max="2" width="17.5703125" customWidth="1"/>
    <col min="3" max="3" width="9.7109375" customWidth="1"/>
    <col min="4" max="4" width="8.7109375" customWidth="1"/>
    <col min="5" max="5" width="7.140625" customWidth="1"/>
    <col min="6" max="6" width="12.7109375" customWidth="1"/>
    <col min="7" max="7" width="6.7109375" customWidth="1"/>
    <col min="8" max="8" width="12.7109375" customWidth="1"/>
    <col min="9" max="9" width="6.7109375" customWidth="1"/>
    <col min="10" max="10" width="12.7109375" customWidth="1"/>
    <col min="11" max="11" width="6.7109375" customWidth="1"/>
    <col min="12" max="12" width="12.7109375" customWidth="1"/>
    <col min="13" max="13" width="6.7109375" customWidth="1"/>
  </cols>
  <sheetData>
    <row r="1" spans="1:14" ht="15.75" x14ac:dyDescent="0.25">
      <c r="A1" s="53" t="s">
        <v>49</v>
      </c>
      <c r="B1" s="80">
        <f>ECAR!B1</f>
        <v>36831</v>
      </c>
      <c r="C1" s="81"/>
      <c r="D1" s="81"/>
      <c r="E1" s="82"/>
      <c r="F1" s="83"/>
      <c r="G1" s="81"/>
      <c r="H1" s="82"/>
      <c r="I1" s="82"/>
      <c r="J1" s="82"/>
      <c r="K1" s="82"/>
      <c r="L1" s="82"/>
      <c r="M1" s="83"/>
    </row>
    <row r="2" spans="1:14" ht="15.75" x14ac:dyDescent="0.25">
      <c r="A2" s="83"/>
      <c r="B2" s="81"/>
      <c r="C2" s="81"/>
      <c r="D2" s="81"/>
      <c r="E2" s="81"/>
      <c r="F2" s="84"/>
      <c r="G2" s="82"/>
      <c r="H2" s="82"/>
      <c r="I2" s="82"/>
      <c r="J2" s="82"/>
      <c r="K2" s="82"/>
      <c r="L2" s="82"/>
      <c r="M2" s="83"/>
    </row>
    <row r="3" spans="1:14" ht="15.75" x14ac:dyDescent="0.25">
      <c r="A3" s="46"/>
      <c r="B3" s="85"/>
      <c r="C3" s="195" t="s">
        <v>125</v>
      </c>
      <c r="D3" s="195" t="s">
        <v>140</v>
      </c>
      <c r="E3" s="79" t="s">
        <v>58</v>
      </c>
      <c r="F3" s="79" t="s">
        <v>63</v>
      </c>
      <c r="G3" s="86" t="s">
        <v>68</v>
      </c>
      <c r="H3" s="79" t="s">
        <v>63</v>
      </c>
      <c r="I3" s="86" t="s">
        <v>68</v>
      </c>
      <c r="J3" s="79" t="s">
        <v>63</v>
      </c>
      <c r="K3" s="86" t="s">
        <v>68</v>
      </c>
      <c r="L3" s="79" t="s">
        <v>63</v>
      </c>
      <c r="M3" s="86" t="s">
        <v>68</v>
      </c>
    </row>
    <row r="4" spans="1:14" x14ac:dyDescent="0.2">
      <c r="A4" s="87" t="s">
        <v>73</v>
      </c>
      <c r="B4" s="75" t="s">
        <v>27</v>
      </c>
      <c r="C4" s="196" t="s">
        <v>126</v>
      </c>
      <c r="D4" s="196" t="s">
        <v>127</v>
      </c>
      <c r="E4" s="75" t="s">
        <v>59</v>
      </c>
      <c r="F4" s="75" t="s">
        <v>65</v>
      </c>
      <c r="G4" s="74"/>
      <c r="H4" s="75" t="s">
        <v>66</v>
      </c>
      <c r="I4" s="74"/>
      <c r="J4" s="75" t="s">
        <v>64</v>
      </c>
      <c r="K4" s="74"/>
      <c r="L4" s="75" t="s">
        <v>67</v>
      </c>
      <c r="M4" s="182"/>
    </row>
    <row r="5" spans="1:14" x14ac:dyDescent="0.2">
      <c r="A5" s="32" t="s">
        <v>88</v>
      </c>
      <c r="B5" s="89" t="s">
        <v>44</v>
      </c>
      <c r="C5" s="36" t="s">
        <v>128</v>
      </c>
      <c r="D5" s="178">
        <v>10330</v>
      </c>
      <c r="E5" s="197">
        <v>2214</v>
      </c>
      <c r="F5" s="137">
        <v>2085</v>
      </c>
      <c r="G5" s="170">
        <f>F5 - 2214</f>
        <v>-129</v>
      </c>
      <c r="H5" s="137">
        <v>2214</v>
      </c>
      <c r="I5" s="170">
        <f t="shared" ref="I5:I14" si="0">H5 - F5</f>
        <v>129</v>
      </c>
      <c r="J5" s="63">
        <v>2214</v>
      </c>
      <c r="K5" s="64">
        <f t="shared" ref="K5:K14" si="1">J5 - H5</f>
        <v>0</v>
      </c>
      <c r="L5" s="63">
        <v>2214</v>
      </c>
      <c r="M5" s="64">
        <f t="shared" ref="M5:M14" si="2">L5 - J5</f>
        <v>0</v>
      </c>
    </row>
    <row r="6" spans="1:14" x14ac:dyDescent="0.2">
      <c r="A6" s="32" t="s">
        <v>89</v>
      </c>
      <c r="B6" s="89" t="s">
        <v>45</v>
      </c>
      <c r="C6" s="36" t="s">
        <v>128</v>
      </c>
      <c r="D6" s="178">
        <v>10066</v>
      </c>
      <c r="E6" s="197">
        <v>1136</v>
      </c>
      <c r="F6" s="137">
        <v>385</v>
      </c>
      <c r="G6" s="170">
        <f>F6 - 390</f>
        <v>-5</v>
      </c>
      <c r="H6" s="137">
        <v>535</v>
      </c>
      <c r="I6" s="170">
        <f t="shared" si="0"/>
        <v>150</v>
      </c>
      <c r="J6" s="63">
        <v>550</v>
      </c>
      <c r="K6" s="64">
        <f t="shared" si="1"/>
        <v>15</v>
      </c>
      <c r="L6" s="63">
        <v>425</v>
      </c>
      <c r="M6" s="64">
        <f t="shared" si="2"/>
        <v>-125</v>
      </c>
    </row>
    <row r="7" spans="1:14" x14ac:dyDescent="0.2">
      <c r="A7" s="32" t="s">
        <v>89</v>
      </c>
      <c r="B7" s="34" t="s">
        <v>46</v>
      </c>
      <c r="C7" s="36" t="s">
        <v>141</v>
      </c>
      <c r="D7" s="178">
        <v>9929</v>
      </c>
      <c r="E7" s="198">
        <v>1923</v>
      </c>
      <c r="F7" s="137">
        <v>1435</v>
      </c>
      <c r="G7" s="170">
        <f>F7 - 1645</f>
        <v>-210</v>
      </c>
      <c r="H7" s="137">
        <v>1645</v>
      </c>
      <c r="I7" s="170">
        <f t="shared" si="0"/>
        <v>210</v>
      </c>
      <c r="J7" s="63">
        <v>1655</v>
      </c>
      <c r="K7" s="64">
        <f t="shared" si="1"/>
        <v>10</v>
      </c>
      <c r="L7" s="63">
        <v>1600</v>
      </c>
      <c r="M7" s="64">
        <f t="shared" si="2"/>
        <v>-55</v>
      </c>
    </row>
    <row r="8" spans="1:14" x14ac:dyDescent="0.2">
      <c r="A8" s="32" t="s">
        <v>153</v>
      </c>
      <c r="B8" s="34" t="s">
        <v>164</v>
      </c>
      <c r="C8" s="36" t="s">
        <v>128</v>
      </c>
      <c r="D8" s="178">
        <v>10470</v>
      </c>
      <c r="E8" s="198">
        <v>1700</v>
      </c>
      <c r="F8" s="137">
        <v>1220</v>
      </c>
      <c r="G8" s="170">
        <f>F8 - 1245</f>
        <v>-25</v>
      </c>
      <c r="H8" s="137">
        <v>1410</v>
      </c>
      <c r="I8" s="170">
        <f t="shared" si="0"/>
        <v>190</v>
      </c>
      <c r="J8" s="63">
        <v>1485</v>
      </c>
      <c r="K8" s="64">
        <f t="shared" si="1"/>
        <v>75</v>
      </c>
      <c r="L8" s="63">
        <v>1425</v>
      </c>
      <c r="M8" s="64">
        <f t="shared" si="2"/>
        <v>-60</v>
      </c>
    </row>
    <row r="9" spans="1:14" x14ac:dyDescent="0.2">
      <c r="A9" s="32" t="s">
        <v>153</v>
      </c>
      <c r="B9" s="34" t="s">
        <v>148</v>
      </c>
      <c r="C9" s="36" t="s">
        <v>128</v>
      </c>
      <c r="D9" s="178">
        <v>10540</v>
      </c>
      <c r="E9" s="198">
        <v>1700</v>
      </c>
      <c r="F9" s="137">
        <v>1290</v>
      </c>
      <c r="G9" s="170">
        <f>F9 - 1385</f>
        <v>-95</v>
      </c>
      <c r="H9" s="137">
        <v>1355</v>
      </c>
      <c r="I9" s="170">
        <f t="shared" si="0"/>
        <v>65</v>
      </c>
      <c r="J9" s="63">
        <v>1015</v>
      </c>
      <c r="K9" s="64">
        <f t="shared" si="1"/>
        <v>-340</v>
      </c>
      <c r="L9" s="63">
        <v>825</v>
      </c>
      <c r="M9" s="64">
        <f t="shared" si="2"/>
        <v>-190</v>
      </c>
    </row>
    <row r="10" spans="1:14" x14ac:dyDescent="0.2">
      <c r="A10" s="32" t="s">
        <v>105</v>
      </c>
      <c r="B10" s="34" t="s">
        <v>102</v>
      </c>
      <c r="C10" s="36" t="s">
        <v>128</v>
      </c>
      <c r="D10" s="178">
        <v>10968</v>
      </c>
      <c r="E10" s="198">
        <v>1578</v>
      </c>
      <c r="F10" s="137">
        <v>390</v>
      </c>
      <c r="G10" s="170">
        <f>F10 - 210</f>
        <v>180</v>
      </c>
      <c r="H10" s="137">
        <v>0</v>
      </c>
      <c r="I10" s="170">
        <f t="shared" si="0"/>
        <v>-390</v>
      </c>
      <c r="J10" s="63">
        <v>0</v>
      </c>
      <c r="K10" s="64">
        <f t="shared" si="1"/>
        <v>0</v>
      </c>
      <c r="L10" s="63">
        <v>510</v>
      </c>
      <c r="M10" s="64">
        <f t="shared" si="2"/>
        <v>510</v>
      </c>
    </row>
    <row r="11" spans="1:14" x14ac:dyDescent="0.2">
      <c r="A11" s="32" t="s">
        <v>106</v>
      </c>
      <c r="B11" s="34" t="s">
        <v>159</v>
      </c>
      <c r="C11" s="36" t="s">
        <v>128</v>
      </c>
      <c r="D11" s="178">
        <v>10124</v>
      </c>
      <c r="E11" s="198">
        <v>1200</v>
      </c>
      <c r="F11" s="137">
        <v>860</v>
      </c>
      <c r="G11" s="170">
        <f>F11 - 995</f>
        <v>-135</v>
      </c>
      <c r="H11" s="137">
        <v>1010</v>
      </c>
      <c r="I11" s="170">
        <f t="shared" si="0"/>
        <v>150</v>
      </c>
      <c r="J11" s="63">
        <v>960</v>
      </c>
      <c r="K11" s="64">
        <f t="shared" si="1"/>
        <v>-50</v>
      </c>
      <c r="L11" s="63">
        <v>890</v>
      </c>
      <c r="M11" s="64">
        <f t="shared" si="2"/>
        <v>-70</v>
      </c>
    </row>
    <row r="12" spans="1:14" x14ac:dyDescent="0.2">
      <c r="A12" s="32" t="s">
        <v>106</v>
      </c>
      <c r="B12" s="34" t="s">
        <v>103</v>
      </c>
      <c r="C12" s="36" t="s">
        <v>128</v>
      </c>
      <c r="D12" s="178">
        <v>10508</v>
      </c>
      <c r="E12" s="198">
        <v>1135</v>
      </c>
      <c r="F12" s="137">
        <v>440</v>
      </c>
      <c r="G12" s="170">
        <f>F12 - 845</f>
        <v>-405</v>
      </c>
      <c r="H12" s="137">
        <v>430</v>
      </c>
      <c r="I12" s="170">
        <f t="shared" si="0"/>
        <v>-10</v>
      </c>
      <c r="J12" s="63">
        <v>445</v>
      </c>
      <c r="K12" s="64">
        <f t="shared" si="1"/>
        <v>15</v>
      </c>
      <c r="L12" s="137">
        <v>455</v>
      </c>
      <c r="M12" s="64">
        <f t="shared" si="2"/>
        <v>10</v>
      </c>
    </row>
    <row r="13" spans="1:14" x14ac:dyDescent="0.2">
      <c r="A13" s="32" t="s">
        <v>162</v>
      </c>
      <c r="B13" s="34" t="s">
        <v>160</v>
      </c>
      <c r="C13" s="36" t="s">
        <v>129</v>
      </c>
      <c r="D13" s="178">
        <v>10728</v>
      </c>
      <c r="E13" s="198">
        <v>1010</v>
      </c>
      <c r="F13" s="137" t="e">
        <f>NA()</f>
        <v>#N/A</v>
      </c>
      <c r="G13" s="170" t="e">
        <f>NA()</f>
        <v>#N/A</v>
      </c>
      <c r="H13" s="137" t="e">
        <f>NA()</f>
        <v>#N/A</v>
      </c>
      <c r="I13" s="170" t="e">
        <f t="shared" si="0"/>
        <v>#N/A</v>
      </c>
      <c r="J13" s="137" t="e">
        <f>NA()</f>
        <v>#N/A</v>
      </c>
      <c r="K13" s="64" t="e">
        <f t="shared" si="1"/>
        <v>#N/A</v>
      </c>
      <c r="L13" s="137" t="e">
        <f>NA()</f>
        <v>#N/A</v>
      </c>
      <c r="M13" s="64" t="e">
        <f t="shared" si="2"/>
        <v>#N/A</v>
      </c>
    </row>
    <row r="14" spans="1:14" ht="12.75" thickBot="1" x14ac:dyDescent="0.25">
      <c r="A14" s="33" t="s">
        <v>165</v>
      </c>
      <c r="B14" s="35" t="s">
        <v>161</v>
      </c>
      <c r="C14" s="25" t="s">
        <v>141</v>
      </c>
      <c r="D14" s="179">
        <v>11865</v>
      </c>
      <c r="E14" s="200">
        <v>1003</v>
      </c>
      <c r="F14" s="183" t="e">
        <f>NA()</f>
        <v>#N/A</v>
      </c>
      <c r="G14" s="174" t="e">
        <f>NA()</f>
        <v>#N/A</v>
      </c>
      <c r="H14" s="137" t="e">
        <f>NA()</f>
        <v>#N/A</v>
      </c>
      <c r="I14" s="174" t="e">
        <f t="shared" si="0"/>
        <v>#N/A</v>
      </c>
      <c r="J14" s="137" t="e">
        <f>NA()</f>
        <v>#N/A</v>
      </c>
      <c r="K14" s="66" t="e">
        <f t="shared" si="1"/>
        <v>#N/A</v>
      </c>
      <c r="L14" s="137" t="e">
        <f>NA()</f>
        <v>#N/A</v>
      </c>
      <c r="M14" s="66" t="e">
        <f t="shared" si="2"/>
        <v>#N/A</v>
      </c>
    </row>
    <row r="15" spans="1:14" x14ac:dyDescent="0.2">
      <c r="A15" s="1"/>
      <c r="B15" s="2"/>
      <c r="C15" s="2"/>
      <c r="D15" s="69"/>
      <c r="E15" s="199">
        <f>SUM(E5:E12)</f>
        <v>12586</v>
      </c>
      <c r="F15" s="175">
        <f>SUM(F5:F12)</f>
        <v>8105</v>
      </c>
      <c r="G15" s="175">
        <f>SUM(G5:G12)</f>
        <v>-824</v>
      </c>
      <c r="H15" s="175">
        <f t="shared" ref="H15:K15" si="3">SUM(H5:H12)</f>
        <v>8599</v>
      </c>
      <c r="I15" s="175">
        <f t="shared" si="3"/>
        <v>494</v>
      </c>
      <c r="J15" s="175">
        <f t="shared" si="3"/>
        <v>8324</v>
      </c>
      <c r="K15" s="175">
        <f t="shared" si="3"/>
        <v>-275</v>
      </c>
      <c r="L15" s="67">
        <f>SUM(L5:L12)</f>
        <v>8344</v>
      </c>
      <c r="M15" s="67">
        <f>SUM(M5:M12)</f>
        <v>20</v>
      </c>
    </row>
    <row r="16" spans="1:14" x14ac:dyDescent="0.2">
      <c r="A16" s="1"/>
      <c r="B16" s="1"/>
      <c r="C16" s="1"/>
      <c r="D16" s="1"/>
      <c r="F16" s="5"/>
      <c r="G16" s="5"/>
      <c r="L16" s="1"/>
      <c r="M16" s="209"/>
      <c r="N16" s="1"/>
    </row>
    <row r="17" spans="2:14" x14ac:dyDescent="0.2">
      <c r="B17" s="2"/>
      <c r="C17" s="2"/>
      <c r="D17" s="2"/>
      <c r="E17" s="3"/>
      <c r="F17" s="5"/>
      <c r="G17" s="5"/>
      <c r="H17" s="190"/>
      <c r="L17" s="1"/>
      <c r="M17" s="1"/>
      <c r="N17" s="1"/>
    </row>
    <row r="18" spans="2:14" x14ac:dyDescent="0.2">
      <c r="B18" s="2"/>
      <c r="C18" s="2"/>
      <c r="D18" s="2"/>
      <c r="E18" s="3"/>
      <c r="F18" s="5"/>
      <c r="G18" s="190"/>
      <c r="H18" s="1"/>
      <c r="L18" s="1"/>
      <c r="M18" s="1"/>
      <c r="N18" s="1"/>
    </row>
    <row r="19" spans="2:14" x14ac:dyDescent="0.2">
      <c r="B19" s="2"/>
      <c r="C19" s="2"/>
      <c r="D19" s="2"/>
      <c r="E19" s="3"/>
      <c r="F19" s="5"/>
      <c r="G19" s="5"/>
      <c r="J19" s="61"/>
    </row>
    <row r="20" spans="2:14" x14ac:dyDescent="0.2">
      <c r="B20" s="2"/>
      <c r="C20" s="2"/>
      <c r="D20" s="2"/>
      <c r="E20" s="3"/>
      <c r="F20" s="5"/>
      <c r="G20" s="5"/>
      <c r="H20" s="1"/>
    </row>
    <row r="21" spans="2:14" x14ac:dyDescent="0.2">
      <c r="B21" s="2"/>
      <c r="C21" s="2"/>
      <c r="D21" s="2"/>
      <c r="E21" s="3"/>
      <c r="F21" s="5"/>
      <c r="G21" s="5"/>
      <c r="H21" s="1"/>
    </row>
    <row r="22" spans="2:14" x14ac:dyDescent="0.2">
      <c r="B22" s="2"/>
      <c r="C22" s="2"/>
      <c r="D22" s="2"/>
      <c r="E22" s="3"/>
      <c r="F22" s="5"/>
      <c r="G22" s="5"/>
      <c r="H22" s="1"/>
    </row>
    <row r="23" spans="2:14" x14ac:dyDescent="0.2">
      <c r="B23" s="2"/>
      <c r="C23" s="2"/>
      <c r="D23" s="2"/>
      <c r="E23" s="3"/>
      <c r="F23" s="5"/>
      <c r="G23" s="5"/>
      <c r="H23" s="1"/>
    </row>
    <row r="24" spans="2:14" x14ac:dyDescent="0.2">
      <c r="B24" s="2"/>
      <c r="C24" s="2"/>
      <c r="D24" s="2"/>
      <c r="E24" s="3"/>
      <c r="F24" s="5"/>
      <c r="G24" s="5"/>
      <c r="H24" s="1"/>
      <c r="J24" s="61"/>
    </row>
    <row r="25" spans="2:14" x14ac:dyDescent="0.2">
      <c r="D25" s="1"/>
      <c r="E25" s="1"/>
      <c r="F25" s="1"/>
      <c r="G25" s="1"/>
      <c r="H25" s="1"/>
    </row>
    <row r="26" spans="2:14" x14ac:dyDescent="0.2">
      <c r="D26" s="1"/>
      <c r="E26" s="1"/>
      <c r="F26" s="1"/>
      <c r="G26" s="1"/>
      <c r="H26" s="1"/>
    </row>
    <row r="27" spans="2:14" x14ac:dyDescent="0.2">
      <c r="J27" s="61"/>
    </row>
  </sheetData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9"/>
  <sheetViews>
    <sheetView workbookViewId="0">
      <selection sqref="A1:A2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2" width="9.7109375" customWidth="1"/>
  </cols>
  <sheetData>
    <row r="1" spans="1:14" ht="15.75" x14ac:dyDescent="0.25">
      <c r="A1" s="217" t="s">
        <v>145</v>
      </c>
      <c r="B1" s="141">
        <f>ECAR!B1</f>
        <v>36831</v>
      </c>
      <c r="C1" s="142"/>
      <c r="D1" s="103"/>
      <c r="E1" s="141"/>
      <c r="F1" s="141"/>
      <c r="G1" s="103"/>
      <c r="H1" s="142"/>
      <c r="I1" s="142"/>
      <c r="J1" s="142"/>
      <c r="K1" s="142"/>
      <c r="L1" s="142"/>
      <c r="M1" s="1"/>
      <c r="N1" s="1"/>
    </row>
    <row r="2" spans="1:14" ht="15.75" x14ac:dyDescent="0.25">
      <c r="A2" s="217"/>
      <c r="B2" s="143"/>
      <c r="C2" s="218" t="s">
        <v>149</v>
      </c>
      <c r="D2" s="218" t="s">
        <v>150</v>
      </c>
      <c r="E2" s="141"/>
      <c r="F2" s="141"/>
      <c r="G2" s="103"/>
      <c r="H2" s="142"/>
      <c r="I2" s="142"/>
      <c r="J2" s="142"/>
      <c r="K2" s="142"/>
      <c r="L2" s="142"/>
      <c r="M2" s="1"/>
      <c r="N2" s="1"/>
    </row>
    <row r="3" spans="1:14" x14ac:dyDescent="0.2">
      <c r="A3" s="46"/>
      <c r="B3" s="46"/>
      <c r="C3" s="218"/>
      <c r="D3" s="220"/>
      <c r="E3" s="38"/>
      <c r="F3" s="104" t="s">
        <v>125</v>
      </c>
      <c r="G3" s="104" t="s">
        <v>140</v>
      </c>
      <c r="H3" s="104" t="s">
        <v>71</v>
      </c>
      <c r="I3" s="144" t="s">
        <v>60</v>
      </c>
      <c r="J3" s="144" t="s">
        <v>60</v>
      </c>
      <c r="K3" s="144" t="s">
        <v>60</v>
      </c>
      <c r="L3" s="144" t="s">
        <v>60</v>
      </c>
      <c r="M3" s="11" t="s">
        <v>69</v>
      </c>
      <c r="N3" s="14"/>
    </row>
    <row r="4" spans="1:14" ht="12.75" thickBot="1" x14ac:dyDescent="0.25">
      <c r="A4" s="24" t="s">
        <v>73</v>
      </c>
      <c r="B4" s="97" t="s">
        <v>50</v>
      </c>
      <c r="C4" s="219"/>
      <c r="D4" s="221"/>
      <c r="E4" s="97" t="s">
        <v>51</v>
      </c>
      <c r="F4" s="145" t="s">
        <v>126</v>
      </c>
      <c r="G4" s="97" t="s">
        <v>127</v>
      </c>
      <c r="H4" s="145" t="s">
        <v>59</v>
      </c>
      <c r="I4" s="98" t="s">
        <v>65</v>
      </c>
      <c r="J4" s="98" t="s">
        <v>66</v>
      </c>
      <c r="K4" s="98" t="s">
        <v>64</v>
      </c>
      <c r="L4" s="98" t="s">
        <v>67</v>
      </c>
      <c r="M4" s="99"/>
      <c r="N4" s="27"/>
    </row>
    <row r="5" spans="1:14" x14ac:dyDescent="0.2">
      <c r="A5" s="106"/>
      <c r="B5" s="107" t="s">
        <v>35</v>
      </c>
      <c r="C5" s="119"/>
      <c r="D5" s="119"/>
      <c r="E5" s="120">
        <v>1</v>
      </c>
      <c r="F5" s="121" t="s">
        <v>128</v>
      </c>
      <c r="G5" s="120">
        <v>9992</v>
      </c>
      <c r="H5" s="121">
        <v>685</v>
      </c>
      <c r="I5" s="194" t="s">
        <v>152</v>
      </c>
      <c r="J5" s="194" t="s">
        <v>152</v>
      </c>
      <c r="K5" s="194" t="s">
        <v>152</v>
      </c>
      <c r="L5" s="194" t="s">
        <v>152</v>
      </c>
      <c r="M5" s="96"/>
      <c r="N5" s="96"/>
    </row>
    <row r="6" spans="1:14" x14ac:dyDescent="0.2">
      <c r="A6" s="108" t="s">
        <v>90</v>
      </c>
      <c r="B6" s="109" t="s">
        <v>35</v>
      </c>
      <c r="C6" s="122">
        <f>SUM(H5:H6)</f>
        <v>1370</v>
      </c>
      <c r="D6" s="122">
        <v>685</v>
      </c>
      <c r="E6" s="123">
        <v>2</v>
      </c>
      <c r="F6" s="124" t="s">
        <v>128</v>
      </c>
      <c r="G6" s="123">
        <v>10060</v>
      </c>
      <c r="H6" s="124">
        <v>685</v>
      </c>
      <c r="I6" s="163" t="s">
        <v>151</v>
      </c>
      <c r="J6" s="163" t="s">
        <v>151</v>
      </c>
      <c r="K6" s="163" t="s">
        <v>151</v>
      </c>
      <c r="L6" s="163" t="s">
        <v>151</v>
      </c>
      <c r="M6" s="96"/>
      <c r="N6" s="96"/>
    </row>
    <row r="7" spans="1:14" x14ac:dyDescent="0.2">
      <c r="A7" s="110"/>
      <c r="B7" s="110" t="s">
        <v>36</v>
      </c>
      <c r="C7" s="125"/>
      <c r="D7" s="125"/>
      <c r="E7" s="126">
        <v>1</v>
      </c>
      <c r="F7" s="127" t="s">
        <v>128</v>
      </c>
      <c r="G7" s="126">
        <v>9333</v>
      </c>
      <c r="H7" s="127">
        <v>365</v>
      </c>
      <c r="I7" s="165" t="s">
        <v>151</v>
      </c>
      <c r="J7" s="165" t="s">
        <v>151</v>
      </c>
      <c r="K7" s="164" t="s">
        <v>151</v>
      </c>
      <c r="L7" s="165" t="s">
        <v>151</v>
      </c>
      <c r="M7" s="96"/>
      <c r="N7" s="96"/>
    </row>
    <row r="8" spans="1:14" x14ac:dyDescent="0.2">
      <c r="A8" s="111"/>
      <c r="B8" s="111" t="s">
        <v>36</v>
      </c>
      <c r="C8" s="128"/>
      <c r="D8" s="128"/>
      <c r="E8" s="129">
        <v>2</v>
      </c>
      <c r="F8" s="130" t="s">
        <v>128</v>
      </c>
      <c r="G8" s="129">
        <v>9048</v>
      </c>
      <c r="H8" s="130">
        <v>405</v>
      </c>
      <c r="I8" s="165" t="s">
        <v>151</v>
      </c>
      <c r="J8" s="165" t="s">
        <v>151</v>
      </c>
      <c r="K8" s="165" t="s">
        <v>151</v>
      </c>
      <c r="L8" s="165" t="s">
        <v>151</v>
      </c>
      <c r="M8" s="96"/>
      <c r="N8" s="96"/>
    </row>
    <row r="9" spans="1:14" x14ac:dyDescent="0.2">
      <c r="A9" s="112" t="s">
        <v>91</v>
      </c>
      <c r="B9" s="113" t="s">
        <v>36</v>
      </c>
      <c r="C9" s="122">
        <f>SUM(H7:H9)</f>
        <v>1560</v>
      </c>
      <c r="D9" s="122">
        <v>1560</v>
      </c>
      <c r="E9" s="123">
        <v>3</v>
      </c>
      <c r="F9" s="124" t="s">
        <v>128</v>
      </c>
      <c r="G9" s="123">
        <v>9082</v>
      </c>
      <c r="H9" s="124">
        <v>790</v>
      </c>
      <c r="I9" s="163" t="s">
        <v>151</v>
      </c>
      <c r="J9" s="163" t="s">
        <v>151</v>
      </c>
      <c r="K9" s="163" t="s">
        <v>151</v>
      </c>
      <c r="L9" s="163" t="s">
        <v>151</v>
      </c>
      <c r="M9" s="96"/>
      <c r="N9" s="96"/>
    </row>
    <row r="10" spans="1:14" x14ac:dyDescent="0.2">
      <c r="A10" s="110"/>
      <c r="B10" s="110" t="s">
        <v>37</v>
      </c>
      <c r="C10" s="125"/>
      <c r="D10" s="125"/>
      <c r="E10" s="126" t="s">
        <v>136</v>
      </c>
      <c r="F10" s="127" t="s">
        <v>128</v>
      </c>
      <c r="G10" s="126">
        <v>9288</v>
      </c>
      <c r="H10" s="127">
        <v>365</v>
      </c>
      <c r="I10" s="164" t="s">
        <v>151</v>
      </c>
      <c r="J10" s="164" t="s">
        <v>151</v>
      </c>
      <c r="K10" s="164" t="s">
        <v>151</v>
      </c>
      <c r="L10" s="164" t="s">
        <v>151</v>
      </c>
      <c r="M10" s="96"/>
      <c r="N10" s="96"/>
    </row>
    <row r="11" spans="1:14" x14ac:dyDescent="0.2">
      <c r="A11" s="111"/>
      <c r="B11" s="111" t="s">
        <v>37</v>
      </c>
      <c r="C11" s="128"/>
      <c r="D11" s="128"/>
      <c r="E11" s="129" t="s">
        <v>137</v>
      </c>
      <c r="F11" s="130" t="s">
        <v>128</v>
      </c>
      <c r="G11" s="129">
        <v>9206</v>
      </c>
      <c r="H11" s="130">
        <v>365</v>
      </c>
      <c r="I11" s="165" t="s">
        <v>151</v>
      </c>
      <c r="J11" s="165" t="s">
        <v>151</v>
      </c>
      <c r="K11" s="165" t="s">
        <v>151</v>
      </c>
      <c r="L11" s="165" t="s">
        <v>151</v>
      </c>
      <c r="M11" s="96"/>
      <c r="N11" s="96"/>
    </row>
    <row r="12" spans="1:14" x14ac:dyDescent="0.2">
      <c r="A12" s="111"/>
      <c r="B12" s="111" t="s">
        <v>37</v>
      </c>
      <c r="C12" s="128"/>
      <c r="D12" s="128"/>
      <c r="E12" s="129">
        <v>3</v>
      </c>
      <c r="F12" s="130" t="s">
        <v>130</v>
      </c>
      <c r="G12" s="129">
        <v>10631</v>
      </c>
      <c r="H12" s="130">
        <v>640</v>
      </c>
      <c r="I12" s="166" t="s">
        <v>152</v>
      </c>
      <c r="J12" s="165" t="s">
        <v>151</v>
      </c>
      <c r="K12" s="165" t="s">
        <v>151</v>
      </c>
      <c r="L12" s="165" t="s">
        <v>151</v>
      </c>
      <c r="M12" s="96"/>
      <c r="N12" s="96"/>
    </row>
    <row r="13" spans="1:14" x14ac:dyDescent="0.2">
      <c r="A13" s="111"/>
      <c r="B13" s="111" t="s">
        <v>37</v>
      </c>
      <c r="C13" s="128"/>
      <c r="D13" s="128"/>
      <c r="E13" s="129">
        <v>4</v>
      </c>
      <c r="F13" s="130" t="s">
        <v>130</v>
      </c>
      <c r="G13" s="129">
        <v>10543</v>
      </c>
      <c r="H13" s="130">
        <v>640</v>
      </c>
      <c r="I13" s="166" t="s">
        <v>152</v>
      </c>
      <c r="J13" s="165" t="s">
        <v>151</v>
      </c>
      <c r="K13" s="165" t="s">
        <v>151</v>
      </c>
      <c r="L13" s="165" t="s">
        <v>151</v>
      </c>
      <c r="M13" s="96"/>
      <c r="N13" s="96"/>
    </row>
    <row r="14" spans="1:14" x14ac:dyDescent="0.2">
      <c r="A14" s="111"/>
      <c r="B14" s="111" t="s">
        <v>37</v>
      </c>
      <c r="C14" s="128"/>
      <c r="D14" s="128"/>
      <c r="E14" s="129" t="s">
        <v>61</v>
      </c>
      <c r="F14" s="130" t="s">
        <v>129</v>
      </c>
      <c r="G14" s="129">
        <v>11682</v>
      </c>
      <c r="H14" s="130">
        <v>99</v>
      </c>
      <c r="I14" s="166" t="s">
        <v>152</v>
      </c>
      <c r="J14" s="166" t="s">
        <v>152</v>
      </c>
      <c r="K14" s="166" t="s">
        <v>152</v>
      </c>
      <c r="L14" s="166" t="s">
        <v>152</v>
      </c>
      <c r="M14" s="96"/>
      <c r="N14" s="96"/>
    </row>
    <row r="15" spans="1:14" x14ac:dyDescent="0.2">
      <c r="A15" s="114"/>
      <c r="B15" s="111" t="s">
        <v>37</v>
      </c>
      <c r="C15" s="128"/>
      <c r="D15" s="128"/>
      <c r="E15" s="129" t="s">
        <v>55</v>
      </c>
      <c r="F15" s="130" t="s">
        <v>129</v>
      </c>
      <c r="G15" s="129">
        <v>11682</v>
      </c>
      <c r="H15" s="130">
        <v>99</v>
      </c>
      <c r="I15" s="166" t="s">
        <v>152</v>
      </c>
      <c r="J15" s="166" t="s">
        <v>152</v>
      </c>
      <c r="K15" s="166" t="s">
        <v>152</v>
      </c>
      <c r="L15" s="166" t="s">
        <v>152</v>
      </c>
      <c r="M15" s="96"/>
      <c r="N15" s="96"/>
    </row>
    <row r="16" spans="1:14" x14ac:dyDescent="0.2">
      <c r="A16" s="115"/>
      <c r="B16" s="111" t="s">
        <v>37</v>
      </c>
      <c r="C16" s="128"/>
      <c r="D16" s="128"/>
      <c r="E16" s="129" t="s">
        <v>56</v>
      </c>
      <c r="F16" s="130" t="s">
        <v>129</v>
      </c>
      <c r="G16" s="129">
        <v>10743</v>
      </c>
      <c r="H16" s="130">
        <v>120</v>
      </c>
      <c r="I16" s="166" t="s">
        <v>152</v>
      </c>
      <c r="J16" s="166" t="s">
        <v>152</v>
      </c>
      <c r="K16" s="166" t="s">
        <v>152</v>
      </c>
      <c r="L16" s="165" t="s">
        <v>151</v>
      </c>
      <c r="M16" s="96"/>
      <c r="N16" s="96"/>
    </row>
    <row r="17" spans="1:14" x14ac:dyDescent="0.2">
      <c r="A17" s="111"/>
      <c r="B17" s="111" t="s">
        <v>37</v>
      </c>
      <c r="C17" s="128"/>
      <c r="D17" s="128"/>
      <c r="E17" s="129" t="s">
        <v>62</v>
      </c>
      <c r="F17" s="130" t="s">
        <v>129</v>
      </c>
      <c r="G17" s="129">
        <v>10743</v>
      </c>
      <c r="H17" s="130">
        <v>120</v>
      </c>
      <c r="I17" s="166" t="s">
        <v>152</v>
      </c>
      <c r="J17" s="166" t="s">
        <v>152</v>
      </c>
      <c r="K17" s="166" t="s">
        <v>152</v>
      </c>
      <c r="L17" s="165" t="s">
        <v>151</v>
      </c>
      <c r="M17" s="96"/>
      <c r="N17" s="96"/>
    </row>
    <row r="18" spans="1:14" x14ac:dyDescent="0.2">
      <c r="A18" s="112" t="s">
        <v>92</v>
      </c>
      <c r="B18" s="113" t="s">
        <v>37</v>
      </c>
      <c r="C18" s="122">
        <f>SUM(H10:H18)</f>
        <v>2541</v>
      </c>
      <c r="D18" s="122">
        <v>2250</v>
      </c>
      <c r="E18" s="123" t="s">
        <v>57</v>
      </c>
      <c r="F18" s="124" t="s">
        <v>129</v>
      </c>
      <c r="G18" s="123">
        <v>10743</v>
      </c>
      <c r="H18" s="124">
        <v>93</v>
      </c>
      <c r="I18" s="167" t="s">
        <v>152</v>
      </c>
      <c r="J18" s="167" t="s">
        <v>152</v>
      </c>
      <c r="K18" s="167" t="s">
        <v>152</v>
      </c>
      <c r="L18" s="167" t="s">
        <v>152</v>
      </c>
      <c r="M18" s="96"/>
      <c r="N18" s="96"/>
    </row>
    <row r="19" spans="1:14" x14ac:dyDescent="0.2">
      <c r="A19" s="110"/>
      <c r="B19" s="110" t="s">
        <v>38</v>
      </c>
      <c r="C19" s="125"/>
      <c r="D19" s="125"/>
      <c r="E19" s="126">
        <v>1</v>
      </c>
      <c r="F19" s="127" t="s">
        <v>128</v>
      </c>
      <c r="G19" s="126">
        <v>10040</v>
      </c>
      <c r="H19" s="127">
        <v>335</v>
      </c>
      <c r="I19" s="164" t="s">
        <v>151</v>
      </c>
      <c r="J19" s="164" t="s">
        <v>151</v>
      </c>
      <c r="K19" s="164" t="s">
        <v>151</v>
      </c>
      <c r="L19" s="164" t="s">
        <v>151</v>
      </c>
      <c r="M19" s="96"/>
      <c r="N19" s="96"/>
    </row>
    <row r="20" spans="1:14" x14ac:dyDescent="0.2">
      <c r="A20" s="111"/>
      <c r="B20" s="111" t="s">
        <v>38</v>
      </c>
      <c r="C20" s="128"/>
      <c r="D20" s="128"/>
      <c r="E20" s="129">
        <v>2</v>
      </c>
      <c r="F20" s="130" t="s">
        <v>128</v>
      </c>
      <c r="G20" s="129">
        <v>9925</v>
      </c>
      <c r="H20" s="130">
        <v>335</v>
      </c>
      <c r="I20" s="165" t="s">
        <v>151</v>
      </c>
      <c r="J20" s="165" t="s">
        <v>151</v>
      </c>
      <c r="K20" s="165" t="s">
        <v>151</v>
      </c>
      <c r="L20" s="165" t="s">
        <v>151</v>
      </c>
      <c r="M20" s="96"/>
      <c r="N20" s="96"/>
    </row>
    <row r="21" spans="1:14" x14ac:dyDescent="0.2">
      <c r="A21" s="111"/>
      <c r="B21" s="111" t="s">
        <v>38</v>
      </c>
      <c r="C21" s="128"/>
      <c r="D21" s="128"/>
      <c r="E21" s="129">
        <v>3</v>
      </c>
      <c r="F21" s="130" t="s">
        <v>138</v>
      </c>
      <c r="G21" s="129">
        <v>10873</v>
      </c>
      <c r="H21" s="130">
        <v>390</v>
      </c>
      <c r="I21" s="165" t="s">
        <v>151</v>
      </c>
      <c r="J21" s="165" t="s">
        <v>151</v>
      </c>
      <c r="K21" s="165" t="s">
        <v>151</v>
      </c>
      <c r="L21" s="165" t="s">
        <v>151</v>
      </c>
      <c r="M21" s="96"/>
      <c r="N21" s="96"/>
    </row>
    <row r="22" spans="1:14" x14ac:dyDescent="0.2">
      <c r="A22" s="112" t="s">
        <v>93</v>
      </c>
      <c r="B22" s="113" t="s">
        <v>38</v>
      </c>
      <c r="C22" s="122">
        <f>SUM(H19:H22)</f>
        <v>1450</v>
      </c>
      <c r="D22" s="122">
        <v>1450</v>
      </c>
      <c r="E22" s="123">
        <v>4</v>
      </c>
      <c r="F22" s="124" t="s">
        <v>138</v>
      </c>
      <c r="G22" s="123">
        <v>11028</v>
      </c>
      <c r="H22" s="124">
        <v>390</v>
      </c>
      <c r="I22" s="163" t="s">
        <v>151</v>
      </c>
      <c r="J22" s="163" t="s">
        <v>151</v>
      </c>
      <c r="K22" s="163" t="s">
        <v>151</v>
      </c>
      <c r="L22" s="163" t="s">
        <v>151</v>
      </c>
      <c r="M22" s="96"/>
      <c r="N22" s="96"/>
    </row>
    <row r="23" spans="1:14" x14ac:dyDescent="0.2">
      <c r="A23" s="110"/>
      <c r="B23" s="110" t="s">
        <v>39</v>
      </c>
      <c r="C23" s="125"/>
      <c r="D23" s="125"/>
      <c r="E23" s="126">
        <v>1</v>
      </c>
      <c r="F23" s="127" t="s">
        <v>128</v>
      </c>
      <c r="G23" s="126">
        <v>9664</v>
      </c>
      <c r="H23" s="127">
        <v>660</v>
      </c>
      <c r="I23" s="29" t="e">
        <f>NA()</f>
        <v>#N/A</v>
      </c>
      <c r="J23" s="168" t="s">
        <v>152</v>
      </c>
      <c r="K23" s="206" t="s">
        <v>152</v>
      </c>
      <c r="L23" s="168" t="s">
        <v>152</v>
      </c>
      <c r="M23" s="96"/>
      <c r="N23" s="96"/>
    </row>
    <row r="24" spans="1:14" x14ac:dyDescent="0.2">
      <c r="A24" s="111"/>
      <c r="B24" s="111" t="s">
        <v>39</v>
      </c>
      <c r="C24" s="128"/>
      <c r="D24" s="128"/>
      <c r="E24" s="129">
        <v>2</v>
      </c>
      <c r="F24" s="130" t="s">
        <v>128</v>
      </c>
      <c r="G24" s="129">
        <v>9464</v>
      </c>
      <c r="H24" s="130">
        <v>660</v>
      </c>
      <c r="I24" s="28" t="e">
        <f>NA()</f>
        <v>#N/A</v>
      </c>
      <c r="J24" s="165" t="s">
        <v>151</v>
      </c>
      <c r="K24" s="205" t="s">
        <v>151</v>
      </c>
      <c r="L24" s="165" t="s">
        <v>151</v>
      </c>
      <c r="M24" s="96"/>
      <c r="N24" s="96"/>
    </row>
    <row r="25" spans="1:14" x14ac:dyDescent="0.2">
      <c r="A25" s="112" t="s">
        <v>94</v>
      </c>
      <c r="B25" s="113" t="s">
        <v>39</v>
      </c>
      <c r="C25" s="122">
        <f>SUM(H23:H25)</f>
        <v>2010</v>
      </c>
      <c r="D25" s="122">
        <v>1350</v>
      </c>
      <c r="E25" s="123">
        <v>3</v>
      </c>
      <c r="F25" s="124" t="s">
        <v>128</v>
      </c>
      <c r="G25" s="123">
        <v>9783</v>
      </c>
      <c r="H25" s="124">
        <v>690</v>
      </c>
      <c r="I25" s="30" t="e">
        <f>NA()</f>
        <v>#N/A</v>
      </c>
      <c r="J25" s="163" t="s">
        <v>151</v>
      </c>
      <c r="K25" s="208" t="s">
        <v>151</v>
      </c>
      <c r="L25" s="163" t="s">
        <v>151</v>
      </c>
      <c r="M25" s="96"/>
      <c r="N25" s="96"/>
    </row>
    <row r="26" spans="1:14" x14ac:dyDescent="0.2">
      <c r="A26" s="110"/>
      <c r="B26" s="110" t="s">
        <v>40</v>
      </c>
      <c r="C26" s="125"/>
      <c r="D26" s="125"/>
      <c r="E26" s="126">
        <v>1</v>
      </c>
      <c r="F26" s="127" t="s">
        <v>129</v>
      </c>
      <c r="G26" s="126">
        <v>10484</v>
      </c>
      <c r="H26" s="127">
        <v>455</v>
      </c>
      <c r="I26" s="168" t="s">
        <v>152</v>
      </c>
      <c r="J26" s="168" t="s">
        <v>152</v>
      </c>
      <c r="K26" s="168" t="s">
        <v>152</v>
      </c>
      <c r="L26" s="168" t="s">
        <v>152</v>
      </c>
      <c r="M26" s="96"/>
      <c r="N26" s="96"/>
    </row>
    <row r="27" spans="1:14" x14ac:dyDescent="0.2">
      <c r="A27" s="111"/>
      <c r="B27" s="111" t="s">
        <v>40</v>
      </c>
      <c r="C27" s="128"/>
      <c r="D27" s="128"/>
      <c r="E27" s="129">
        <v>2</v>
      </c>
      <c r="F27" s="130" t="s">
        <v>128</v>
      </c>
      <c r="G27" s="129">
        <v>9496</v>
      </c>
      <c r="H27" s="130">
        <v>620</v>
      </c>
      <c r="I27" s="165" t="s">
        <v>151</v>
      </c>
      <c r="J27" s="165" t="s">
        <v>151</v>
      </c>
      <c r="K27" s="165" t="s">
        <v>151</v>
      </c>
      <c r="L27" s="165" t="s">
        <v>151</v>
      </c>
      <c r="M27" s="96"/>
      <c r="N27" s="96"/>
    </row>
    <row r="28" spans="1:14" x14ac:dyDescent="0.2">
      <c r="A28" s="112" t="s">
        <v>95</v>
      </c>
      <c r="B28" s="113" t="s">
        <v>40</v>
      </c>
      <c r="C28" s="122">
        <f>SUM(H26:H28)</f>
        <v>1190</v>
      </c>
      <c r="D28" s="122">
        <v>620</v>
      </c>
      <c r="E28" s="123">
        <v>3</v>
      </c>
      <c r="F28" s="124" t="s">
        <v>139</v>
      </c>
      <c r="G28" s="123">
        <v>26779</v>
      </c>
      <c r="H28" s="124">
        <v>115</v>
      </c>
      <c r="I28" s="167" t="s">
        <v>152</v>
      </c>
      <c r="J28" s="167" t="s">
        <v>152</v>
      </c>
      <c r="K28" s="167" t="s">
        <v>152</v>
      </c>
      <c r="L28" s="167" t="s">
        <v>152</v>
      </c>
      <c r="M28" s="96"/>
      <c r="N28" s="96"/>
    </row>
    <row r="29" spans="1:14" x14ac:dyDescent="0.2">
      <c r="A29" s="110"/>
      <c r="B29" s="110" t="s">
        <v>52</v>
      </c>
      <c r="C29" s="125"/>
      <c r="D29" s="128"/>
      <c r="E29" s="129">
        <v>1</v>
      </c>
      <c r="F29" s="130" t="s">
        <v>128</v>
      </c>
      <c r="G29" s="129">
        <v>9889</v>
      </c>
      <c r="H29" s="130">
        <v>80</v>
      </c>
      <c r="I29" s="164" t="s">
        <v>151</v>
      </c>
      <c r="J29" s="164" t="s">
        <v>151</v>
      </c>
      <c r="K29" s="165" t="s">
        <v>151</v>
      </c>
      <c r="L29" s="165" t="s">
        <v>151</v>
      </c>
      <c r="M29" s="96"/>
      <c r="N29" s="96"/>
    </row>
    <row r="30" spans="1:14" x14ac:dyDescent="0.2">
      <c r="A30" s="111"/>
      <c r="B30" s="111" t="s">
        <v>52</v>
      </c>
      <c r="C30" s="128"/>
      <c r="D30" s="128"/>
      <c r="E30" s="129">
        <v>2</v>
      </c>
      <c r="F30" s="130" t="s">
        <v>128</v>
      </c>
      <c r="G30" s="130">
        <v>10061</v>
      </c>
      <c r="H30" s="130">
        <v>80</v>
      </c>
      <c r="I30" s="165" t="s">
        <v>151</v>
      </c>
      <c r="J30" s="165" t="s">
        <v>151</v>
      </c>
      <c r="K30" s="165" t="s">
        <v>151</v>
      </c>
      <c r="L30" s="165" t="s">
        <v>151</v>
      </c>
      <c r="M30" s="96"/>
      <c r="N30" s="96"/>
    </row>
    <row r="31" spans="1:14" x14ac:dyDescent="0.2">
      <c r="A31" s="111"/>
      <c r="B31" s="111" t="s">
        <v>52</v>
      </c>
      <c r="C31" s="128"/>
      <c r="D31" s="128"/>
      <c r="E31" s="129">
        <v>3</v>
      </c>
      <c r="F31" s="130" t="s">
        <v>128</v>
      </c>
      <c r="G31" s="130">
        <v>9240</v>
      </c>
      <c r="H31" s="130">
        <v>175</v>
      </c>
      <c r="I31" s="165" t="s">
        <v>151</v>
      </c>
      <c r="J31" s="165" t="s">
        <v>151</v>
      </c>
      <c r="K31" s="165" t="s">
        <v>151</v>
      </c>
      <c r="L31" s="165" t="s">
        <v>151</v>
      </c>
      <c r="M31" s="96"/>
      <c r="N31" s="96"/>
    </row>
    <row r="32" spans="1:14" x14ac:dyDescent="0.2">
      <c r="A32" s="112" t="s">
        <v>96</v>
      </c>
      <c r="B32" s="113" t="s">
        <v>52</v>
      </c>
      <c r="C32" s="122">
        <f>SUM(H29:H32)</f>
        <v>775</v>
      </c>
      <c r="D32" s="122">
        <v>775</v>
      </c>
      <c r="E32" s="123">
        <v>4</v>
      </c>
      <c r="F32" s="124" t="s">
        <v>128</v>
      </c>
      <c r="G32" s="124">
        <v>10289</v>
      </c>
      <c r="H32" s="124">
        <v>440</v>
      </c>
      <c r="I32" s="163" t="s">
        <v>151</v>
      </c>
      <c r="J32" s="163" t="s">
        <v>151</v>
      </c>
      <c r="K32" s="163" t="s">
        <v>151</v>
      </c>
      <c r="L32" s="163" t="s">
        <v>151</v>
      </c>
      <c r="M32" s="96"/>
      <c r="N32" s="96"/>
    </row>
    <row r="33" spans="1:14" x14ac:dyDescent="0.2">
      <c r="A33" s="110"/>
      <c r="B33" s="110" t="s">
        <v>53</v>
      </c>
      <c r="C33" s="125"/>
      <c r="D33" s="125"/>
      <c r="E33" s="126">
        <v>1</v>
      </c>
      <c r="F33" s="127" t="s">
        <v>128</v>
      </c>
      <c r="G33" s="127">
        <v>9500</v>
      </c>
      <c r="H33" s="127">
        <v>935</v>
      </c>
      <c r="I33" s="28" t="e">
        <f>NA()</f>
        <v>#N/A</v>
      </c>
      <c r="J33" s="165" t="s">
        <v>151</v>
      </c>
      <c r="K33" s="165" t="s">
        <v>151</v>
      </c>
      <c r="L33" s="165" t="s">
        <v>151</v>
      </c>
      <c r="M33" s="96"/>
      <c r="N33" s="96"/>
    </row>
    <row r="34" spans="1:14" x14ac:dyDescent="0.2">
      <c r="A34" s="112" t="s">
        <v>94</v>
      </c>
      <c r="B34" s="113" t="s">
        <v>53</v>
      </c>
      <c r="C34" s="122">
        <f>SUM(H33:H34)</f>
        <v>1870</v>
      </c>
      <c r="D34" s="122">
        <v>1870</v>
      </c>
      <c r="E34" s="123">
        <v>2</v>
      </c>
      <c r="F34" s="124" t="s">
        <v>128</v>
      </c>
      <c r="G34" s="124">
        <v>9500</v>
      </c>
      <c r="H34" s="124">
        <v>935</v>
      </c>
      <c r="I34" s="28" t="e">
        <f>NA()</f>
        <v>#N/A</v>
      </c>
      <c r="J34" s="165" t="s">
        <v>151</v>
      </c>
      <c r="K34" s="165" t="s">
        <v>151</v>
      </c>
      <c r="L34" s="165" t="s">
        <v>151</v>
      </c>
      <c r="M34" s="96"/>
      <c r="N34" s="96"/>
    </row>
    <row r="35" spans="1:14" x14ac:dyDescent="0.2">
      <c r="A35" s="110"/>
      <c r="B35" s="110" t="s">
        <v>54</v>
      </c>
      <c r="C35" s="125"/>
      <c r="D35" s="125"/>
      <c r="E35" s="126">
        <v>1</v>
      </c>
      <c r="F35" s="127" t="s">
        <v>128</v>
      </c>
      <c r="G35" s="127">
        <v>1107</v>
      </c>
      <c r="H35" s="127">
        <v>155</v>
      </c>
      <c r="I35" s="211" t="e">
        <f>NA()</f>
        <v>#N/A</v>
      </c>
      <c r="J35" s="169" t="s">
        <v>151</v>
      </c>
      <c r="K35" s="169" t="s">
        <v>151</v>
      </c>
      <c r="L35" s="169" t="s">
        <v>151</v>
      </c>
      <c r="M35" s="96"/>
      <c r="N35" s="96"/>
    </row>
    <row r="36" spans="1:14" x14ac:dyDescent="0.2">
      <c r="A36" s="111"/>
      <c r="B36" s="111" t="s">
        <v>54</v>
      </c>
      <c r="C36" s="128"/>
      <c r="D36" s="128"/>
      <c r="E36" s="129">
        <v>2</v>
      </c>
      <c r="F36" s="130" t="s">
        <v>128</v>
      </c>
      <c r="G36" s="130">
        <v>10947</v>
      </c>
      <c r="H36" s="130">
        <v>155</v>
      </c>
      <c r="I36" s="28" t="e">
        <f>NA()</f>
        <v>#N/A</v>
      </c>
      <c r="J36" s="165" t="s">
        <v>151</v>
      </c>
      <c r="K36" s="165" t="s">
        <v>151</v>
      </c>
      <c r="L36" s="165" t="s">
        <v>151</v>
      </c>
      <c r="M36" s="96"/>
      <c r="N36" s="96"/>
    </row>
    <row r="37" spans="1:14" x14ac:dyDescent="0.2">
      <c r="A37" s="111"/>
      <c r="B37" s="111" t="s">
        <v>54</v>
      </c>
      <c r="C37" s="128"/>
      <c r="D37" s="128"/>
      <c r="E37" s="129">
        <v>3</v>
      </c>
      <c r="F37" s="130" t="s">
        <v>129</v>
      </c>
      <c r="G37" s="130">
        <v>9467</v>
      </c>
      <c r="H37" s="130">
        <v>850</v>
      </c>
      <c r="I37" s="28" t="e">
        <f>NA()</f>
        <v>#N/A</v>
      </c>
      <c r="J37" s="166" t="s">
        <v>152</v>
      </c>
      <c r="K37" s="166" t="s">
        <v>152</v>
      </c>
      <c r="L37" s="166" t="s">
        <v>152</v>
      </c>
      <c r="M37" s="96"/>
      <c r="N37" s="96"/>
    </row>
    <row r="38" spans="1:14" x14ac:dyDescent="0.2">
      <c r="A38" s="116" t="s">
        <v>91</v>
      </c>
      <c r="B38" s="113" t="s">
        <v>54</v>
      </c>
      <c r="C38" s="122">
        <f>SUM(H35:H38)</f>
        <v>2010</v>
      </c>
      <c r="D38" s="122">
        <v>310</v>
      </c>
      <c r="E38" s="123">
        <v>4</v>
      </c>
      <c r="F38" s="124" t="s">
        <v>129</v>
      </c>
      <c r="G38" s="124">
        <v>9427</v>
      </c>
      <c r="H38" s="124">
        <v>850</v>
      </c>
      <c r="I38" s="210" t="e">
        <f>NA()</f>
        <v>#N/A</v>
      </c>
      <c r="J38" s="192" t="s">
        <v>152</v>
      </c>
      <c r="K38" s="192" t="s">
        <v>152</v>
      </c>
      <c r="L38" s="192" t="s">
        <v>152</v>
      </c>
      <c r="M38" s="96"/>
      <c r="N38" s="96"/>
    </row>
    <row r="39" spans="1:14" x14ac:dyDescent="0.2">
      <c r="A39" s="110"/>
      <c r="B39" s="110" t="s">
        <v>41</v>
      </c>
      <c r="C39" s="125"/>
      <c r="D39" s="125"/>
      <c r="E39" s="126">
        <v>1</v>
      </c>
      <c r="F39" s="127" t="s">
        <v>128</v>
      </c>
      <c r="G39" s="127">
        <v>9130</v>
      </c>
      <c r="H39" s="127">
        <v>820</v>
      </c>
      <c r="I39" s="166" t="s">
        <v>152</v>
      </c>
      <c r="J39" s="166" t="s">
        <v>152</v>
      </c>
      <c r="K39" s="166" t="s">
        <v>152</v>
      </c>
      <c r="L39" s="166" t="s">
        <v>152</v>
      </c>
      <c r="M39" s="96"/>
      <c r="N39" s="96"/>
    </row>
    <row r="40" spans="1:14" x14ac:dyDescent="0.2">
      <c r="A40" s="116" t="s">
        <v>91</v>
      </c>
      <c r="B40" s="113" t="s">
        <v>41</v>
      </c>
      <c r="C40" s="122">
        <f>SUM(H39:H40)</f>
        <v>1640</v>
      </c>
      <c r="D40" s="122">
        <v>820</v>
      </c>
      <c r="E40" s="123">
        <v>2</v>
      </c>
      <c r="F40" s="124" t="s">
        <v>128</v>
      </c>
      <c r="G40" s="124">
        <v>8891</v>
      </c>
      <c r="H40" s="124">
        <v>820</v>
      </c>
      <c r="I40" s="165" t="s">
        <v>151</v>
      </c>
      <c r="J40" s="165" t="s">
        <v>151</v>
      </c>
      <c r="K40" s="165" t="s">
        <v>151</v>
      </c>
      <c r="L40" s="165" t="s">
        <v>151</v>
      </c>
      <c r="M40" s="96"/>
      <c r="N40" s="96"/>
    </row>
    <row r="41" spans="1:14" x14ac:dyDescent="0.2">
      <c r="A41" s="110"/>
      <c r="B41" s="110" t="s">
        <v>42</v>
      </c>
      <c r="C41" s="125"/>
      <c r="D41" s="125"/>
      <c r="E41" s="126">
        <v>1</v>
      </c>
      <c r="F41" s="127" t="s">
        <v>128</v>
      </c>
      <c r="G41" s="127">
        <v>9046</v>
      </c>
      <c r="H41" s="127">
        <v>775</v>
      </c>
      <c r="I41" s="29" t="e">
        <f>NA()</f>
        <v>#N/A</v>
      </c>
      <c r="J41" s="29" t="e">
        <f>NA()</f>
        <v>#N/A</v>
      </c>
      <c r="K41" s="164" t="s">
        <v>151</v>
      </c>
      <c r="L41" s="164" t="s">
        <v>151</v>
      </c>
      <c r="M41" s="96"/>
      <c r="N41" s="96"/>
    </row>
    <row r="42" spans="1:14" x14ac:dyDescent="0.2">
      <c r="A42" s="116" t="s">
        <v>92</v>
      </c>
      <c r="B42" s="113" t="s">
        <v>42</v>
      </c>
      <c r="C42" s="122">
        <f>SUM(H41:H42)</f>
        <v>1550</v>
      </c>
      <c r="D42" s="122">
        <v>1550</v>
      </c>
      <c r="E42" s="123">
        <v>2</v>
      </c>
      <c r="F42" s="124" t="s">
        <v>128</v>
      </c>
      <c r="G42" s="124">
        <v>9054</v>
      </c>
      <c r="H42" s="124">
        <v>775</v>
      </c>
      <c r="I42" s="30" t="e">
        <f>NA()</f>
        <v>#N/A</v>
      </c>
      <c r="J42" s="30" t="e">
        <f>NA()</f>
        <v>#N/A</v>
      </c>
      <c r="K42" s="163" t="s">
        <v>151</v>
      </c>
      <c r="L42" s="163" t="s">
        <v>151</v>
      </c>
      <c r="M42" s="96"/>
      <c r="N42" s="96"/>
    </row>
    <row r="43" spans="1:14" x14ac:dyDescent="0.2">
      <c r="A43" s="110"/>
      <c r="B43" s="110" t="s">
        <v>43</v>
      </c>
      <c r="C43" s="131"/>
      <c r="D43" s="131"/>
      <c r="E43" s="126">
        <v>1</v>
      </c>
      <c r="F43" s="127" t="s">
        <v>128</v>
      </c>
      <c r="G43" s="127">
        <v>11917</v>
      </c>
      <c r="H43" s="127">
        <v>103</v>
      </c>
      <c r="I43" s="165" t="s">
        <v>151</v>
      </c>
      <c r="J43" s="165" t="s">
        <v>151</v>
      </c>
      <c r="K43" s="164" t="s">
        <v>151</v>
      </c>
      <c r="L43" s="164" t="s">
        <v>151</v>
      </c>
      <c r="M43" s="96"/>
      <c r="N43" s="96"/>
    </row>
    <row r="44" spans="1:14" x14ac:dyDescent="0.2">
      <c r="A44" s="111"/>
      <c r="B44" s="111" t="s">
        <v>43</v>
      </c>
      <c r="C44" s="132"/>
      <c r="D44" s="132"/>
      <c r="E44" s="129">
        <v>2</v>
      </c>
      <c r="F44" s="130" t="s">
        <v>128</v>
      </c>
      <c r="G44" s="130">
        <v>11806</v>
      </c>
      <c r="H44" s="130">
        <v>103</v>
      </c>
      <c r="I44" s="165" t="s">
        <v>151</v>
      </c>
      <c r="J44" s="165" t="s">
        <v>151</v>
      </c>
      <c r="K44" s="165" t="s">
        <v>151</v>
      </c>
      <c r="L44" s="165" t="s">
        <v>151</v>
      </c>
      <c r="M44" s="96"/>
      <c r="N44" s="96"/>
    </row>
    <row r="45" spans="1:14" x14ac:dyDescent="0.2">
      <c r="A45" s="111"/>
      <c r="B45" s="111" t="s">
        <v>43</v>
      </c>
      <c r="C45" s="132"/>
      <c r="D45" s="132"/>
      <c r="E45" s="129">
        <v>3</v>
      </c>
      <c r="F45" s="130" t="s">
        <v>128</v>
      </c>
      <c r="G45" s="130">
        <v>9731</v>
      </c>
      <c r="H45" s="130">
        <v>103</v>
      </c>
      <c r="I45" s="165" t="s">
        <v>151</v>
      </c>
      <c r="J45" s="165" t="s">
        <v>151</v>
      </c>
      <c r="K45" s="165" t="s">
        <v>151</v>
      </c>
      <c r="L45" s="165" t="s">
        <v>151</v>
      </c>
      <c r="M45" s="96"/>
      <c r="N45" s="96"/>
    </row>
    <row r="46" spans="1:14" x14ac:dyDescent="0.2">
      <c r="A46" s="111"/>
      <c r="B46" s="111" t="s">
        <v>43</v>
      </c>
      <c r="C46" s="132"/>
      <c r="D46" s="132"/>
      <c r="E46" s="129">
        <v>4</v>
      </c>
      <c r="F46" s="130" t="s">
        <v>128</v>
      </c>
      <c r="G46" s="130">
        <v>9601</v>
      </c>
      <c r="H46" s="130">
        <v>103</v>
      </c>
      <c r="I46" s="166" t="s">
        <v>152</v>
      </c>
      <c r="J46" s="166" t="s">
        <v>152</v>
      </c>
      <c r="K46" s="166" t="s">
        <v>152</v>
      </c>
      <c r="L46" s="166" t="s">
        <v>152</v>
      </c>
      <c r="M46" s="96"/>
      <c r="N46" s="96"/>
    </row>
    <row r="47" spans="1:14" ht="12.75" thickBot="1" x14ac:dyDescent="0.25">
      <c r="A47" s="117" t="s">
        <v>92</v>
      </c>
      <c r="B47" s="118" t="s">
        <v>43</v>
      </c>
      <c r="C47" s="133">
        <f>SUM(H43:H47)</f>
        <v>515</v>
      </c>
      <c r="D47" s="133">
        <v>412</v>
      </c>
      <c r="E47" s="134">
        <v>5</v>
      </c>
      <c r="F47" s="135" t="s">
        <v>128</v>
      </c>
      <c r="G47" s="135">
        <v>9647</v>
      </c>
      <c r="H47" s="136">
        <v>103</v>
      </c>
      <c r="I47" s="204" t="s">
        <v>151</v>
      </c>
      <c r="J47" s="204" t="s">
        <v>151</v>
      </c>
      <c r="K47" s="204" t="s">
        <v>151</v>
      </c>
      <c r="L47" s="204" t="s">
        <v>151</v>
      </c>
      <c r="M47" s="96"/>
      <c r="N47" s="96"/>
    </row>
    <row r="48" spans="1:14" x14ac:dyDescent="0.2">
      <c r="A48" s="62"/>
      <c r="B48" s="111"/>
      <c r="C48" s="137">
        <f>SUM(IF(ISNUMBER(D47),C47),IF(ISNUMBER(D42),C42),IF(ISNUMBER(D40),C40),IF(ISNUMBER(D38),C38),IF(ISNUMBER(D34),C34),IF(ISNUMBER(D32),C32),IF(ISNUMBER(D28),C28),IF(ISNUMBER(D25),C25),IF(ISNUMBER(D22),C22),IF(ISNUMBER(D18),C18),IF(ISNUMBER(D6),C6))</f>
        <v>16921</v>
      </c>
      <c r="D48" s="138">
        <f>SUM(IF(ISNUMBER(D47),D47),IF(ISNUMBER(D42),D42),IF(ISNUMBER(D40),D40),IF(ISNUMBER(D38),D38),IF(ISNUMBER(D34),D34),IF(ISNUMBER(D32),D32),IF(ISNUMBER(D28),D28),IF(ISNUMBER(D25),D25),IF(ISNUMBER(D22),D22),IF(ISNUMBER(D18),D18),IF(ISNUMBER(D6),D6))</f>
        <v>12092</v>
      </c>
      <c r="E48" s="139"/>
      <c r="F48" s="139"/>
      <c r="G48" s="140"/>
      <c r="H48" s="139"/>
      <c r="I48" s="62"/>
      <c r="J48" s="62"/>
      <c r="K48" s="62"/>
      <c r="L48" s="62"/>
    </row>
    <row r="49" spans="1:4" x14ac:dyDescent="0.2">
      <c r="A49" s="1"/>
      <c r="D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N51"/>
  <sheetViews>
    <sheetView workbookViewId="0"/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2" width="9.7109375" customWidth="1"/>
  </cols>
  <sheetData>
    <row r="1" spans="1:14" ht="15.75" x14ac:dyDescent="0.25">
      <c r="A1" s="103" t="s">
        <v>72</v>
      </c>
      <c r="B1" s="141">
        <f>ECAR!B1</f>
        <v>36831</v>
      </c>
      <c r="C1" s="142"/>
      <c r="D1" s="103"/>
      <c r="E1" s="141"/>
      <c r="F1" s="141"/>
      <c r="G1" s="103"/>
      <c r="H1" s="142"/>
      <c r="I1" s="142"/>
      <c r="J1" s="142"/>
      <c r="K1" s="142"/>
      <c r="L1" s="142"/>
      <c r="M1" s="1"/>
      <c r="N1" s="1"/>
    </row>
    <row r="2" spans="1:14" ht="15.75" x14ac:dyDescent="0.25">
      <c r="A2" s="103"/>
      <c r="B2" s="143"/>
      <c r="C2" s="218" t="s">
        <v>149</v>
      </c>
      <c r="D2" s="218" t="s">
        <v>150</v>
      </c>
      <c r="E2" s="141"/>
      <c r="F2" s="141"/>
      <c r="G2" s="103"/>
      <c r="H2" s="142"/>
      <c r="I2" s="142"/>
      <c r="J2" s="142"/>
      <c r="K2" s="142"/>
      <c r="L2" s="142"/>
      <c r="M2" s="1"/>
      <c r="N2" s="1"/>
    </row>
    <row r="3" spans="1:14" x14ac:dyDescent="0.2">
      <c r="A3" s="46"/>
      <c r="B3" s="46"/>
      <c r="C3" s="218"/>
      <c r="D3" s="220"/>
      <c r="E3" s="38"/>
      <c r="F3" s="104" t="s">
        <v>125</v>
      </c>
      <c r="G3" s="104" t="s">
        <v>140</v>
      </c>
      <c r="H3" s="159" t="s">
        <v>71</v>
      </c>
      <c r="I3" s="144" t="s">
        <v>60</v>
      </c>
      <c r="J3" s="144" t="s">
        <v>60</v>
      </c>
      <c r="K3" s="144" t="s">
        <v>60</v>
      </c>
      <c r="L3" s="144" t="s">
        <v>60</v>
      </c>
      <c r="M3" s="13" t="s">
        <v>69</v>
      </c>
      <c r="N3" s="14"/>
    </row>
    <row r="4" spans="1:14" ht="12.75" thickBot="1" x14ac:dyDescent="0.25">
      <c r="A4" s="24" t="s">
        <v>73</v>
      </c>
      <c r="B4" s="97" t="s">
        <v>50</v>
      </c>
      <c r="C4" s="219"/>
      <c r="D4" s="221"/>
      <c r="E4" s="97" t="s">
        <v>51</v>
      </c>
      <c r="F4" s="145" t="s">
        <v>126</v>
      </c>
      <c r="G4" s="97" t="s">
        <v>127</v>
      </c>
      <c r="H4" s="145" t="s">
        <v>59</v>
      </c>
      <c r="I4" s="98" t="s">
        <v>65</v>
      </c>
      <c r="J4" s="98" t="s">
        <v>66</v>
      </c>
      <c r="K4" s="98" t="s">
        <v>64</v>
      </c>
      <c r="L4" s="98" t="s">
        <v>67</v>
      </c>
      <c r="M4" s="27"/>
      <c r="N4" s="27"/>
    </row>
    <row r="5" spans="1:14" x14ac:dyDescent="0.2">
      <c r="A5" s="15" t="s">
        <v>120</v>
      </c>
      <c r="B5" s="15" t="s">
        <v>108</v>
      </c>
      <c r="C5" s="17"/>
      <c r="D5" s="17"/>
      <c r="E5" s="46">
        <v>1</v>
      </c>
      <c r="F5" s="28" t="s">
        <v>128</v>
      </c>
      <c r="G5" s="55">
        <v>9799</v>
      </c>
      <c r="H5" s="28">
        <v>240</v>
      </c>
      <c r="I5" s="215" t="e">
        <f>NA()</f>
        <v>#N/A</v>
      </c>
      <c r="J5" s="215" t="e">
        <f>NA()</f>
        <v>#N/A</v>
      </c>
      <c r="K5" s="28" t="e">
        <f>NA()</f>
        <v>#N/A</v>
      </c>
      <c r="L5" s="28" t="e">
        <f>NA()</f>
        <v>#N/A</v>
      </c>
      <c r="M5" s="96" t="s">
        <v>166</v>
      </c>
      <c r="N5" s="96"/>
    </row>
    <row r="6" spans="1:14" x14ac:dyDescent="0.2">
      <c r="A6" s="15" t="s">
        <v>120</v>
      </c>
      <c r="B6" s="15" t="s">
        <v>108</v>
      </c>
      <c r="C6" s="17"/>
      <c r="D6" s="17"/>
      <c r="E6" s="46">
        <v>2</v>
      </c>
      <c r="F6" s="28" t="s">
        <v>128</v>
      </c>
      <c r="G6" s="17">
        <v>9484</v>
      </c>
      <c r="H6" s="28">
        <v>240</v>
      </c>
      <c r="I6" s="212" t="e">
        <f>NA()</f>
        <v>#N/A</v>
      </c>
      <c r="J6" s="212" t="e">
        <f>NA()</f>
        <v>#N/A</v>
      </c>
      <c r="K6" s="28" t="e">
        <f>NA()</f>
        <v>#N/A</v>
      </c>
      <c r="L6" s="28" t="e">
        <f>NA()</f>
        <v>#N/A</v>
      </c>
      <c r="M6" s="96"/>
      <c r="N6" s="96"/>
    </row>
    <row r="7" spans="1:14" x14ac:dyDescent="0.2">
      <c r="A7" s="15" t="s">
        <v>120</v>
      </c>
      <c r="B7" s="15" t="s">
        <v>108</v>
      </c>
      <c r="C7" s="17"/>
      <c r="D7" s="17"/>
      <c r="E7" s="46">
        <v>3</v>
      </c>
      <c r="F7" s="28" t="s">
        <v>128</v>
      </c>
      <c r="G7" s="17">
        <v>8984</v>
      </c>
      <c r="H7" s="28">
        <v>640</v>
      </c>
      <c r="I7" s="212" t="e">
        <f>NA()</f>
        <v>#N/A</v>
      </c>
      <c r="J7" s="212" t="e">
        <f>NA()</f>
        <v>#N/A</v>
      </c>
      <c r="K7" s="28" t="e">
        <f>NA()</f>
        <v>#N/A</v>
      </c>
      <c r="L7" s="28" t="e">
        <f>NA()</f>
        <v>#N/A</v>
      </c>
      <c r="M7" s="96"/>
      <c r="N7" s="96"/>
    </row>
    <row r="8" spans="1:14" x14ac:dyDescent="0.2">
      <c r="A8" s="16" t="s">
        <v>120</v>
      </c>
      <c r="B8" s="16" t="s">
        <v>108</v>
      </c>
      <c r="C8" s="18">
        <f>SUM(H5:H8)</f>
        <v>1595</v>
      </c>
      <c r="D8" s="18" t="e">
        <f>NA()</f>
        <v>#N/A</v>
      </c>
      <c r="E8" s="49">
        <v>4</v>
      </c>
      <c r="F8" s="30" t="s">
        <v>130</v>
      </c>
      <c r="G8" s="18">
        <v>10655</v>
      </c>
      <c r="H8" s="30">
        <v>475</v>
      </c>
      <c r="I8" s="213" t="e">
        <f>NA()</f>
        <v>#N/A</v>
      </c>
      <c r="J8" s="213" t="e">
        <f>NA()</f>
        <v>#N/A</v>
      </c>
      <c r="K8" s="30" t="e">
        <f>NA()</f>
        <v>#N/A</v>
      </c>
      <c r="L8" s="30" t="e">
        <f>NA()</f>
        <v>#N/A</v>
      </c>
      <c r="M8" s="96"/>
      <c r="N8" s="96"/>
    </row>
    <row r="9" spans="1:14" x14ac:dyDescent="0.2">
      <c r="A9" s="21" t="s">
        <v>122</v>
      </c>
      <c r="B9" s="21" t="s">
        <v>109</v>
      </c>
      <c r="C9" s="22"/>
      <c r="D9" s="22"/>
      <c r="E9" s="100">
        <v>1</v>
      </c>
      <c r="F9" s="29" t="s">
        <v>130</v>
      </c>
      <c r="G9" s="22">
        <v>10171</v>
      </c>
      <c r="H9" s="29">
        <v>80</v>
      </c>
      <c r="I9" s="202" t="s">
        <v>152</v>
      </c>
      <c r="J9" s="202" t="s">
        <v>152</v>
      </c>
      <c r="K9" s="168" t="s">
        <v>152</v>
      </c>
      <c r="L9" s="168" t="s">
        <v>152</v>
      </c>
      <c r="M9" s="96"/>
      <c r="N9" s="96"/>
    </row>
    <row r="10" spans="1:14" x14ac:dyDescent="0.2">
      <c r="A10" s="15" t="s">
        <v>122</v>
      </c>
      <c r="B10" s="31" t="s">
        <v>109</v>
      </c>
      <c r="C10" s="4"/>
      <c r="D10" s="31"/>
      <c r="E10" s="51">
        <v>2</v>
      </c>
      <c r="F10" s="28" t="s">
        <v>130</v>
      </c>
      <c r="G10" s="6">
        <v>9912</v>
      </c>
      <c r="H10" s="28">
        <v>180</v>
      </c>
      <c r="I10" s="165" t="s">
        <v>151</v>
      </c>
      <c r="J10" s="165" t="s">
        <v>151</v>
      </c>
      <c r="K10" s="166" t="s">
        <v>152</v>
      </c>
      <c r="L10" s="166" t="s">
        <v>152</v>
      </c>
      <c r="M10" s="96"/>
      <c r="N10" s="96"/>
    </row>
    <row r="11" spans="1:14" x14ac:dyDescent="0.2">
      <c r="A11" s="16" t="s">
        <v>122</v>
      </c>
      <c r="B11" s="40" t="s">
        <v>109</v>
      </c>
      <c r="C11" s="18">
        <f>SUM(H9:H11)</f>
        <v>660</v>
      </c>
      <c r="D11" s="18">
        <v>0</v>
      </c>
      <c r="E11" s="49">
        <v>3</v>
      </c>
      <c r="F11" s="30" t="s">
        <v>128</v>
      </c>
      <c r="G11" s="18">
        <v>9640</v>
      </c>
      <c r="H11" s="30">
        <v>400</v>
      </c>
      <c r="I11" s="203" t="s">
        <v>152</v>
      </c>
      <c r="J11" s="203" t="s">
        <v>152</v>
      </c>
      <c r="K11" s="167" t="s">
        <v>152</v>
      </c>
      <c r="L11" s="167" t="s">
        <v>152</v>
      </c>
      <c r="M11" s="96"/>
      <c r="N11" s="96"/>
    </row>
    <row r="12" spans="1:14" x14ac:dyDescent="0.2">
      <c r="A12" s="21" t="s">
        <v>121</v>
      </c>
      <c r="B12" s="21" t="s">
        <v>154</v>
      </c>
      <c r="C12" s="22"/>
      <c r="D12" s="22"/>
      <c r="E12" s="100">
        <v>1</v>
      </c>
      <c r="F12" s="29" t="s">
        <v>129</v>
      </c>
      <c r="G12" s="22">
        <v>12392</v>
      </c>
      <c r="H12" s="29">
        <v>170</v>
      </c>
      <c r="I12" s="176" t="s">
        <v>151</v>
      </c>
      <c r="J12" s="176" t="s">
        <v>151</v>
      </c>
      <c r="K12" s="164" t="s">
        <v>151</v>
      </c>
      <c r="L12" s="164" t="s">
        <v>151</v>
      </c>
      <c r="M12" s="96"/>
      <c r="N12" s="96"/>
    </row>
    <row r="13" spans="1:14" x14ac:dyDescent="0.2">
      <c r="A13" s="16" t="s">
        <v>121</v>
      </c>
      <c r="B13" s="40" t="s">
        <v>154</v>
      </c>
      <c r="C13" s="18">
        <f>SUM(H12:H13)</f>
        <v>340</v>
      </c>
      <c r="D13" s="18">
        <v>340</v>
      </c>
      <c r="E13" s="49">
        <v>2</v>
      </c>
      <c r="F13" s="30" t="s">
        <v>129</v>
      </c>
      <c r="G13" s="18">
        <v>12392</v>
      </c>
      <c r="H13" s="30">
        <v>170</v>
      </c>
      <c r="I13" s="177" t="s">
        <v>151</v>
      </c>
      <c r="J13" s="177" t="s">
        <v>151</v>
      </c>
      <c r="K13" s="163" t="s">
        <v>151</v>
      </c>
      <c r="L13" s="163" t="s">
        <v>151</v>
      </c>
      <c r="M13" s="96"/>
      <c r="N13" s="96"/>
    </row>
    <row r="14" spans="1:14" x14ac:dyDescent="0.2">
      <c r="A14" s="9" t="s">
        <v>123</v>
      </c>
      <c r="B14" s="21" t="s">
        <v>99</v>
      </c>
      <c r="C14" s="22"/>
      <c r="D14" s="45"/>
      <c r="E14" s="100">
        <v>1</v>
      </c>
      <c r="F14" s="29" t="s">
        <v>130</v>
      </c>
      <c r="G14" s="22">
        <v>8991</v>
      </c>
      <c r="H14" s="29">
        <v>580</v>
      </c>
      <c r="I14" s="202" t="s">
        <v>152</v>
      </c>
      <c r="J14" s="202" t="s">
        <v>152</v>
      </c>
      <c r="K14" s="168" t="s">
        <v>152</v>
      </c>
      <c r="L14" s="168" t="s">
        <v>152</v>
      </c>
      <c r="M14" s="96"/>
      <c r="N14" s="96"/>
    </row>
    <row r="15" spans="1:14" x14ac:dyDescent="0.2">
      <c r="A15" s="7" t="s">
        <v>123</v>
      </c>
      <c r="B15" s="16" t="s">
        <v>99</v>
      </c>
      <c r="C15" s="18">
        <f>SUM(H14:H15)</f>
        <v>1160</v>
      </c>
      <c r="D15" s="18">
        <v>580</v>
      </c>
      <c r="E15" s="49">
        <v>2</v>
      </c>
      <c r="F15" s="30" t="s">
        <v>130</v>
      </c>
      <c r="G15" s="18">
        <v>9662</v>
      </c>
      <c r="H15" s="30">
        <v>580</v>
      </c>
      <c r="I15" s="177" t="s">
        <v>151</v>
      </c>
      <c r="J15" s="177" t="s">
        <v>151</v>
      </c>
      <c r="K15" s="163" t="s">
        <v>151</v>
      </c>
      <c r="L15" s="163" t="s">
        <v>151</v>
      </c>
      <c r="M15" s="96"/>
      <c r="N15" s="96"/>
    </row>
    <row r="16" spans="1:14" x14ac:dyDescent="0.2">
      <c r="A16" s="9" t="s">
        <v>120</v>
      </c>
      <c r="B16" s="21" t="s">
        <v>114</v>
      </c>
      <c r="C16" s="22"/>
      <c r="D16" s="22"/>
      <c r="E16" s="100">
        <v>9</v>
      </c>
      <c r="F16" s="29" t="s">
        <v>129</v>
      </c>
      <c r="G16" s="22">
        <v>7782</v>
      </c>
      <c r="H16" s="29">
        <v>165</v>
      </c>
      <c r="I16" s="176" t="s">
        <v>151</v>
      </c>
      <c r="J16" s="176" t="s">
        <v>151</v>
      </c>
      <c r="K16" s="164" t="s">
        <v>151</v>
      </c>
      <c r="L16" s="29" t="e">
        <f>NA()</f>
        <v>#N/A</v>
      </c>
      <c r="M16" s="96" t="s">
        <v>166</v>
      </c>
      <c r="N16" s="96"/>
    </row>
    <row r="17" spans="1:14" x14ac:dyDescent="0.2">
      <c r="A17" s="4" t="s">
        <v>120</v>
      </c>
      <c r="B17" s="15" t="s">
        <v>114</v>
      </c>
      <c r="C17" s="17"/>
      <c r="D17" s="17"/>
      <c r="E17" s="46">
        <v>10</v>
      </c>
      <c r="F17" s="28" t="s">
        <v>129</v>
      </c>
      <c r="G17" s="17">
        <v>10540</v>
      </c>
      <c r="H17" s="28">
        <v>165</v>
      </c>
      <c r="I17" s="176" t="s">
        <v>151</v>
      </c>
      <c r="J17" s="176" t="s">
        <v>151</v>
      </c>
      <c r="K17" s="165" t="s">
        <v>151</v>
      </c>
      <c r="L17" s="28" t="e">
        <f>NA()</f>
        <v>#N/A</v>
      </c>
      <c r="M17" s="96"/>
      <c r="N17" s="96"/>
    </row>
    <row r="18" spans="1:14" x14ac:dyDescent="0.2">
      <c r="A18" s="7" t="s">
        <v>120</v>
      </c>
      <c r="B18" s="16" t="s">
        <v>114</v>
      </c>
      <c r="C18" s="18">
        <f>SUM(H16:H18)</f>
        <v>495</v>
      </c>
      <c r="D18" s="18" t="e">
        <f>NA()</f>
        <v>#N/A</v>
      </c>
      <c r="E18" s="49">
        <v>11</v>
      </c>
      <c r="F18" s="30" t="s">
        <v>129</v>
      </c>
      <c r="G18" s="18">
        <v>10540</v>
      </c>
      <c r="H18" s="30">
        <v>165</v>
      </c>
      <c r="I18" s="203" t="s">
        <v>152</v>
      </c>
      <c r="J18" s="203" t="s">
        <v>152</v>
      </c>
      <c r="K18" s="163" t="s">
        <v>151</v>
      </c>
      <c r="L18" s="30" t="e">
        <f>NA()</f>
        <v>#N/A</v>
      </c>
      <c r="M18" s="96"/>
      <c r="N18" s="96"/>
    </row>
    <row r="19" spans="1:14" x14ac:dyDescent="0.2">
      <c r="A19" s="9" t="s">
        <v>119</v>
      </c>
      <c r="B19" s="21" t="s">
        <v>115</v>
      </c>
      <c r="C19" s="22"/>
      <c r="D19" s="22"/>
      <c r="E19" s="100">
        <v>1</v>
      </c>
      <c r="F19" s="29" t="s">
        <v>128</v>
      </c>
      <c r="G19" s="22">
        <v>9721</v>
      </c>
      <c r="H19" s="29">
        <v>115</v>
      </c>
      <c r="I19" s="176" t="s">
        <v>151</v>
      </c>
      <c r="J19" s="176" t="s">
        <v>151</v>
      </c>
      <c r="K19" s="164" t="s">
        <v>151</v>
      </c>
      <c r="L19" s="164" t="s">
        <v>151</v>
      </c>
      <c r="M19" s="96"/>
      <c r="N19" s="96"/>
    </row>
    <row r="20" spans="1:14" x14ac:dyDescent="0.2">
      <c r="A20" s="7" t="s">
        <v>119</v>
      </c>
      <c r="B20" s="16" t="s">
        <v>115</v>
      </c>
      <c r="C20" s="18">
        <f>SUM(H19:H20)</f>
        <v>460</v>
      </c>
      <c r="D20" s="18">
        <v>460</v>
      </c>
      <c r="E20" s="49">
        <v>2</v>
      </c>
      <c r="F20" s="30" t="s">
        <v>128</v>
      </c>
      <c r="G20" s="18">
        <v>9628</v>
      </c>
      <c r="H20" s="30">
        <v>345</v>
      </c>
      <c r="I20" s="177" t="s">
        <v>151</v>
      </c>
      <c r="J20" s="177" t="s">
        <v>151</v>
      </c>
      <c r="K20" s="163" t="s">
        <v>151</v>
      </c>
      <c r="L20" s="163" t="s">
        <v>151</v>
      </c>
      <c r="M20" s="96"/>
      <c r="N20" s="96"/>
    </row>
    <row r="21" spans="1:14" x14ac:dyDescent="0.2">
      <c r="A21" s="9" t="s">
        <v>124</v>
      </c>
      <c r="B21" s="21" t="s">
        <v>98</v>
      </c>
      <c r="C21" s="22"/>
      <c r="D21" s="22"/>
      <c r="E21" s="100">
        <v>1</v>
      </c>
      <c r="F21" s="29" t="s">
        <v>130</v>
      </c>
      <c r="G21" s="22">
        <v>10505</v>
      </c>
      <c r="H21" s="29">
        <v>65</v>
      </c>
      <c r="I21" s="166" t="s">
        <v>152</v>
      </c>
      <c r="J21" s="166" t="s">
        <v>152</v>
      </c>
      <c r="K21" s="168" t="s">
        <v>152</v>
      </c>
      <c r="L21" s="168" t="s">
        <v>152</v>
      </c>
      <c r="M21" s="96"/>
      <c r="N21" s="96"/>
    </row>
    <row r="22" spans="1:14" x14ac:dyDescent="0.2">
      <c r="A22" s="4" t="s">
        <v>124</v>
      </c>
      <c r="B22" s="15" t="s">
        <v>98</v>
      </c>
      <c r="C22" s="17"/>
      <c r="D22" s="17"/>
      <c r="E22" s="46">
        <v>2</v>
      </c>
      <c r="F22" s="28" t="s">
        <v>130</v>
      </c>
      <c r="G22" s="17">
        <v>9698</v>
      </c>
      <c r="H22" s="28">
        <v>115</v>
      </c>
      <c r="I22" s="165" t="s">
        <v>151</v>
      </c>
      <c r="J22" s="165" t="s">
        <v>151</v>
      </c>
      <c r="K22" s="165" t="s">
        <v>151</v>
      </c>
      <c r="L22" s="165" t="s">
        <v>151</v>
      </c>
      <c r="M22" s="96"/>
      <c r="N22" s="96"/>
    </row>
    <row r="23" spans="1:14" x14ac:dyDescent="0.2">
      <c r="A23" s="4" t="s">
        <v>124</v>
      </c>
      <c r="B23" s="15" t="s">
        <v>98</v>
      </c>
      <c r="C23" s="17"/>
      <c r="D23" s="17"/>
      <c r="E23" s="46">
        <v>3</v>
      </c>
      <c r="F23" s="28" t="s">
        <v>130</v>
      </c>
      <c r="G23" s="17">
        <v>8995</v>
      </c>
      <c r="H23" s="28">
        <v>235</v>
      </c>
      <c r="I23" s="165" t="s">
        <v>151</v>
      </c>
      <c r="J23" s="165" t="s">
        <v>151</v>
      </c>
      <c r="K23" s="165" t="s">
        <v>151</v>
      </c>
      <c r="L23" s="165" t="s">
        <v>151</v>
      </c>
      <c r="M23" s="96"/>
      <c r="N23" s="96"/>
    </row>
    <row r="24" spans="1:14" x14ac:dyDescent="0.2">
      <c r="A24" s="7" t="s">
        <v>124</v>
      </c>
      <c r="B24" s="20" t="s">
        <v>98</v>
      </c>
      <c r="C24" s="8">
        <f>SUM(H21:H24)</f>
        <v>815</v>
      </c>
      <c r="D24" s="19">
        <v>750</v>
      </c>
      <c r="E24" s="52">
        <v>4</v>
      </c>
      <c r="F24" s="30" t="s">
        <v>130</v>
      </c>
      <c r="G24" s="8">
        <v>10831</v>
      </c>
      <c r="H24" s="30">
        <v>400</v>
      </c>
      <c r="I24" s="177" t="s">
        <v>151</v>
      </c>
      <c r="J24" s="177" t="s">
        <v>151</v>
      </c>
      <c r="K24" s="163" t="s">
        <v>151</v>
      </c>
      <c r="L24" s="163" t="s">
        <v>151</v>
      </c>
      <c r="M24" s="96"/>
      <c r="N24" s="96"/>
    </row>
    <row r="25" spans="1:14" x14ac:dyDescent="0.2">
      <c r="A25" s="9" t="s">
        <v>117</v>
      </c>
      <c r="B25" s="21" t="s">
        <v>100</v>
      </c>
      <c r="C25" s="22"/>
      <c r="D25" s="22"/>
      <c r="E25" s="100">
        <v>4</v>
      </c>
      <c r="F25" s="29" t="s">
        <v>130</v>
      </c>
      <c r="G25" s="22">
        <v>9872</v>
      </c>
      <c r="H25" s="29">
        <v>155</v>
      </c>
      <c r="I25" s="176" t="s">
        <v>151</v>
      </c>
      <c r="J25" s="176" t="s">
        <v>151</v>
      </c>
      <c r="K25" s="164" t="s">
        <v>151</v>
      </c>
      <c r="L25" s="164" t="s">
        <v>151</v>
      </c>
      <c r="M25" s="96"/>
      <c r="N25" s="96"/>
    </row>
    <row r="26" spans="1:14" x14ac:dyDescent="0.2">
      <c r="A26" s="4" t="s">
        <v>117</v>
      </c>
      <c r="B26" s="15" t="s">
        <v>100</v>
      </c>
      <c r="C26" s="17"/>
      <c r="D26" s="17"/>
      <c r="E26" s="46">
        <v>5</v>
      </c>
      <c r="F26" s="28" t="s">
        <v>130</v>
      </c>
      <c r="G26" s="17">
        <v>10777</v>
      </c>
      <c r="H26" s="28">
        <v>155</v>
      </c>
      <c r="I26" s="176" t="s">
        <v>151</v>
      </c>
      <c r="J26" s="176" t="s">
        <v>151</v>
      </c>
      <c r="K26" s="165" t="s">
        <v>151</v>
      </c>
      <c r="L26" s="165" t="s">
        <v>151</v>
      </c>
      <c r="M26" s="96"/>
      <c r="N26" s="96"/>
    </row>
    <row r="27" spans="1:14" x14ac:dyDescent="0.2">
      <c r="A27" s="4" t="s">
        <v>117</v>
      </c>
      <c r="B27" s="15" t="s">
        <v>100</v>
      </c>
      <c r="C27" s="17"/>
      <c r="D27" s="17"/>
      <c r="E27" s="46">
        <v>6</v>
      </c>
      <c r="F27" s="28" t="s">
        <v>130</v>
      </c>
      <c r="G27" s="17">
        <v>9861</v>
      </c>
      <c r="H27" s="28">
        <v>155</v>
      </c>
      <c r="I27" s="202" t="s">
        <v>152</v>
      </c>
      <c r="J27" s="202" t="s">
        <v>152</v>
      </c>
      <c r="K27" s="166" t="s">
        <v>152</v>
      </c>
      <c r="L27" s="166" t="s">
        <v>152</v>
      </c>
      <c r="M27" s="96"/>
      <c r="N27" s="96"/>
    </row>
    <row r="28" spans="1:14" x14ac:dyDescent="0.2">
      <c r="A28" s="7" t="s">
        <v>117</v>
      </c>
      <c r="B28" s="7" t="s">
        <v>100</v>
      </c>
      <c r="C28" s="8">
        <f>SUM(H25:H28)</f>
        <v>1080</v>
      </c>
      <c r="D28" s="8">
        <v>925</v>
      </c>
      <c r="E28" s="52">
        <v>7</v>
      </c>
      <c r="F28" s="30" t="s">
        <v>130</v>
      </c>
      <c r="G28" s="8">
        <v>9597</v>
      </c>
      <c r="H28" s="30">
        <v>615</v>
      </c>
      <c r="I28" s="176" t="s">
        <v>151</v>
      </c>
      <c r="J28" s="176" t="s">
        <v>151</v>
      </c>
      <c r="K28" s="163" t="s">
        <v>151</v>
      </c>
      <c r="L28" s="163" t="s">
        <v>151</v>
      </c>
      <c r="M28" s="96"/>
      <c r="N28" s="96"/>
    </row>
    <row r="29" spans="1:14" x14ac:dyDescent="0.2">
      <c r="A29" s="9" t="s">
        <v>117</v>
      </c>
      <c r="B29" s="50" t="s">
        <v>112</v>
      </c>
      <c r="C29" s="10"/>
      <c r="D29" s="10"/>
      <c r="E29" s="54">
        <v>1</v>
      </c>
      <c r="F29" s="29" t="s">
        <v>129</v>
      </c>
      <c r="G29" s="10">
        <v>9737</v>
      </c>
      <c r="H29" s="29">
        <v>360</v>
      </c>
      <c r="I29" s="201" t="s">
        <v>151</v>
      </c>
      <c r="J29" s="201" t="s">
        <v>151</v>
      </c>
      <c r="K29" s="164" t="s">
        <v>151</v>
      </c>
      <c r="L29" s="164" t="s">
        <v>151</v>
      </c>
      <c r="M29" s="96"/>
      <c r="N29" s="96"/>
    </row>
    <row r="30" spans="1:14" x14ac:dyDescent="0.2">
      <c r="A30" s="7" t="s">
        <v>117</v>
      </c>
      <c r="B30" s="39" t="s">
        <v>112</v>
      </c>
      <c r="C30" s="8">
        <f>SUM(H29:H30)</f>
        <v>720</v>
      </c>
      <c r="D30" s="8">
        <v>360</v>
      </c>
      <c r="E30" s="52">
        <v>2</v>
      </c>
      <c r="F30" s="30" t="s">
        <v>129</v>
      </c>
      <c r="G30" s="8">
        <v>9831</v>
      </c>
      <c r="H30" s="30">
        <v>360</v>
      </c>
      <c r="I30" s="203" t="s">
        <v>152</v>
      </c>
      <c r="J30" s="203" t="s">
        <v>152</v>
      </c>
      <c r="K30" s="167" t="s">
        <v>152</v>
      </c>
      <c r="L30" s="167" t="s">
        <v>152</v>
      </c>
      <c r="M30" s="96"/>
      <c r="N30" s="96"/>
    </row>
    <row r="31" spans="1:14" x14ac:dyDescent="0.2">
      <c r="A31" s="147" t="s">
        <v>122</v>
      </c>
      <c r="B31" s="148" t="s">
        <v>70</v>
      </c>
      <c r="C31" s="149">
        <v>465</v>
      </c>
      <c r="D31" s="150">
        <v>465</v>
      </c>
      <c r="E31" s="151">
        <v>1</v>
      </c>
      <c r="F31" s="152" t="s">
        <v>130</v>
      </c>
      <c r="G31" s="153">
        <v>9373</v>
      </c>
      <c r="H31" s="160">
        <v>465</v>
      </c>
      <c r="I31" s="163" t="s">
        <v>151</v>
      </c>
      <c r="J31" s="163" t="s">
        <v>151</v>
      </c>
      <c r="K31" s="191" t="s">
        <v>151</v>
      </c>
      <c r="L31" s="191" t="s">
        <v>151</v>
      </c>
      <c r="M31" s="96"/>
      <c r="N31" s="96"/>
    </row>
    <row r="32" spans="1:14" x14ac:dyDescent="0.2">
      <c r="A32" s="147" t="s">
        <v>119</v>
      </c>
      <c r="B32" s="148" t="s">
        <v>116</v>
      </c>
      <c r="C32" s="149">
        <v>415</v>
      </c>
      <c r="D32" s="150">
        <v>0</v>
      </c>
      <c r="E32" s="151">
        <v>1</v>
      </c>
      <c r="F32" s="152" t="s">
        <v>130</v>
      </c>
      <c r="G32" s="153">
        <v>10699</v>
      </c>
      <c r="H32" s="160">
        <v>415</v>
      </c>
      <c r="I32" s="28" t="e">
        <f>NA()</f>
        <v>#N/A</v>
      </c>
      <c r="J32" s="166" t="s">
        <v>152</v>
      </c>
      <c r="K32" s="184" t="s">
        <v>152</v>
      </c>
      <c r="L32" s="184" t="s">
        <v>152</v>
      </c>
      <c r="M32" s="96"/>
      <c r="N32" s="96"/>
    </row>
    <row r="33" spans="1:14" x14ac:dyDescent="0.2">
      <c r="A33" s="9" t="s">
        <v>124</v>
      </c>
      <c r="B33" s="45" t="s">
        <v>110</v>
      </c>
      <c r="C33" s="44"/>
      <c r="D33" s="41"/>
      <c r="E33" s="100">
        <v>1</v>
      </c>
      <c r="F33" s="29" t="s">
        <v>130</v>
      </c>
      <c r="G33" s="22">
        <v>9625</v>
      </c>
      <c r="H33" s="29">
        <v>165</v>
      </c>
      <c r="I33" s="168" t="s">
        <v>152</v>
      </c>
      <c r="J33" s="168" t="s">
        <v>152</v>
      </c>
      <c r="K33" s="168" t="s">
        <v>152</v>
      </c>
      <c r="L33" s="168" t="s">
        <v>152</v>
      </c>
      <c r="M33" s="96"/>
      <c r="N33" s="96"/>
    </row>
    <row r="34" spans="1:14" x14ac:dyDescent="0.2">
      <c r="A34" s="7" t="s">
        <v>124</v>
      </c>
      <c r="B34" s="16" t="s">
        <v>110</v>
      </c>
      <c r="C34" s="43">
        <f>SUM(H33:H34)</f>
        <v>330</v>
      </c>
      <c r="D34" s="43">
        <v>0</v>
      </c>
      <c r="E34" s="49">
        <v>2</v>
      </c>
      <c r="F34" s="30" t="s">
        <v>130</v>
      </c>
      <c r="G34" s="18">
        <v>9572</v>
      </c>
      <c r="H34" s="30">
        <v>165</v>
      </c>
      <c r="I34" s="167" t="s">
        <v>152</v>
      </c>
      <c r="J34" s="167" t="s">
        <v>152</v>
      </c>
      <c r="K34" s="167" t="s">
        <v>152</v>
      </c>
      <c r="L34" s="167" t="s">
        <v>152</v>
      </c>
      <c r="M34" s="96"/>
      <c r="N34" s="96"/>
    </row>
    <row r="35" spans="1:14" x14ac:dyDescent="0.2">
      <c r="A35" s="9" t="s">
        <v>120</v>
      </c>
      <c r="B35" s="21" t="s">
        <v>113</v>
      </c>
      <c r="C35" s="41"/>
      <c r="D35" s="41"/>
      <c r="E35" s="100">
        <v>1</v>
      </c>
      <c r="F35" s="29" t="s">
        <v>128</v>
      </c>
      <c r="G35" s="22">
        <v>10405</v>
      </c>
      <c r="H35" s="29">
        <v>80</v>
      </c>
      <c r="I35" s="165" t="s">
        <v>151</v>
      </c>
      <c r="J35" s="165" t="s">
        <v>151</v>
      </c>
      <c r="K35" s="169" t="s">
        <v>151</v>
      </c>
      <c r="L35" s="169" t="s">
        <v>151</v>
      </c>
      <c r="M35" s="96"/>
      <c r="N35" s="96"/>
    </row>
    <row r="36" spans="1:14" x14ac:dyDescent="0.2">
      <c r="A36" s="4" t="s">
        <v>120</v>
      </c>
      <c r="B36" s="15" t="s">
        <v>113</v>
      </c>
      <c r="C36" s="42"/>
      <c r="D36" s="42"/>
      <c r="E36" s="46">
        <v>2</v>
      </c>
      <c r="F36" s="17" t="s">
        <v>128</v>
      </c>
      <c r="G36" s="17">
        <v>10600</v>
      </c>
      <c r="H36" s="17">
        <v>80</v>
      </c>
      <c r="I36" s="165" t="s">
        <v>151</v>
      </c>
      <c r="J36" s="165" t="s">
        <v>151</v>
      </c>
      <c r="K36" s="165" t="s">
        <v>151</v>
      </c>
      <c r="L36" s="165" t="s">
        <v>151</v>
      </c>
      <c r="M36" s="96"/>
      <c r="N36" s="96"/>
    </row>
    <row r="37" spans="1:14" x14ac:dyDescent="0.2">
      <c r="A37" s="4" t="s">
        <v>120</v>
      </c>
      <c r="B37" s="15" t="s">
        <v>113</v>
      </c>
      <c r="C37" s="42"/>
      <c r="D37" s="42"/>
      <c r="E37" s="46">
        <v>3</v>
      </c>
      <c r="F37" s="17" t="s">
        <v>128</v>
      </c>
      <c r="G37" s="17">
        <v>10312</v>
      </c>
      <c r="H37" s="17">
        <v>165</v>
      </c>
      <c r="I37" s="165" t="s">
        <v>151</v>
      </c>
      <c r="J37" s="165" t="s">
        <v>151</v>
      </c>
      <c r="K37" s="165" t="s">
        <v>151</v>
      </c>
      <c r="L37" s="165" t="s">
        <v>151</v>
      </c>
      <c r="M37" s="96"/>
      <c r="N37" s="96"/>
    </row>
    <row r="38" spans="1:14" x14ac:dyDescent="0.2">
      <c r="A38" s="7" t="s">
        <v>120</v>
      </c>
      <c r="B38" s="16" t="s">
        <v>113</v>
      </c>
      <c r="C38" s="43">
        <f>SUM(H35:H38)</f>
        <v>800</v>
      </c>
      <c r="D38" s="43">
        <v>325</v>
      </c>
      <c r="E38" s="49">
        <v>4</v>
      </c>
      <c r="F38" s="18" t="s">
        <v>130</v>
      </c>
      <c r="G38" s="18">
        <v>10595</v>
      </c>
      <c r="H38" s="18">
        <v>475</v>
      </c>
      <c r="I38" s="166" t="s">
        <v>152</v>
      </c>
      <c r="J38" s="166" t="s">
        <v>152</v>
      </c>
      <c r="K38" s="192" t="s">
        <v>152</v>
      </c>
      <c r="L38" s="192" t="s">
        <v>152</v>
      </c>
      <c r="M38" s="96"/>
      <c r="N38" s="96"/>
    </row>
    <row r="39" spans="1:14" x14ac:dyDescent="0.2">
      <c r="A39" s="9" t="s">
        <v>119</v>
      </c>
      <c r="B39" s="21" t="s">
        <v>97</v>
      </c>
      <c r="C39" s="22"/>
      <c r="D39" s="22"/>
      <c r="E39" s="100" t="s">
        <v>132</v>
      </c>
      <c r="F39" s="22" t="s">
        <v>131</v>
      </c>
      <c r="G39" s="22"/>
      <c r="H39" s="22">
        <v>105</v>
      </c>
      <c r="I39" s="216" t="s">
        <v>152</v>
      </c>
      <c r="J39" s="216" t="s">
        <v>152</v>
      </c>
      <c r="K39" s="168" t="s">
        <v>152</v>
      </c>
      <c r="L39" s="168" t="s">
        <v>152</v>
      </c>
      <c r="M39" s="96"/>
      <c r="N39" s="96"/>
    </row>
    <row r="40" spans="1:14" x14ac:dyDescent="0.2">
      <c r="A40" s="4" t="s">
        <v>119</v>
      </c>
      <c r="B40" s="15" t="s">
        <v>97</v>
      </c>
      <c r="C40" s="17"/>
      <c r="D40" s="17"/>
      <c r="E40" s="46" t="s">
        <v>133</v>
      </c>
      <c r="F40" s="17" t="s">
        <v>131</v>
      </c>
      <c r="G40" s="17">
        <v>11425</v>
      </c>
      <c r="H40" s="17">
        <v>85</v>
      </c>
      <c r="I40" s="202" t="s">
        <v>152</v>
      </c>
      <c r="J40" s="202" t="s">
        <v>152</v>
      </c>
      <c r="K40" s="166" t="s">
        <v>152</v>
      </c>
      <c r="L40" s="166" t="s">
        <v>152</v>
      </c>
      <c r="M40" s="96"/>
      <c r="N40" s="96"/>
    </row>
    <row r="41" spans="1:14" x14ac:dyDescent="0.2">
      <c r="A41" s="4" t="s">
        <v>119</v>
      </c>
      <c r="B41" s="15" t="s">
        <v>97</v>
      </c>
      <c r="C41" s="17"/>
      <c r="D41" s="17"/>
      <c r="E41" s="46" t="s">
        <v>134</v>
      </c>
      <c r="F41" s="46" t="s">
        <v>131</v>
      </c>
      <c r="G41" s="17">
        <v>11425</v>
      </c>
      <c r="H41" s="17">
        <v>85</v>
      </c>
      <c r="I41" s="202" t="s">
        <v>152</v>
      </c>
      <c r="J41" s="202" t="s">
        <v>152</v>
      </c>
      <c r="K41" s="166" t="s">
        <v>152</v>
      </c>
      <c r="L41" s="166" t="s">
        <v>152</v>
      </c>
      <c r="M41" s="96"/>
      <c r="N41" s="96"/>
    </row>
    <row r="42" spans="1:14" x14ac:dyDescent="0.2">
      <c r="A42" s="4" t="s">
        <v>119</v>
      </c>
      <c r="B42" s="15" t="s">
        <v>97</v>
      </c>
      <c r="C42" s="17"/>
      <c r="D42" s="17"/>
      <c r="E42" s="46" t="s">
        <v>135</v>
      </c>
      <c r="F42" s="46" t="s">
        <v>131</v>
      </c>
      <c r="G42" s="17"/>
      <c r="H42" s="17">
        <v>85</v>
      </c>
      <c r="I42" s="202" t="s">
        <v>152</v>
      </c>
      <c r="J42" s="202" t="s">
        <v>152</v>
      </c>
      <c r="K42" s="166" t="s">
        <v>152</v>
      </c>
      <c r="L42" s="166" t="s">
        <v>152</v>
      </c>
      <c r="M42" s="96"/>
      <c r="N42" s="96"/>
    </row>
    <row r="43" spans="1:14" x14ac:dyDescent="0.2">
      <c r="A43" s="7" t="s">
        <v>119</v>
      </c>
      <c r="B43" s="16" t="s">
        <v>97</v>
      </c>
      <c r="C43" s="49">
        <f>SUM(H39:H43)</f>
        <v>445</v>
      </c>
      <c r="D43" s="18">
        <v>85</v>
      </c>
      <c r="E43" s="49">
        <v>1</v>
      </c>
      <c r="F43" s="49" t="s">
        <v>131</v>
      </c>
      <c r="G43" s="18"/>
      <c r="H43" s="18">
        <v>85</v>
      </c>
      <c r="I43" s="176" t="s">
        <v>151</v>
      </c>
      <c r="J43" s="176" t="s">
        <v>151</v>
      </c>
      <c r="K43" s="163" t="s">
        <v>151</v>
      </c>
      <c r="L43" s="163" t="s">
        <v>151</v>
      </c>
      <c r="M43" s="96"/>
      <c r="N43" s="96"/>
    </row>
    <row r="44" spans="1:14" x14ac:dyDescent="0.2">
      <c r="A44" s="9" t="s">
        <v>118</v>
      </c>
      <c r="B44" s="45" t="s">
        <v>111</v>
      </c>
      <c r="C44" s="100"/>
      <c r="D44" s="22"/>
      <c r="E44" s="100">
        <v>3</v>
      </c>
      <c r="F44" s="154" t="s">
        <v>130</v>
      </c>
      <c r="G44" s="22">
        <v>10702</v>
      </c>
      <c r="H44" s="22">
        <v>115</v>
      </c>
      <c r="I44" s="201" t="s">
        <v>151</v>
      </c>
      <c r="J44" s="201" t="s">
        <v>151</v>
      </c>
      <c r="K44" s="164" t="s">
        <v>151</v>
      </c>
      <c r="L44" s="164" t="s">
        <v>151</v>
      </c>
      <c r="M44" s="96"/>
      <c r="N44" s="96"/>
    </row>
    <row r="45" spans="1:14" ht="12.75" thickBot="1" x14ac:dyDescent="0.25">
      <c r="A45" s="23" t="s">
        <v>118</v>
      </c>
      <c r="B45" s="48" t="s">
        <v>111</v>
      </c>
      <c r="C45" s="102">
        <f>SUM(H44:H45)</f>
        <v>745</v>
      </c>
      <c r="D45" s="26">
        <v>745</v>
      </c>
      <c r="E45" s="102">
        <v>4</v>
      </c>
      <c r="F45" s="47" t="s">
        <v>130</v>
      </c>
      <c r="G45" s="26">
        <v>10745</v>
      </c>
      <c r="H45" s="26">
        <v>630</v>
      </c>
      <c r="I45" s="207" t="s">
        <v>151</v>
      </c>
      <c r="J45" s="207" t="s">
        <v>151</v>
      </c>
      <c r="K45" s="204" t="s">
        <v>151</v>
      </c>
      <c r="L45" s="204" t="s">
        <v>151</v>
      </c>
      <c r="M45" s="96"/>
      <c r="N45" s="96"/>
    </row>
    <row r="46" spans="1:14" x14ac:dyDescent="0.2">
      <c r="C46" s="101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8435</v>
      </c>
      <c r="D46" s="105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5035</v>
      </c>
      <c r="E46" s="12"/>
      <c r="F46" s="12"/>
      <c r="G46" s="60"/>
      <c r="H46" s="1"/>
      <c r="I46" s="146"/>
      <c r="J46" s="146"/>
      <c r="K46" s="146"/>
      <c r="L46" s="146"/>
      <c r="M46" s="96"/>
      <c r="N46" s="96"/>
    </row>
    <row r="47" spans="1:14" x14ac:dyDescent="0.2">
      <c r="A47" s="155"/>
      <c r="B47" s="62"/>
      <c r="C47" s="156"/>
      <c r="D47" s="156"/>
      <c r="E47" s="157"/>
      <c r="F47" s="158"/>
      <c r="G47" s="158"/>
      <c r="H47" s="157"/>
      <c r="I47" s="146"/>
      <c r="J47" s="146"/>
      <c r="K47" s="146"/>
      <c r="L47" s="146"/>
      <c r="M47" s="96"/>
      <c r="N47" s="96"/>
    </row>
    <row r="48" spans="1:14" x14ac:dyDescent="0.2">
      <c r="A48" s="62"/>
      <c r="B48" s="62"/>
      <c r="C48" s="139"/>
      <c r="D48" s="140"/>
      <c r="E48" s="139"/>
      <c r="F48" s="139"/>
      <c r="G48" s="140"/>
      <c r="H48" s="139"/>
      <c r="I48" s="62"/>
      <c r="J48" s="62"/>
      <c r="K48" s="62"/>
      <c r="L48" s="62"/>
    </row>
    <row r="49" spans="1:1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161</vt:i4>
      </vt:variant>
    </vt:vector>
  </HeadingPairs>
  <TitlesOfParts>
    <vt:vector size="166" baseType="lpstr">
      <vt:lpstr>ECAR</vt:lpstr>
      <vt:lpstr>MAIN</vt:lpstr>
      <vt:lpstr>SPP</vt:lpstr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2023-09-17T20:06:03Z</dcterms:modified>
</cp:coreProperties>
</file>