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635F81-532D-49FF-A313-E7F79217870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pyright" sheetId="1" r:id="rId1"/>
    <sheet name="Exhibit 1" sheetId="2" r:id="rId2"/>
    <sheet name="Exhibit 2" sheetId="3" r:id="rId3"/>
    <sheet name="Exhibit 3" sheetId="4" r:id="rId4"/>
    <sheet name="Exhibit 4" sheetId="5" r:id="rId5"/>
    <sheet name="Exhibit 6" sheetId="6" r:id="rId6"/>
    <sheet name="Sheet7" sheetId="7" state="hidden" r:id="rId7"/>
    <sheet name="Sheet8" sheetId="8" state="hidden" r:id="rId8"/>
    <sheet name="Sheet9" sheetId="9" state="hidden" r:id="rId9"/>
    <sheet name="Sheet10" sheetId="10" state="hidden" r:id="rId10"/>
    <sheet name="Sheet11" sheetId="11" state="hidden" r:id="rId11"/>
    <sheet name="Sheet12" sheetId="12" state="hidden" r:id="rId12"/>
    <sheet name="Sheet13" sheetId="13" state="hidden" r:id="rId13"/>
    <sheet name="Sheet14" sheetId="14" state="hidden" r:id="rId14"/>
    <sheet name="Sheet15" sheetId="15" state="hidden" r:id="rId15"/>
    <sheet name="Sheet16" sheetId="16" state="hidden" r:id="rId16"/>
  </sheets>
  <calcPr calcId="0"/>
</workbook>
</file>

<file path=xl/calcChain.xml><?xml version="1.0" encoding="utf-8"?>
<calcChain xmlns="http://schemas.openxmlformats.org/spreadsheetml/2006/main">
  <c r="K2" i="2" l="1"/>
  <c r="E5" i="2"/>
  <c r="E6" i="2"/>
  <c r="C7" i="2"/>
  <c r="D7" i="2"/>
  <c r="E7" i="2"/>
  <c r="H8" i="2"/>
  <c r="I8" i="2"/>
  <c r="J8" i="2"/>
  <c r="K8" i="2"/>
  <c r="L8" i="2"/>
  <c r="M8" i="2"/>
  <c r="N8" i="2"/>
  <c r="O8" i="2"/>
  <c r="P8" i="2"/>
  <c r="Q8" i="2"/>
  <c r="E9" i="2"/>
  <c r="E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E12" i="2"/>
  <c r="H12" i="2"/>
  <c r="I12" i="2"/>
  <c r="J12" i="2"/>
  <c r="K12" i="2"/>
  <c r="L12" i="2"/>
  <c r="M12" i="2"/>
  <c r="N12" i="2"/>
  <c r="O12" i="2"/>
  <c r="P12" i="2"/>
  <c r="Q12" i="2"/>
  <c r="E14" i="2"/>
  <c r="H14" i="2"/>
  <c r="I14" i="2"/>
  <c r="J14" i="2"/>
  <c r="K14" i="2"/>
  <c r="L14" i="2"/>
  <c r="M14" i="2"/>
  <c r="N14" i="2"/>
  <c r="O14" i="2"/>
  <c r="P14" i="2"/>
  <c r="Q14" i="2"/>
  <c r="E15" i="2"/>
  <c r="H15" i="2"/>
  <c r="I15" i="2"/>
  <c r="J15" i="2"/>
  <c r="K15" i="2"/>
  <c r="L15" i="2"/>
  <c r="M15" i="2"/>
  <c r="N15" i="2"/>
  <c r="O15" i="2"/>
  <c r="P15" i="2"/>
  <c r="Q15" i="2"/>
  <c r="E16" i="2"/>
  <c r="H16" i="2"/>
  <c r="I16" i="2"/>
  <c r="J16" i="2"/>
  <c r="K16" i="2"/>
  <c r="L16" i="2"/>
  <c r="M16" i="2"/>
  <c r="N16" i="2"/>
  <c r="O16" i="2"/>
  <c r="P16" i="2"/>
  <c r="Q16" i="2"/>
  <c r="E17" i="2"/>
  <c r="C18" i="2"/>
  <c r="D18" i="2"/>
  <c r="E18" i="2"/>
  <c r="H18" i="2"/>
  <c r="I18" i="2"/>
  <c r="J18" i="2"/>
  <c r="K18" i="2"/>
  <c r="L18" i="2"/>
  <c r="M18" i="2"/>
  <c r="N18" i="2"/>
  <c r="O18" i="2"/>
  <c r="P18" i="2"/>
  <c r="Q18" i="2"/>
  <c r="E19" i="2"/>
  <c r="E20" i="2"/>
  <c r="H20" i="2"/>
  <c r="I20" i="2"/>
  <c r="J20" i="2"/>
  <c r="K20" i="2"/>
  <c r="L20" i="2"/>
  <c r="M20" i="2"/>
  <c r="N20" i="2"/>
  <c r="O20" i="2"/>
  <c r="P20" i="2"/>
  <c r="Q20" i="2"/>
  <c r="E21" i="2"/>
  <c r="F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H22" i="2"/>
  <c r="I22" i="2"/>
  <c r="J22" i="2"/>
  <c r="K22" i="2"/>
  <c r="L22" i="2"/>
  <c r="M22" i="2"/>
  <c r="N22" i="2"/>
  <c r="O22" i="2"/>
  <c r="P22" i="2"/>
  <c r="Q22" i="2"/>
  <c r="E23" i="2"/>
  <c r="I23" i="2"/>
  <c r="J23" i="2"/>
  <c r="K23" i="2"/>
  <c r="L23" i="2"/>
  <c r="M23" i="2"/>
  <c r="N23" i="2"/>
  <c r="O23" i="2"/>
  <c r="P23" i="2"/>
  <c r="Q23" i="2"/>
  <c r="H24" i="2"/>
  <c r="I24" i="2"/>
  <c r="J24" i="2"/>
  <c r="K24" i="2"/>
  <c r="L24" i="2"/>
  <c r="M24" i="2"/>
  <c r="N24" i="2"/>
  <c r="O24" i="2"/>
  <c r="P24" i="2"/>
  <c r="Q24" i="2"/>
  <c r="H25" i="2"/>
  <c r="I25" i="2"/>
  <c r="J25" i="2"/>
  <c r="K25" i="2"/>
  <c r="L25" i="2"/>
  <c r="M25" i="2"/>
  <c r="N25" i="2"/>
  <c r="O25" i="2"/>
  <c r="P25" i="2"/>
  <c r="Q25" i="2"/>
  <c r="H26" i="2"/>
  <c r="I26" i="2"/>
  <c r="J26" i="2"/>
  <c r="K26" i="2"/>
  <c r="L26" i="2"/>
  <c r="M26" i="2"/>
  <c r="N26" i="2"/>
  <c r="O26" i="2"/>
  <c r="P26" i="2"/>
  <c r="Q26" i="2"/>
  <c r="H27" i="2"/>
  <c r="I27" i="2"/>
  <c r="J27" i="2"/>
  <c r="K27" i="2"/>
  <c r="L27" i="2"/>
  <c r="M27" i="2"/>
  <c r="N27" i="2"/>
  <c r="O27" i="2"/>
  <c r="P27" i="2"/>
  <c r="Q27" i="2"/>
  <c r="H28" i="2"/>
  <c r="I28" i="2"/>
  <c r="J28" i="2"/>
  <c r="K28" i="2"/>
  <c r="L28" i="2"/>
  <c r="M28" i="2"/>
  <c r="N28" i="2"/>
  <c r="O28" i="2"/>
  <c r="P28" i="2"/>
  <c r="Q28" i="2"/>
  <c r="H29" i="2"/>
  <c r="I29" i="2"/>
  <c r="J29" i="2"/>
  <c r="K29" i="2"/>
  <c r="L29" i="2"/>
  <c r="M29" i="2"/>
  <c r="N29" i="2"/>
  <c r="O29" i="2"/>
  <c r="P29" i="2"/>
  <c r="Q29" i="2"/>
  <c r="H30" i="2"/>
  <c r="I30" i="2"/>
  <c r="J30" i="2"/>
  <c r="K30" i="2"/>
  <c r="L30" i="2"/>
  <c r="M30" i="2"/>
  <c r="N30" i="2"/>
  <c r="O30" i="2"/>
  <c r="P30" i="2"/>
  <c r="Q30" i="2"/>
  <c r="H31" i="2"/>
  <c r="H32" i="2"/>
  <c r="H33" i="2"/>
  <c r="H34" i="2"/>
  <c r="H35" i="2"/>
  <c r="H37" i="2"/>
  <c r="I37" i="2"/>
  <c r="J37" i="2"/>
  <c r="K37" i="2"/>
  <c r="L37" i="2"/>
  <c r="M37" i="2"/>
  <c r="G38" i="2"/>
  <c r="H40" i="2"/>
  <c r="I40" i="2"/>
  <c r="J40" i="2"/>
  <c r="K40" i="2"/>
  <c r="L40" i="2"/>
  <c r="M40" i="2"/>
  <c r="N40" i="2"/>
  <c r="O40" i="2"/>
  <c r="P40" i="2"/>
  <c r="Q40" i="2"/>
  <c r="H46" i="2"/>
  <c r="I46" i="2"/>
  <c r="J46" i="2"/>
  <c r="K46" i="2"/>
  <c r="L46" i="2"/>
  <c r="M46" i="2"/>
  <c r="N46" i="2"/>
  <c r="O46" i="2"/>
  <c r="P46" i="2"/>
  <c r="Q46" i="2"/>
  <c r="C10" i="3"/>
  <c r="D10" i="3"/>
  <c r="C13" i="3"/>
  <c r="D13" i="3"/>
  <c r="C21" i="3"/>
  <c r="D21" i="3"/>
  <c r="C24" i="3"/>
  <c r="D24" i="3"/>
  <c r="C32" i="3"/>
  <c r="D32" i="3"/>
  <c r="C6" i="4"/>
  <c r="E6" i="4"/>
  <c r="F6" i="4"/>
  <c r="G6" i="4"/>
  <c r="D11" i="4"/>
</calcChain>
</file>

<file path=xl/sharedStrings.xml><?xml version="1.0" encoding="utf-8"?>
<sst xmlns="http://schemas.openxmlformats.org/spreadsheetml/2006/main" count="181" uniqueCount="147">
  <si>
    <t>NETSCAPE'S INITIAL PUBLIC OFFERING</t>
  </si>
  <si>
    <t>Harvard Business School</t>
  </si>
  <si>
    <t>Case Software 2-296-728</t>
  </si>
  <si>
    <t xml:space="preserve">Copyright © 1996 by the President and Fellows of Harvard College. </t>
  </si>
  <si>
    <t>Research Associate Kendall H. Backstrand wrote this case under the supervision</t>
  </si>
  <si>
    <t xml:space="preserve">of Professor W. Carl Kester as the basis for class discussion rather than to </t>
  </si>
  <si>
    <t>illustrate either effective or ineffective handling of an administrative situation.</t>
  </si>
  <si>
    <t>Exhibit 1     Consolidated Income Statements for Netscape Communications Corporation</t>
  </si>
  <si>
    <t>Inception (April 4 to December 31, 1994)</t>
  </si>
  <si>
    <t>Six Months Ended June 30, 1995</t>
  </si>
  <si>
    <t>Revenues:</t>
  </si>
  <si>
    <t xml:space="preserve">   Product revenues</t>
  </si>
  <si>
    <t xml:space="preserve">   Service revenues</t>
  </si>
  <si>
    <t xml:space="preserve">   Total Revenues</t>
  </si>
  <si>
    <t>Cost of Revenues:</t>
  </si>
  <si>
    <t xml:space="preserve">   Cost of product revenues</t>
  </si>
  <si>
    <t xml:space="preserve">   Cost of service revenues</t>
  </si>
  <si>
    <t xml:space="preserve">   Total Cost of Revenues</t>
  </si>
  <si>
    <t>Gross profit</t>
  </si>
  <si>
    <t>Operating Expenses:</t>
  </si>
  <si>
    <t xml:space="preserve">   Research and development</t>
  </si>
  <si>
    <t xml:space="preserve">   Sales and marketing</t>
  </si>
  <si>
    <t xml:space="preserve">   General and administrative</t>
  </si>
  <si>
    <t xml:space="preserve">   Property rights agreement and related charges</t>
  </si>
  <si>
    <t xml:space="preserve">   Total Operating Expenses</t>
  </si>
  <si>
    <t>Operating loss</t>
  </si>
  <si>
    <t>Interest income</t>
  </si>
  <si>
    <t>Interest expense</t>
  </si>
  <si>
    <t>Net loss</t>
  </si>
  <si>
    <t>Net loss per share</t>
  </si>
  <si>
    <t>Shares used in computing net loss per share</t>
  </si>
  <si>
    <t>Exhibit 2     Consolidated Balance Sheets for Netscape Communications Corporation</t>
  </si>
  <si>
    <t>December 31,1994</t>
  </si>
  <si>
    <t>June 30,1995</t>
  </si>
  <si>
    <t>Assets</t>
  </si>
  <si>
    <t>Cash and short-term equivalents</t>
  </si>
  <si>
    <t>Short-term investments</t>
  </si>
  <si>
    <t>--</t>
  </si>
  <si>
    <t>Accounts receivable</t>
  </si>
  <si>
    <t>Other current assets</t>
  </si>
  <si>
    <t xml:space="preserve">   Total current assets</t>
  </si>
  <si>
    <t>Property and equipment, net</t>
  </si>
  <si>
    <t>Deposits and other assets</t>
  </si>
  <si>
    <t xml:space="preserve">   Total Assets</t>
  </si>
  <si>
    <t>Liabilities and Stockholders' Equity</t>
  </si>
  <si>
    <t>Accounts payable</t>
  </si>
  <si>
    <t>Accrued compensation and related liabilities</t>
  </si>
  <si>
    <t>Other accrued liabilities</t>
  </si>
  <si>
    <t>Deferred revenues</t>
  </si>
  <si>
    <t>Current portion of long-term obligations</t>
  </si>
  <si>
    <t>Installment notes payable</t>
  </si>
  <si>
    <t xml:space="preserve">   Total current liabilities</t>
  </si>
  <si>
    <t>Long-term obligations</t>
  </si>
  <si>
    <t xml:space="preserve">   Total Liabilities</t>
  </si>
  <si>
    <t>Preferred stock, $0.0001 par value</t>
  </si>
  <si>
    <t>Common stock, $0.0001 par value</t>
  </si>
  <si>
    <t>Additional paid-in capital</t>
  </si>
  <si>
    <t>Notes receivable from stockholders</t>
  </si>
  <si>
    <t>Deferred compensation</t>
  </si>
  <si>
    <t>Accumulated deficit</t>
  </si>
  <si>
    <t>Accumulated translation adjustment</t>
  </si>
  <si>
    <t xml:space="preserve">Total Stockholders' Equity </t>
  </si>
  <si>
    <t>Total Liabilities and Stockholders' Equity</t>
  </si>
  <si>
    <t>Exhibit 3     Comparative Information on Potential Competitors (for year ended June 30, 1995; in $000s except per-share data)</t>
  </si>
  <si>
    <t>Netscape(a)</t>
  </si>
  <si>
    <t>America Online, Inc.</t>
  </si>
  <si>
    <t>Microsoft Corp.</t>
  </si>
  <si>
    <t>Spyglass, Inc.</t>
  </si>
  <si>
    <t>Net revenues</t>
  </si>
  <si>
    <t>Operating expenses</t>
  </si>
  <si>
    <t>Operating income (loss)</t>
  </si>
  <si>
    <t>Net income (loss)</t>
  </si>
  <si>
    <t>Earnings per share</t>
  </si>
  <si>
    <t>Weighted average shares outstanding</t>
  </si>
  <si>
    <t>Capital expenditures</t>
  </si>
  <si>
    <t>Depreciation, depletion, and amortization</t>
  </si>
  <si>
    <t>Current assets</t>
  </si>
  <si>
    <t xml:space="preserve">     Cash and short-term investments</t>
  </si>
  <si>
    <t>Total assets</t>
  </si>
  <si>
    <t>Current liabilities</t>
  </si>
  <si>
    <t>Total liabilities</t>
  </si>
  <si>
    <t>Net worth</t>
  </si>
  <si>
    <t>Current ratio</t>
  </si>
  <si>
    <t>Debt/total capital</t>
  </si>
  <si>
    <t>Common stock price (close)</t>
  </si>
  <si>
    <t>N/A</t>
  </si>
  <si>
    <t>P/E ratio</t>
  </si>
  <si>
    <t>Equity beta(b)</t>
  </si>
  <si>
    <t xml:space="preserve">(a)  Netscape's financial data reflects the company's performance since inception in April 1994.  </t>
  </si>
  <si>
    <t>Netscape did not begin to ship products or earn significant product revenues until December 1994.</t>
  </si>
  <si>
    <t>(b)  Bloomberg estimates based on weekly data for the year ended June 30, 1995.</t>
  </si>
  <si>
    <t>Exhibit 4     Historical Data of the IPO Market</t>
  </si>
  <si>
    <t>All IPOs:</t>
  </si>
  <si>
    <t xml:space="preserve">   Number of companies</t>
  </si>
  <si>
    <t xml:space="preserve">   Total dollar amount offered (in $ billions)</t>
  </si>
  <si>
    <t xml:space="preserve">   Average % gain after first day of trading</t>
  </si>
  <si>
    <t>Venture-backed IPOs:</t>
  </si>
  <si>
    <t xml:space="preserve">   Average age of companies</t>
  </si>
  <si>
    <t xml:space="preserve">   Average offering size (in $ millions)</t>
  </si>
  <si>
    <t xml:space="preserve">   Average offering valuation (in $ millions)</t>
  </si>
  <si>
    <t>Exhibit 6     Information on Internet-related IPOs (for the respective fiscal year preceding the IPO)</t>
  </si>
  <si>
    <t>Netcom Online Communication Services, Inc.</t>
  </si>
  <si>
    <t>Performance Systems International, Inc.</t>
  </si>
  <si>
    <t>Uunet Technologies Inc.</t>
  </si>
  <si>
    <t>(year ended 12/31/93)</t>
  </si>
  <si>
    <t>(year ended 12/31/94)</t>
  </si>
  <si>
    <t>(year ended 9/30/94)</t>
  </si>
  <si>
    <t>Financial Data:</t>
  </si>
  <si>
    <t>Operating costs and expenses</t>
  </si>
  <si>
    <t>Operating income</t>
  </si>
  <si>
    <t>Net income</t>
  </si>
  <si>
    <t>(5,342,000</t>
  </si>
  <si>
    <t>IPO Data:</t>
  </si>
  <si>
    <t>Date of IPO</t>
  </si>
  <si>
    <t>Price per share offered</t>
  </si>
  <si>
    <t>Number of shares offered</t>
  </si>
  <si>
    <t>% of total equity sold</t>
  </si>
  <si>
    <t>% change in stock price after first day of trading</t>
  </si>
  <si>
    <t>Price per share on August 8, 1995</t>
  </si>
  <si>
    <t>R&amp;D</t>
  </si>
  <si>
    <t>Other Operating Expenses</t>
  </si>
  <si>
    <t>Total Operating Expenses</t>
  </si>
  <si>
    <t>Total Revenues</t>
  </si>
  <si>
    <t>Total Cost of Revenues</t>
  </si>
  <si>
    <t>Gross Profit</t>
  </si>
  <si>
    <t>Operating Gain/(Loss)</t>
  </si>
  <si>
    <t>Interest Income</t>
  </si>
  <si>
    <t>Interest Expense</t>
  </si>
  <si>
    <t>NI Before Income Tax Expense</t>
  </si>
  <si>
    <t>Net Income</t>
  </si>
  <si>
    <t>Income Tax Expense (34%)</t>
  </si>
  <si>
    <t>Earnings per Share</t>
  </si>
  <si>
    <t>NPV per Share</t>
  </si>
  <si>
    <t>EBI (NOPLAT)</t>
  </si>
  <si>
    <t>Add: Depreciation</t>
  </si>
  <si>
    <t>CFO (excl. int.)</t>
  </si>
  <si>
    <t>Less: Capital Expenditures, net</t>
  </si>
  <si>
    <t>FCF (free cash flow)</t>
  </si>
  <si>
    <t>PV of shareholders' equity (in millions)</t>
  </si>
  <si>
    <t>Shares outstanding</t>
  </si>
  <si>
    <t>Price per share</t>
  </si>
  <si>
    <t>Add Interest Exp (1-t)</t>
  </si>
  <si>
    <t>WACC =</t>
  </si>
  <si>
    <t>PV of free cash flows (2005 and beyond)</t>
  </si>
  <si>
    <t>Growth 1995-2000</t>
  </si>
  <si>
    <t>Growth 2000-2005</t>
  </si>
  <si>
    <t>PV of free cash flows (1996-2000)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</si>
</sst>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_);\(#,##0.0\)"/>
    <numFmt numFmtId="167" formatCode="_(&quot;$&quot;* #,##0_);_(&quot;$&quot;* \(#,##0\);_(&quot;$&quot;* &quot;-&quot;??_);_(@_)"/>
    <numFmt numFmtId="171" formatCode="_(* #,##0_);_(* \(#,##0\);_(* &quot;-&quot;??_);_(@_)"/>
    <numFmt numFmtId="174" formatCode="0.000%"/>
  </numFmts>
  <fonts count="8">
    <font>
      <sz val="10"/>
      <name val="Geneva"/>
    </font>
    <font>
      <b/>
      <sz val="10"/>
      <name val="Geneva"/>
    </font>
    <font>
      <sz val="10"/>
      <name val="Geneva"/>
    </font>
    <font>
      <b/>
      <sz val="12"/>
      <name val="Geneva"/>
    </font>
    <font>
      <u/>
      <sz val="10"/>
      <name val="Geneva"/>
    </font>
    <font>
      <sz val="10"/>
      <color indexed="10"/>
      <name val="Geneva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 wrapText="1"/>
    </xf>
    <xf numFmtId="6" fontId="0" fillId="0" borderId="0" xfId="0" applyNumberFormat="1" applyAlignment="1">
      <alignment horizontal="center"/>
    </xf>
    <xf numFmtId="3" fontId="4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6" fontId="0" fillId="0" borderId="1" xfId="0" applyNumberFormat="1" applyBorder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wrapText="1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2" xfId="0" applyNumberFormat="1" applyBorder="1" applyAlignment="1">
      <alignment horizontal="center"/>
    </xf>
    <xf numFmtId="40" fontId="0" fillId="0" borderId="0" xfId="0" applyNumberFormat="1" applyAlignment="1">
      <alignment horizontal="center"/>
    </xf>
    <xf numFmtId="6" fontId="0" fillId="0" borderId="0" xfId="0" applyNumberFormat="1"/>
    <xf numFmtId="8" fontId="0" fillId="0" borderId="0" xfId="0" applyNumberFormat="1"/>
    <xf numFmtId="3" fontId="0" fillId="0" borderId="0" xfId="0" applyNumberFormat="1" applyAlignment="1">
      <alignment horizontal="left" indent="1"/>
    </xf>
    <xf numFmtId="6" fontId="1" fillId="0" borderId="0" xfId="0" applyNumberFormat="1" applyFont="1"/>
    <xf numFmtId="164" fontId="5" fillId="0" borderId="0" xfId="0" applyNumberFormat="1" applyFont="1"/>
    <xf numFmtId="6" fontId="0" fillId="0" borderId="0" xfId="0" applyNumberFormat="1" applyAlignment="1">
      <alignment horizontal="left"/>
    </xf>
    <xf numFmtId="44" fontId="0" fillId="0" borderId="0" xfId="2" applyFont="1"/>
    <xf numFmtId="10" fontId="0" fillId="0" borderId="0" xfId="3" applyNumberFormat="1" applyFont="1"/>
    <xf numFmtId="0" fontId="0" fillId="2" borderId="0" xfId="0" applyFill="1"/>
    <xf numFmtId="10" fontId="0" fillId="2" borderId="0" xfId="3" applyNumberFormat="1" applyFont="1" applyFill="1"/>
    <xf numFmtId="174" fontId="0" fillId="2" borderId="0" xfId="3" applyNumberFormat="1" applyFont="1" applyFill="1"/>
    <xf numFmtId="0" fontId="2" fillId="2" borderId="0" xfId="0" applyFont="1" applyFill="1"/>
    <xf numFmtId="167" fontId="0" fillId="2" borderId="0" xfId="2" applyNumberFormat="1" applyFont="1" applyFill="1"/>
    <xf numFmtId="0" fontId="6" fillId="2" borderId="0" xfId="0" applyFont="1" applyFill="1"/>
    <xf numFmtId="6" fontId="0" fillId="2" borderId="0" xfId="0" applyNumberFormat="1" applyFill="1"/>
    <xf numFmtId="0" fontId="7" fillId="2" borderId="0" xfId="0" applyFont="1" applyFill="1"/>
    <xf numFmtId="6" fontId="0" fillId="2" borderId="0" xfId="2" applyNumberFormat="1" applyFont="1" applyFill="1"/>
    <xf numFmtId="165" fontId="7" fillId="2" borderId="0" xfId="0" applyNumberFormat="1" applyFont="1" applyFill="1" applyBorder="1"/>
    <xf numFmtId="171" fontId="0" fillId="2" borderId="0" xfId="1" applyNumberFormat="1" applyFont="1" applyFill="1"/>
    <xf numFmtId="2" fontId="6" fillId="2" borderId="0" xfId="0" applyNumberFormat="1" applyFont="1" applyFill="1"/>
    <xf numFmtId="44" fontId="0" fillId="2" borderId="0" xfId="2" applyFont="1" applyFill="1"/>
    <xf numFmtId="0" fontId="1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GridLines="0" workbookViewId="0"/>
  </sheetViews>
  <sheetFormatPr defaultColWidth="11.42578125" defaultRowHeight="12.75"/>
  <sheetData>
    <row r="1" spans="1:1" ht="15.75">
      <c r="A1" s="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6"/>
  <sheetViews>
    <sheetView showGridLines="0" tabSelected="1" topLeftCell="G2" zoomScale="75" workbookViewId="0">
      <selection activeCell="H4" sqref="H4"/>
    </sheetView>
  </sheetViews>
  <sheetFormatPr defaultColWidth="11.42578125" defaultRowHeight="12.75"/>
  <cols>
    <col min="1" max="1" width="2.7109375" customWidth="1"/>
    <col min="2" max="2" width="82.85546875" bestFit="1" customWidth="1"/>
    <col min="3" max="3" width="22.7109375" customWidth="1"/>
    <col min="4" max="4" width="21.42578125" customWidth="1"/>
    <col min="5" max="6" width="11.42578125" customWidth="1"/>
    <col min="7" max="7" width="40.5703125" bestFit="1" customWidth="1"/>
    <col min="8" max="8" width="15.42578125" bestFit="1" customWidth="1"/>
    <col min="9" max="9" width="12.42578125" customWidth="1"/>
    <col min="10" max="10" width="14" customWidth="1"/>
    <col min="11" max="11" width="12.7109375" bestFit="1" customWidth="1"/>
    <col min="12" max="13" width="14.28515625" bestFit="1" customWidth="1"/>
    <col min="14" max="15" width="12.7109375" bestFit="1" customWidth="1"/>
    <col min="16" max="18" width="14.28515625" bestFit="1" customWidth="1"/>
  </cols>
  <sheetData>
    <row r="2" spans="2:19">
      <c r="B2" s="2" t="s">
        <v>7</v>
      </c>
      <c r="G2" t="s">
        <v>144</v>
      </c>
      <c r="H2" s="26">
        <v>0.6</v>
      </c>
      <c r="J2" s="2" t="s">
        <v>132</v>
      </c>
      <c r="K2" s="28">
        <f>(SUM(H46:Q46))+((Q40/(0.0271))/1.0671^11)</f>
        <v>279.82555327586203</v>
      </c>
      <c r="L2" s="43" t="s">
        <v>142</v>
      </c>
      <c r="M2" s="31">
        <v>0.13</v>
      </c>
    </row>
    <row r="3" spans="2:19" ht="14.25" customHeight="1">
      <c r="C3" s="3" t="s">
        <v>8</v>
      </c>
      <c r="D3" s="3" t="s">
        <v>9</v>
      </c>
      <c r="E3">
        <v>1995</v>
      </c>
      <c r="G3" t="s">
        <v>145</v>
      </c>
      <c r="H3" s="26">
        <v>0.3</v>
      </c>
    </row>
    <row r="4" spans="2:19" ht="6.75" customHeight="1">
      <c r="B4" s="2" t="s">
        <v>10</v>
      </c>
    </row>
    <row r="5" spans="2:19" ht="7.5" customHeight="1">
      <c r="B5" t="s">
        <v>11</v>
      </c>
      <c r="C5" s="4">
        <v>378490</v>
      </c>
      <c r="D5" s="4">
        <v>15580258</v>
      </c>
      <c r="E5" s="22">
        <f>D5*2</f>
        <v>31160516</v>
      </c>
      <c r="F5" s="22"/>
      <c r="G5" s="22"/>
    </row>
    <row r="6" spans="2:19">
      <c r="B6" t="s">
        <v>12</v>
      </c>
      <c r="C6" s="5">
        <v>317381</v>
      </c>
      <c r="D6" s="5">
        <v>1045133</v>
      </c>
      <c r="E6" s="22">
        <f>D6*2</f>
        <v>2090266</v>
      </c>
      <c r="F6" s="22"/>
      <c r="G6" s="22"/>
      <c r="H6">
        <v>1996</v>
      </c>
      <c r="I6">
        <v>1997</v>
      </c>
      <c r="J6">
        <v>1998</v>
      </c>
      <c r="K6">
        <v>1999</v>
      </c>
      <c r="L6">
        <v>2000</v>
      </c>
      <c r="M6">
        <v>2001</v>
      </c>
      <c r="N6">
        <v>2002</v>
      </c>
      <c r="O6">
        <v>2003</v>
      </c>
      <c r="P6">
        <v>2004</v>
      </c>
      <c r="Q6">
        <v>2005</v>
      </c>
    </row>
    <row r="7" spans="2:19" ht="9" customHeight="1">
      <c r="B7" t="s">
        <v>13</v>
      </c>
      <c r="C7" s="6">
        <f>SUM(C5:C6)</f>
        <v>695871</v>
      </c>
      <c r="D7" s="6">
        <f>SUM(D5:D6)</f>
        <v>16625391</v>
      </c>
      <c r="E7" s="22">
        <f>E5+E6</f>
        <v>33250782</v>
      </c>
      <c r="F7" s="22"/>
      <c r="G7" s="22"/>
    </row>
    <row r="8" spans="2:19" ht="17.100000000000001" customHeight="1">
      <c r="B8" s="2" t="s">
        <v>14</v>
      </c>
      <c r="C8" s="7"/>
      <c r="D8" s="7"/>
      <c r="G8" s="2" t="s">
        <v>122</v>
      </c>
      <c r="H8" s="22">
        <f>E7*(1+$H$2)</f>
        <v>53201251.200000003</v>
      </c>
      <c r="I8" s="22">
        <f>H8*(1+$H$2)</f>
        <v>85122001.920000017</v>
      </c>
      <c r="J8" s="22">
        <f>I8*(1+$H$2)</f>
        <v>136195203.07200003</v>
      </c>
      <c r="K8" s="22">
        <f>J8*(1+$H$2)</f>
        <v>217912324.91520005</v>
      </c>
      <c r="L8" s="22">
        <f>K8*(1+$H$2)</f>
        <v>348659719.8643201</v>
      </c>
      <c r="M8" s="22">
        <f>L8*(1+$H$3)</f>
        <v>453257635.82361615</v>
      </c>
      <c r="N8" s="22">
        <f>M8*(1+$H$3)</f>
        <v>589234926.570701</v>
      </c>
      <c r="O8" s="22">
        <f>N8*(1+$H$3)</f>
        <v>766005404.54191136</v>
      </c>
      <c r="P8" s="22">
        <f>O8*(1+$H$3)</f>
        <v>995807025.90448475</v>
      </c>
      <c r="Q8" s="22">
        <f>P8*(1+$H$3)</f>
        <v>1294549133.6758301</v>
      </c>
      <c r="R8" s="22"/>
      <c r="S8" s="22"/>
    </row>
    <row r="9" spans="2:19" ht="17.100000000000001" customHeight="1">
      <c r="B9" t="s">
        <v>15</v>
      </c>
      <c r="C9" s="6">
        <v>114777</v>
      </c>
      <c r="D9" s="6">
        <v>1222045</v>
      </c>
      <c r="E9" s="22">
        <f>D9*2</f>
        <v>2444090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2:19" ht="17.100000000000001" customHeight="1">
      <c r="B10" t="s">
        <v>16</v>
      </c>
      <c r="C10" s="5">
        <v>104313</v>
      </c>
      <c r="D10" s="5">
        <v>513767</v>
      </c>
      <c r="E10" s="22">
        <f>D10*2</f>
        <v>1027534</v>
      </c>
      <c r="F10" s="22"/>
      <c r="G10" s="25" t="s">
        <v>123</v>
      </c>
      <c r="H10" s="22">
        <f>H8*0.104</f>
        <v>5532930.1248000003</v>
      </c>
      <c r="I10" s="22">
        <f t="shared" ref="I10:Q10" si="0">I8*0.104</f>
        <v>8852688.1996800005</v>
      </c>
      <c r="J10" s="22">
        <f t="shared" si="0"/>
        <v>14164301.119488003</v>
      </c>
      <c r="K10" s="22">
        <f t="shared" si="0"/>
        <v>22662881.791180804</v>
      </c>
      <c r="L10" s="22">
        <f t="shared" si="0"/>
        <v>36260610.865889288</v>
      </c>
      <c r="M10" s="22">
        <f t="shared" si="0"/>
        <v>47138794.125656076</v>
      </c>
      <c r="N10" s="22">
        <f t="shared" si="0"/>
        <v>61280432.363352902</v>
      </c>
      <c r="O10" s="22">
        <f t="shared" si="0"/>
        <v>79664562.072358772</v>
      </c>
      <c r="P10" s="22">
        <f t="shared" si="0"/>
        <v>103563930.69406641</v>
      </c>
      <c r="Q10" s="22">
        <f t="shared" si="0"/>
        <v>134633109.90228632</v>
      </c>
      <c r="R10" s="22"/>
      <c r="S10" s="22"/>
    </row>
    <row r="11" spans="2:19" ht="18" customHeight="1">
      <c r="B11" t="s">
        <v>17</v>
      </c>
      <c r="C11" s="6">
        <f>SUM(C9:C10)</f>
        <v>219090</v>
      </c>
      <c r="D11" s="6">
        <f>SUM(D9:D10)</f>
        <v>1735812</v>
      </c>
      <c r="E11" s="22">
        <f>E9+E10</f>
        <v>3471624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2:19" ht="24.95" customHeight="1">
      <c r="B12" s="2" t="s">
        <v>18</v>
      </c>
      <c r="C12" s="6">
        <v>476781</v>
      </c>
      <c r="D12" s="6">
        <v>14889579</v>
      </c>
      <c r="E12" s="22">
        <f>E7-E11</f>
        <v>29779158</v>
      </c>
      <c r="F12" s="22"/>
      <c r="G12" s="25" t="s">
        <v>124</v>
      </c>
      <c r="H12" s="22">
        <f>H8-H10</f>
        <v>47668321.075200006</v>
      </c>
      <c r="I12" s="22">
        <f t="shared" ref="I12:Q12" si="1">I8-I10</f>
        <v>76269313.720320016</v>
      </c>
      <c r="J12" s="22">
        <f t="shared" si="1"/>
        <v>122030901.95251203</v>
      </c>
      <c r="K12" s="22">
        <f t="shared" si="1"/>
        <v>195249443.12401927</v>
      </c>
      <c r="L12" s="22">
        <f t="shared" si="1"/>
        <v>312399108.99843079</v>
      </c>
      <c r="M12" s="22">
        <f t="shared" si="1"/>
        <v>406118841.69796008</v>
      </c>
      <c r="N12" s="22">
        <f t="shared" si="1"/>
        <v>527954494.20734811</v>
      </c>
      <c r="O12" s="22">
        <f t="shared" si="1"/>
        <v>686340842.46955264</v>
      </c>
      <c r="P12" s="22">
        <f t="shared" si="1"/>
        <v>892243095.21041834</v>
      </c>
      <c r="Q12" s="22">
        <f t="shared" si="1"/>
        <v>1159916023.7735438</v>
      </c>
      <c r="R12" s="22"/>
      <c r="S12" s="22"/>
    </row>
    <row r="13" spans="2:19" ht="27" customHeight="1">
      <c r="B13" s="2" t="s">
        <v>19</v>
      </c>
      <c r="C13" s="7"/>
      <c r="D13" s="7"/>
      <c r="G13" s="2" t="s">
        <v>19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2:19" ht="15.95" customHeight="1">
      <c r="B14" t="s">
        <v>20</v>
      </c>
      <c r="C14" s="6">
        <v>2031986</v>
      </c>
      <c r="D14" s="6">
        <v>6115152</v>
      </c>
      <c r="E14" s="6">
        <f>D14*2</f>
        <v>12230304</v>
      </c>
      <c r="F14" s="6"/>
      <c r="G14" s="24" t="s">
        <v>119</v>
      </c>
      <c r="H14" s="22">
        <f>H8*0.368</f>
        <v>19578060.441600002</v>
      </c>
      <c r="I14" s="22">
        <f t="shared" ref="I14:Q14" si="2">I8*0.368</f>
        <v>31324896.706560005</v>
      </c>
      <c r="J14" s="22">
        <f t="shared" si="2"/>
        <v>50119834.730496012</v>
      </c>
      <c r="K14" s="22">
        <f t="shared" si="2"/>
        <v>80191735.568793625</v>
      </c>
      <c r="L14" s="22">
        <f t="shared" si="2"/>
        <v>128306776.91006979</v>
      </c>
      <c r="M14" s="22">
        <f t="shared" si="2"/>
        <v>166798809.98309073</v>
      </c>
      <c r="N14" s="22">
        <f t="shared" si="2"/>
        <v>216838452.97801796</v>
      </c>
      <c r="O14" s="22">
        <f t="shared" si="2"/>
        <v>281889988.87142336</v>
      </c>
      <c r="P14" s="22">
        <f t="shared" si="2"/>
        <v>366456985.53285038</v>
      </c>
      <c r="Q14" s="22">
        <f t="shared" si="2"/>
        <v>476394081.19270545</v>
      </c>
      <c r="R14" s="22"/>
      <c r="S14" s="22"/>
    </row>
    <row r="15" spans="2:19" ht="15.95" customHeight="1">
      <c r="B15" t="s">
        <v>21</v>
      </c>
      <c r="C15" s="6">
        <v>2813689</v>
      </c>
      <c r="D15" s="6">
        <v>9256066</v>
      </c>
      <c r="E15" s="6">
        <f>D15*2</f>
        <v>18512132</v>
      </c>
      <c r="F15" s="6"/>
      <c r="G15" s="24" t="s">
        <v>120</v>
      </c>
      <c r="H15" s="22">
        <f>H8*0.709</f>
        <v>37719687.1008</v>
      </c>
      <c r="I15" s="22">
        <f>H8*0.609</f>
        <v>32399561.980800003</v>
      </c>
      <c r="J15" s="22">
        <f>H8*0.509</f>
        <v>27079436.860800002</v>
      </c>
      <c r="K15" s="22">
        <f>H8*0.409</f>
        <v>21759311.740800001</v>
      </c>
      <c r="L15" s="22">
        <f>H8*0.309</f>
        <v>16439186.620800002</v>
      </c>
      <c r="M15" s="22">
        <f>H8*0.209</f>
        <v>11119061.500800001</v>
      </c>
      <c r="N15" s="22">
        <f>I8*0.209</f>
        <v>17790498.401280005</v>
      </c>
      <c r="O15" s="22">
        <f>J8*0.209</f>
        <v>28464797.442048006</v>
      </c>
      <c r="P15" s="22">
        <f>K8*0.209</f>
        <v>45543675.907276809</v>
      </c>
      <c r="Q15" s="22">
        <f>L8*0.209</f>
        <v>72869881.451642901</v>
      </c>
      <c r="R15" s="22"/>
      <c r="S15" s="22"/>
    </row>
    <row r="16" spans="2:19" ht="15.95" customHeight="1">
      <c r="B16" t="s">
        <v>22</v>
      </c>
      <c r="C16" s="6">
        <v>1669193</v>
      </c>
      <c r="D16" s="6">
        <v>3693005</v>
      </c>
      <c r="E16" s="6">
        <f>D16*2</f>
        <v>7386010</v>
      </c>
      <c r="F16" s="6"/>
      <c r="G16" s="24" t="s">
        <v>121</v>
      </c>
      <c r="H16" s="22">
        <f>H14+H15</f>
        <v>57297747.542400002</v>
      </c>
      <c r="I16" s="22">
        <f t="shared" ref="I16:Q16" si="3">I14+I15</f>
        <v>63724458.687360004</v>
      </c>
      <c r="J16" s="22">
        <f t="shared" si="3"/>
        <v>77199271.591296017</v>
      </c>
      <c r="K16" s="22">
        <f t="shared" si="3"/>
        <v>101951047.30959362</v>
      </c>
      <c r="L16" s="22">
        <f t="shared" si="3"/>
        <v>144745963.53086978</v>
      </c>
      <c r="M16" s="22">
        <f t="shared" si="3"/>
        <v>177917871.48389074</v>
      </c>
      <c r="N16" s="22">
        <f t="shared" si="3"/>
        <v>234628951.37929797</v>
      </c>
      <c r="O16" s="22">
        <f t="shared" si="3"/>
        <v>310354786.31347138</v>
      </c>
      <c r="P16" s="22">
        <f t="shared" si="3"/>
        <v>412000661.44012719</v>
      </c>
      <c r="Q16" s="22">
        <f t="shared" si="3"/>
        <v>549263962.64434838</v>
      </c>
      <c r="R16" s="22"/>
      <c r="S16" s="22"/>
    </row>
    <row r="17" spans="2:19" ht="18" customHeight="1">
      <c r="B17" t="s">
        <v>23</v>
      </c>
      <c r="C17" s="5">
        <v>2486688</v>
      </c>
      <c r="D17" s="5">
        <v>500000</v>
      </c>
      <c r="E17" s="6">
        <f>D17*2</f>
        <v>1000000</v>
      </c>
      <c r="F17" s="6"/>
      <c r="G17" s="6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2:19" ht="18" customHeight="1">
      <c r="B18" t="s">
        <v>24</v>
      </c>
      <c r="C18" s="6">
        <f>SUM(C14:C17)</f>
        <v>9001556</v>
      </c>
      <c r="D18" s="6">
        <f>SUM(D14:D17)</f>
        <v>19564223</v>
      </c>
      <c r="E18" s="6">
        <f>SUM(E14:E17)</f>
        <v>39128446</v>
      </c>
      <c r="F18" s="6"/>
      <c r="G18" s="6" t="s">
        <v>125</v>
      </c>
      <c r="H18" s="22">
        <f>H12-H16</f>
        <v>-9629426.4671999961</v>
      </c>
      <c r="I18" s="22">
        <f t="shared" ref="I18:Q18" si="4">I12-I16</f>
        <v>12544855.032960013</v>
      </c>
      <c r="J18" s="22">
        <f t="shared" si="4"/>
        <v>44831630.361216009</v>
      </c>
      <c r="K18" s="22">
        <f t="shared" si="4"/>
        <v>93298395.814425647</v>
      </c>
      <c r="L18" s="22">
        <f t="shared" si="4"/>
        <v>167653145.46756101</v>
      </c>
      <c r="M18" s="22">
        <f t="shared" si="4"/>
        <v>228200970.21406934</v>
      </c>
      <c r="N18" s="22">
        <f t="shared" si="4"/>
        <v>293325542.82805014</v>
      </c>
      <c r="O18" s="22">
        <f t="shared" si="4"/>
        <v>375986056.15608126</v>
      </c>
      <c r="P18" s="22">
        <f t="shared" si="4"/>
        <v>480242433.77029115</v>
      </c>
      <c r="Q18" s="22">
        <f t="shared" si="4"/>
        <v>610652061.12919545</v>
      </c>
      <c r="R18" s="22"/>
      <c r="S18" s="22"/>
    </row>
    <row r="19" spans="2:19" ht="24.95" customHeight="1">
      <c r="B19" t="s">
        <v>25</v>
      </c>
      <c r="C19" s="6">
        <v>-8524775</v>
      </c>
      <c r="D19" s="6">
        <v>-4674644</v>
      </c>
      <c r="E19" s="22">
        <f>E12-E18</f>
        <v>-9349288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2:19" ht="17.100000000000001" customHeight="1">
      <c r="B20" t="s">
        <v>26</v>
      </c>
      <c r="C20" s="6">
        <v>55238</v>
      </c>
      <c r="D20" s="6">
        <v>495583</v>
      </c>
      <c r="E20">
        <f>D20*2</f>
        <v>991166</v>
      </c>
      <c r="G20" t="s">
        <v>126</v>
      </c>
      <c r="H20" s="22">
        <f>E20*(1+$H$2)</f>
        <v>1585865.6</v>
      </c>
      <c r="I20" s="22">
        <f>H20*(1+$H$2)</f>
        <v>2537384.9600000004</v>
      </c>
      <c r="J20" s="22">
        <f t="shared" ref="J20:Q20" si="5">I20*(1+$H$2)</f>
        <v>4059815.9360000007</v>
      </c>
      <c r="K20" s="22">
        <f t="shared" si="5"/>
        <v>6495705.4976000013</v>
      </c>
      <c r="L20" s="22">
        <f t="shared" si="5"/>
        <v>10393128.796160003</v>
      </c>
      <c r="M20" s="22">
        <f t="shared" si="5"/>
        <v>16629006.073856005</v>
      </c>
      <c r="N20" s="22">
        <f t="shared" si="5"/>
        <v>26606409.718169611</v>
      </c>
      <c r="O20" s="22">
        <f t="shared" si="5"/>
        <v>42570255.549071379</v>
      </c>
      <c r="P20" s="22">
        <f t="shared" si="5"/>
        <v>68112408.878514215</v>
      </c>
      <c r="Q20" s="22">
        <f t="shared" si="5"/>
        <v>108979854.20562275</v>
      </c>
      <c r="R20" s="22"/>
      <c r="S20" s="22"/>
    </row>
    <row r="21" spans="2:19" ht="17.100000000000001" customHeight="1">
      <c r="B21" t="s">
        <v>27</v>
      </c>
      <c r="C21" s="8">
        <v>-308</v>
      </c>
      <c r="D21" s="5">
        <v>-128655</v>
      </c>
      <c r="E21">
        <f>D21*2</f>
        <v>-257310</v>
      </c>
      <c r="F21" s="31">
        <f>-E21/E7</f>
        <v>7.7384646171629887E-3</v>
      </c>
      <c r="G21" t="s">
        <v>127</v>
      </c>
      <c r="H21" s="22">
        <f>E21*(1+$H$2)</f>
        <v>-411696</v>
      </c>
      <c r="I21" s="22">
        <f>H21*(1+$H$2)</f>
        <v>-658713.60000000009</v>
      </c>
      <c r="J21" s="22">
        <f t="shared" ref="J21:Q21" si="6">I21*(1+$H$2)</f>
        <v>-1053941.7600000002</v>
      </c>
      <c r="K21" s="22">
        <f t="shared" si="6"/>
        <v>-1686306.8160000006</v>
      </c>
      <c r="L21" s="22">
        <f t="shared" si="6"/>
        <v>-2698090.9056000011</v>
      </c>
      <c r="M21" s="22">
        <f t="shared" si="6"/>
        <v>-4316945.4489600016</v>
      </c>
      <c r="N21" s="22">
        <f t="shared" si="6"/>
        <v>-6907112.7183360029</v>
      </c>
      <c r="O21" s="22">
        <f t="shared" si="6"/>
        <v>-11051380.349337606</v>
      </c>
      <c r="P21" s="22">
        <f t="shared" si="6"/>
        <v>-17682208.558940168</v>
      </c>
      <c r="Q21" s="22">
        <f t="shared" si="6"/>
        <v>-28291533.694304273</v>
      </c>
      <c r="R21" s="22"/>
    </row>
    <row r="22" spans="2:19" ht="17.100000000000001" customHeight="1">
      <c r="B22" t="s">
        <v>28</v>
      </c>
      <c r="C22" s="4">
        <f>SUM(C19:C21)</f>
        <v>-8469845</v>
      </c>
      <c r="D22" s="4">
        <f>SUM(D19:D21)</f>
        <v>-4307716</v>
      </c>
      <c r="E22" s="4">
        <f>SUM(E19:E21)</f>
        <v>-8615432</v>
      </c>
      <c r="F22" s="4"/>
      <c r="G22" s="27" t="s">
        <v>128</v>
      </c>
      <c r="H22" s="22">
        <f>H18+H20+H21</f>
        <v>-8455256.8671999965</v>
      </c>
      <c r="I22" s="22">
        <f t="shared" ref="I22:Q22" si="7">I18+I20+I21</f>
        <v>14423526.392960014</v>
      </c>
      <c r="J22" s="22">
        <f t="shared" si="7"/>
        <v>47837504.537216015</v>
      </c>
      <c r="K22" s="22">
        <f t="shared" si="7"/>
        <v>98107794.496025652</v>
      </c>
      <c r="L22" s="22">
        <f t="shared" si="7"/>
        <v>175348183.35812101</v>
      </c>
      <c r="M22" s="22">
        <f t="shared" si="7"/>
        <v>240513030.83896533</v>
      </c>
      <c r="N22" s="22">
        <f t="shared" si="7"/>
        <v>313024839.82788378</v>
      </c>
      <c r="O22" s="22">
        <f t="shared" si="7"/>
        <v>407504931.35581505</v>
      </c>
      <c r="P22" s="22">
        <f t="shared" si="7"/>
        <v>530672634.08986521</v>
      </c>
      <c r="Q22" s="22">
        <f t="shared" si="7"/>
        <v>691340381.64051402</v>
      </c>
    </row>
    <row r="23" spans="2:19" ht="15.95" customHeight="1">
      <c r="B23" t="s">
        <v>29</v>
      </c>
      <c r="C23" s="9">
        <v>-0.26</v>
      </c>
      <c r="D23" s="9">
        <v>-0.13</v>
      </c>
      <c r="E23" s="23">
        <f>E22/E24</f>
        <v>-0.26106775570046875</v>
      </c>
      <c r="F23" s="23"/>
      <c r="G23" s="23" t="s">
        <v>130</v>
      </c>
      <c r="I23" s="22">
        <f>0.34*I22</f>
        <v>4903998.9736064048</v>
      </c>
      <c r="J23" s="22">
        <f t="shared" ref="J23:Q23" si="8">0.34*J22</f>
        <v>16264751.542653447</v>
      </c>
      <c r="K23" s="22">
        <f t="shared" si="8"/>
        <v>33356650.128648724</v>
      </c>
      <c r="L23" s="22">
        <f t="shared" si="8"/>
        <v>59618382.341761149</v>
      </c>
      <c r="M23" s="22">
        <f t="shared" si="8"/>
        <v>81774430.485248223</v>
      </c>
      <c r="N23" s="22">
        <f t="shared" si="8"/>
        <v>106428445.5414805</v>
      </c>
      <c r="O23" s="22">
        <f t="shared" si="8"/>
        <v>138551676.66097713</v>
      </c>
      <c r="P23" s="22">
        <f t="shared" si="8"/>
        <v>180428695.59055418</v>
      </c>
      <c r="Q23" s="22">
        <f t="shared" si="8"/>
        <v>235055729.75777477</v>
      </c>
    </row>
    <row r="24" spans="2:19" ht="15.95" customHeight="1">
      <c r="B24" t="s">
        <v>30</v>
      </c>
      <c r="C24" s="6">
        <v>32256307</v>
      </c>
      <c r="D24" s="6">
        <v>33000751</v>
      </c>
      <c r="E24" s="6">
        <v>33000751</v>
      </c>
      <c r="F24" s="6"/>
      <c r="G24" s="2" t="s">
        <v>129</v>
      </c>
      <c r="H24" s="22">
        <f t="shared" ref="H24:Q24" si="9">H22-H23</f>
        <v>-8455256.8671999965</v>
      </c>
      <c r="I24" s="22">
        <f t="shared" si="9"/>
        <v>9519527.419353608</v>
      </c>
      <c r="J24" s="22">
        <f t="shared" si="9"/>
        <v>31572752.994562566</v>
      </c>
      <c r="K24" s="22">
        <f t="shared" si="9"/>
        <v>64751144.367376924</v>
      </c>
      <c r="L24" s="22">
        <f t="shared" si="9"/>
        <v>115729801.01635987</v>
      </c>
      <c r="M24" s="22">
        <f t="shared" si="9"/>
        <v>158738600.35371709</v>
      </c>
      <c r="N24" s="22">
        <f t="shared" si="9"/>
        <v>206596394.2864033</v>
      </c>
      <c r="O24" s="22">
        <f t="shared" si="9"/>
        <v>268953254.69483793</v>
      </c>
      <c r="P24" s="22">
        <f t="shared" si="9"/>
        <v>350243938.49931103</v>
      </c>
      <c r="Q24" s="22">
        <f t="shared" si="9"/>
        <v>456284651.88273925</v>
      </c>
    </row>
    <row r="25" spans="2:19">
      <c r="G25" s="33" t="s">
        <v>141</v>
      </c>
      <c r="H25" s="34">
        <f>($F$21*H8)*(1-0.34)</f>
        <v>271719.36</v>
      </c>
      <c r="I25" s="34">
        <f t="shared" ref="I25:Q25" si="10">($F$21*I8)*(1-0.34)</f>
        <v>434750.97600000002</v>
      </c>
      <c r="J25" s="34">
        <f t="shared" si="10"/>
        <v>695601.56160000013</v>
      </c>
      <c r="K25" s="34">
        <f t="shared" si="10"/>
        <v>1112962.49856</v>
      </c>
      <c r="L25" s="34">
        <f t="shared" si="10"/>
        <v>1780739.9976960002</v>
      </c>
      <c r="M25" s="34">
        <f t="shared" si="10"/>
        <v>2314961.9970048005</v>
      </c>
      <c r="N25" s="34">
        <f t="shared" si="10"/>
        <v>3009450.5961062405</v>
      </c>
      <c r="O25" s="34">
        <f t="shared" si="10"/>
        <v>3912285.7749381131</v>
      </c>
      <c r="P25" s="34">
        <f t="shared" si="10"/>
        <v>5085971.5074195471</v>
      </c>
      <c r="Q25" s="34">
        <f t="shared" si="10"/>
        <v>6611762.959645411</v>
      </c>
    </row>
    <row r="26" spans="2:19">
      <c r="G26" s="35" t="s">
        <v>133</v>
      </c>
      <c r="H26" s="36">
        <f>H24+H25</f>
        <v>-8183537.5071999962</v>
      </c>
      <c r="I26" s="36">
        <f t="shared" ref="I26:Q26" si="11">I24+I25</f>
        <v>9954278.3953536078</v>
      </c>
      <c r="J26" s="36">
        <f t="shared" si="11"/>
        <v>32268354.556162566</v>
      </c>
      <c r="K26" s="36">
        <f t="shared" si="11"/>
        <v>65864106.86593692</v>
      </c>
      <c r="L26" s="36">
        <f t="shared" si="11"/>
        <v>117510541.01405586</v>
      </c>
      <c r="M26" s="36">
        <f t="shared" si="11"/>
        <v>161053562.3507219</v>
      </c>
      <c r="N26" s="36">
        <f t="shared" si="11"/>
        <v>209605844.88250953</v>
      </c>
      <c r="O26" s="36">
        <f t="shared" si="11"/>
        <v>272865540.46977603</v>
      </c>
      <c r="P26" s="36">
        <f t="shared" si="11"/>
        <v>355329910.00673056</v>
      </c>
      <c r="Q26" s="36">
        <f t="shared" si="11"/>
        <v>462896414.84238464</v>
      </c>
    </row>
    <row r="27" spans="2:19">
      <c r="G27" s="37" t="s">
        <v>134</v>
      </c>
      <c r="H27" s="36">
        <f>0.055*H8</f>
        <v>2926068.8160000001</v>
      </c>
      <c r="I27" s="36">
        <f t="shared" ref="I27:Q27" si="12">0.055*I8</f>
        <v>4681710.1056000013</v>
      </c>
      <c r="J27" s="36">
        <f t="shared" si="12"/>
        <v>7490736.1689600013</v>
      </c>
      <c r="K27" s="36">
        <f t="shared" si="12"/>
        <v>11985177.870336004</v>
      </c>
      <c r="L27" s="36">
        <f t="shared" si="12"/>
        <v>19176284.592537604</v>
      </c>
      <c r="M27" s="36">
        <f t="shared" si="12"/>
        <v>24929169.97029889</v>
      </c>
      <c r="N27" s="36">
        <f t="shared" si="12"/>
        <v>32407920.961388554</v>
      </c>
      <c r="O27" s="36">
        <f t="shared" si="12"/>
        <v>42130297.249805123</v>
      </c>
      <c r="P27" s="36">
        <f t="shared" si="12"/>
        <v>54769386.424746662</v>
      </c>
      <c r="Q27" s="36">
        <f t="shared" si="12"/>
        <v>71200202.352170661</v>
      </c>
    </row>
    <row r="28" spans="2:19">
      <c r="G28" s="35" t="s">
        <v>135</v>
      </c>
      <c r="H28" s="36">
        <f>H26+H27</f>
        <v>-5257468.6911999956</v>
      </c>
      <c r="I28" s="36">
        <f t="shared" ref="I28:Q28" si="13">I26+I27</f>
        <v>14635988.500953609</v>
      </c>
      <c r="J28" s="36">
        <f t="shared" si="13"/>
        <v>39759090.725122571</v>
      </c>
      <c r="K28" s="36">
        <f t="shared" si="13"/>
        <v>77849284.736272931</v>
      </c>
      <c r="L28" s="36">
        <f t="shared" si="13"/>
        <v>136686825.60659346</v>
      </c>
      <c r="M28" s="36">
        <f t="shared" si="13"/>
        <v>185982732.32102078</v>
      </c>
      <c r="N28" s="36">
        <f t="shared" si="13"/>
        <v>242013765.84389809</v>
      </c>
      <c r="O28" s="36">
        <f t="shared" si="13"/>
        <v>314995837.71958113</v>
      </c>
      <c r="P28" s="36">
        <f t="shared" si="13"/>
        <v>410099296.43147719</v>
      </c>
      <c r="Q28" s="36">
        <f t="shared" si="13"/>
        <v>534096617.19455528</v>
      </c>
    </row>
    <row r="29" spans="2:19">
      <c r="G29" s="37" t="s">
        <v>136</v>
      </c>
      <c r="H29" s="36">
        <f t="shared" ref="H29:Q29" si="14">H8*H37</f>
        <v>21262766.729600001</v>
      </c>
      <c r="I29" s="36">
        <f t="shared" si="14"/>
        <v>29054976.655360006</v>
      </c>
      <c r="J29" s="36">
        <f t="shared" si="14"/>
        <v>38543242.469376005</v>
      </c>
      <c r="K29" s="36">
        <f t="shared" si="14"/>
        <v>48957635.664281607</v>
      </c>
      <c r="L29" s="36">
        <f t="shared" si="14"/>
        <v>57993733.404098555</v>
      </c>
      <c r="M29" s="36">
        <f t="shared" si="14"/>
        <v>48951824.668950513</v>
      </c>
      <c r="N29" s="36">
        <f t="shared" si="14"/>
        <v>63637372.069635704</v>
      </c>
      <c r="O29" s="36">
        <f t="shared" si="14"/>
        <v>82728583.690526426</v>
      </c>
      <c r="P29" s="36">
        <f t="shared" si="14"/>
        <v>107547158.79768436</v>
      </c>
      <c r="Q29" s="36">
        <f t="shared" si="14"/>
        <v>139811306.43698967</v>
      </c>
    </row>
    <row r="30" spans="2:19">
      <c r="G30" s="35" t="s">
        <v>137</v>
      </c>
      <c r="H30" s="36">
        <f>H28-H29</f>
        <v>-26520235.420799997</v>
      </c>
      <c r="I30" s="36">
        <f t="shared" ref="I30:Q30" si="15">I28-I29</f>
        <v>-14418988.154406397</v>
      </c>
      <c r="J30" s="36">
        <f t="shared" si="15"/>
        <v>1215848.2557465658</v>
      </c>
      <c r="K30" s="36">
        <f t="shared" si="15"/>
        <v>28891649.071991324</v>
      </c>
      <c r="L30" s="36">
        <f t="shared" si="15"/>
        <v>78693092.202494904</v>
      </c>
      <c r="M30" s="36">
        <f t="shared" si="15"/>
        <v>137030907.65207028</v>
      </c>
      <c r="N30" s="36">
        <f t="shared" si="15"/>
        <v>178376393.77426237</v>
      </c>
      <c r="O30" s="36">
        <f t="shared" si="15"/>
        <v>232267254.0290547</v>
      </c>
      <c r="P30" s="36">
        <f t="shared" si="15"/>
        <v>302552137.63379282</v>
      </c>
      <c r="Q30" s="36">
        <f t="shared" si="15"/>
        <v>394285310.75756562</v>
      </c>
    </row>
    <row r="31" spans="2:19">
      <c r="G31" s="35" t="s">
        <v>146</v>
      </c>
      <c r="H31" s="38">
        <f>NPV(M$2,H$30:L$30)</f>
        <v>26512473.331374679</v>
      </c>
      <c r="I31" s="36"/>
      <c r="J31" s="36"/>
      <c r="K31" s="36"/>
      <c r="L31" s="36"/>
      <c r="M31" s="36"/>
      <c r="N31" s="36"/>
      <c r="O31" s="36"/>
      <c r="P31" s="36"/>
      <c r="Q31" s="36"/>
    </row>
    <row r="32" spans="2:19">
      <c r="G32" s="35" t="s">
        <v>143</v>
      </c>
      <c r="H32" s="36">
        <f>(Q30/M2)/1.13^10</f>
        <v>893475833.74205625</v>
      </c>
      <c r="I32" s="30"/>
      <c r="J32" s="30"/>
      <c r="K32" s="30"/>
      <c r="L32" s="30"/>
      <c r="M32" s="30"/>
      <c r="N32" s="30"/>
      <c r="O32" s="30"/>
      <c r="P32" s="30"/>
      <c r="Q32" s="30"/>
    </row>
    <row r="33" spans="7:17">
      <c r="G33" s="39" t="s">
        <v>138</v>
      </c>
      <c r="H33" s="36">
        <f>H31+H32</f>
        <v>919988307.0734309</v>
      </c>
      <c r="I33" s="36"/>
      <c r="J33" s="36"/>
      <c r="K33" s="36"/>
      <c r="L33" s="36"/>
      <c r="M33" s="36"/>
      <c r="N33" s="36"/>
      <c r="O33" s="36"/>
      <c r="P33" s="36"/>
      <c r="Q33" s="36"/>
    </row>
    <row r="34" spans="7:17">
      <c r="G34" s="37" t="s">
        <v>139</v>
      </c>
      <c r="H34" s="40">
        <f>E24</f>
        <v>33000751</v>
      </c>
      <c r="I34" s="36"/>
      <c r="J34" s="36"/>
      <c r="K34" s="36"/>
      <c r="L34" s="36"/>
      <c r="M34" s="36"/>
      <c r="N34" s="36"/>
      <c r="O34" s="36"/>
      <c r="P34" s="36"/>
      <c r="Q34" s="36"/>
    </row>
    <row r="35" spans="7:17">
      <c r="G35" s="41" t="s">
        <v>140</v>
      </c>
      <c r="H35" s="42">
        <f>H33/H34</f>
        <v>27.877799116554375</v>
      </c>
      <c r="I35" s="36"/>
      <c r="J35" s="36"/>
      <c r="K35" s="36"/>
      <c r="L35" s="36"/>
      <c r="M35" s="36"/>
      <c r="N35" s="36"/>
      <c r="O35" s="36"/>
      <c r="P35" s="36"/>
      <c r="Q35" s="36"/>
    </row>
    <row r="36" spans="7:17"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7:17">
      <c r="G37" s="31">
        <v>0.45800000000000002</v>
      </c>
      <c r="H37" s="31">
        <f t="shared" ref="H37:M37" si="16">G37-$G$38</f>
        <v>0.39966666666666667</v>
      </c>
      <c r="I37" s="31">
        <f t="shared" si="16"/>
        <v>0.34133333333333332</v>
      </c>
      <c r="J37" s="31">
        <f t="shared" si="16"/>
        <v>0.28299999999999997</v>
      </c>
      <c r="K37" s="31">
        <f t="shared" si="16"/>
        <v>0.22466666666666663</v>
      </c>
      <c r="L37" s="31">
        <f t="shared" si="16"/>
        <v>0.16633333333333328</v>
      </c>
      <c r="M37" s="31">
        <f t="shared" si="16"/>
        <v>0.10799999999999993</v>
      </c>
      <c r="N37" s="31">
        <v>0.108</v>
      </c>
      <c r="O37" s="31">
        <v>0.108</v>
      </c>
      <c r="P37" s="31">
        <v>0.108</v>
      </c>
      <c r="Q37" s="31">
        <v>0.108</v>
      </c>
    </row>
    <row r="38" spans="7:17">
      <c r="G38" s="31">
        <f>(0.458-0.108)/6</f>
        <v>5.8333333333333341E-2</v>
      </c>
      <c r="H38" s="29"/>
      <c r="I38" s="29"/>
      <c r="J38" s="29"/>
      <c r="K38" s="29"/>
      <c r="L38" s="29"/>
      <c r="M38" s="29"/>
      <c r="N38" s="29"/>
    </row>
    <row r="40" spans="7:17">
      <c r="G40" s="2" t="s">
        <v>131</v>
      </c>
      <c r="H40" s="23">
        <f t="shared" ref="H40:Q40" si="17">H24/$E$24</f>
        <v>-0.25621407425546155</v>
      </c>
      <c r="I40" s="23">
        <f t="shared" si="17"/>
        <v>0.28846396311870626</v>
      </c>
      <c r="J40" s="23">
        <f t="shared" si="17"/>
        <v>0.95672831792714552</v>
      </c>
      <c r="K40" s="23">
        <f t="shared" si="17"/>
        <v>1.9621112370253915</v>
      </c>
      <c r="L40" s="23">
        <f t="shared" si="17"/>
        <v>3.5068838589873264</v>
      </c>
      <c r="M40" s="23">
        <f t="shared" si="17"/>
        <v>4.8101511494001175</v>
      </c>
      <c r="N40" s="23">
        <f t="shared" si="17"/>
        <v>6.2603543260698311</v>
      </c>
      <c r="O40" s="23">
        <f t="shared" si="17"/>
        <v>8.1499131548502621</v>
      </c>
      <c r="P40" s="23">
        <f t="shared" si="17"/>
        <v>10.613211150840508</v>
      </c>
      <c r="Q40" s="23">
        <f t="shared" si="17"/>
        <v>13.826492975348932</v>
      </c>
    </row>
    <row r="44" spans="7:17">
      <c r="H44">
        <v>1</v>
      </c>
      <c r="I44">
        <v>2</v>
      </c>
      <c r="J44">
        <v>3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</row>
    <row r="46" spans="7:17">
      <c r="H46">
        <f>H40/(1.067^H44)</f>
        <v>-0.24012565534719921</v>
      </c>
      <c r="I46">
        <f t="shared" ref="I46:Q46" si="18">I40/(1.067^I44)</f>
        <v>0.2533743963434924</v>
      </c>
      <c r="J46">
        <f t="shared" si="18"/>
        <v>0.78758125385580036</v>
      </c>
      <c r="K46">
        <f t="shared" si="18"/>
        <v>1.5137910990278418</v>
      </c>
      <c r="L46">
        <f t="shared" si="18"/>
        <v>2.5357082639903683</v>
      </c>
      <c r="M46">
        <f t="shared" si="18"/>
        <v>3.2596592771278261</v>
      </c>
      <c r="N46">
        <f t="shared" si="18"/>
        <v>3.976014671813596</v>
      </c>
      <c r="O46">
        <f t="shared" si="18"/>
        <v>4.8510709392597819</v>
      </c>
      <c r="P46">
        <f t="shared" si="18"/>
        <v>5.9206178452134903</v>
      </c>
      <c r="Q46">
        <f t="shared" si="18"/>
        <v>7.2288271953297381</v>
      </c>
    </row>
  </sheetData>
  <printOptions gridLinesSet="0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4"/>
  <sheetViews>
    <sheetView showGridLines="0" topLeftCell="E1" workbookViewId="0">
      <selection activeCell="H1" sqref="H1"/>
    </sheetView>
  </sheetViews>
  <sheetFormatPr defaultColWidth="11.42578125" defaultRowHeight="12.75"/>
  <cols>
    <col min="1" max="1" width="2.7109375" customWidth="1"/>
    <col min="2" max="2" width="79.5703125" bestFit="1" customWidth="1"/>
    <col min="3" max="3" width="21.7109375" customWidth="1"/>
    <col min="4" max="4" width="20.28515625" customWidth="1"/>
  </cols>
  <sheetData>
    <row r="2" spans="2:4">
      <c r="B2" s="2" t="s">
        <v>31</v>
      </c>
    </row>
    <row r="3" spans="2:4">
      <c r="B3" s="2"/>
    </row>
    <row r="4" spans="2:4">
      <c r="C4" s="10" t="s">
        <v>32</v>
      </c>
      <c r="D4" s="10" t="s">
        <v>33</v>
      </c>
    </row>
    <row r="5" spans="2:4" ht="15.95" customHeight="1">
      <c r="B5" s="2" t="s">
        <v>34</v>
      </c>
    </row>
    <row r="6" spans="2:4" ht="20.100000000000001" customHeight="1">
      <c r="B6" t="s">
        <v>35</v>
      </c>
      <c r="C6" s="4">
        <v>3243510</v>
      </c>
      <c r="D6" s="4">
        <v>8868436</v>
      </c>
    </row>
    <row r="7" spans="2:4" ht="17.100000000000001" customHeight="1">
      <c r="B7" t="s">
        <v>36</v>
      </c>
      <c r="C7" s="7" t="s">
        <v>37</v>
      </c>
      <c r="D7" s="6">
        <v>16567300</v>
      </c>
    </row>
    <row r="8" spans="2:4" ht="17.100000000000001" customHeight="1">
      <c r="B8" t="s">
        <v>38</v>
      </c>
      <c r="C8" s="6">
        <v>701649</v>
      </c>
      <c r="D8" s="6">
        <v>8277869</v>
      </c>
    </row>
    <row r="9" spans="2:4" ht="17.100000000000001" customHeight="1">
      <c r="B9" t="s">
        <v>39</v>
      </c>
      <c r="C9" s="5">
        <v>67284</v>
      </c>
      <c r="D9" s="5">
        <v>804971</v>
      </c>
    </row>
    <row r="10" spans="2:4" ht="18" customHeight="1">
      <c r="B10" t="s">
        <v>40</v>
      </c>
      <c r="C10" s="6">
        <f>SUM(C6:C9)</f>
        <v>4012443</v>
      </c>
      <c r="D10" s="6">
        <f>SUM(D6:D9)</f>
        <v>34518576</v>
      </c>
    </row>
    <row r="11" spans="2:4" ht="18" customHeight="1">
      <c r="B11" t="s">
        <v>41</v>
      </c>
      <c r="C11" s="6">
        <v>2447098</v>
      </c>
      <c r="D11" s="6">
        <v>6761045</v>
      </c>
    </row>
    <row r="12" spans="2:4" ht="18" customHeight="1">
      <c r="B12" t="s">
        <v>42</v>
      </c>
      <c r="C12" s="5">
        <v>699100</v>
      </c>
      <c r="D12" s="5">
        <v>1251582</v>
      </c>
    </row>
    <row r="13" spans="2:4" ht="20.100000000000001" customHeight="1" thickBot="1">
      <c r="B13" t="s">
        <v>43</v>
      </c>
      <c r="C13" s="11">
        <f>SUM(C10:C12)</f>
        <v>7158641</v>
      </c>
      <c r="D13" s="11">
        <f>SUM(D10:D12)</f>
        <v>42531203</v>
      </c>
    </row>
    <row r="14" spans="2:4" ht="13.5" thickTop="1">
      <c r="B14" s="2" t="s">
        <v>44</v>
      </c>
      <c r="C14" s="7"/>
      <c r="D14" s="7"/>
    </row>
    <row r="15" spans="2:4" ht="18" customHeight="1">
      <c r="B15" t="s">
        <v>45</v>
      </c>
      <c r="C15" s="4">
        <v>855068</v>
      </c>
      <c r="D15" s="4">
        <v>4607174</v>
      </c>
    </row>
    <row r="16" spans="2:4" ht="17.100000000000001" customHeight="1">
      <c r="B16" t="s">
        <v>46</v>
      </c>
      <c r="C16" s="6">
        <v>527340</v>
      </c>
      <c r="D16" s="6">
        <v>1075066</v>
      </c>
    </row>
    <row r="17" spans="2:4" ht="15.95" customHeight="1">
      <c r="B17" t="s">
        <v>47</v>
      </c>
      <c r="C17" s="6">
        <v>667503</v>
      </c>
      <c r="D17" s="6">
        <v>1897819</v>
      </c>
    </row>
    <row r="18" spans="2:4" ht="17.100000000000001" customHeight="1">
      <c r="B18" t="s">
        <v>48</v>
      </c>
      <c r="C18" s="6">
        <v>2575145</v>
      </c>
      <c r="D18" s="6">
        <v>14963843</v>
      </c>
    </row>
    <row r="19" spans="2:4" ht="17.100000000000001" customHeight="1">
      <c r="B19" t="s">
        <v>49</v>
      </c>
      <c r="C19" s="6">
        <v>725000</v>
      </c>
      <c r="D19" s="6">
        <v>725000</v>
      </c>
    </row>
    <row r="20" spans="2:4" ht="17.100000000000001" customHeight="1">
      <c r="B20" t="s">
        <v>50</v>
      </c>
      <c r="C20" s="8" t="s">
        <v>37</v>
      </c>
      <c r="D20" s="5">
        <v>551449</v>
      </c>
    </row>
    <row r="21" spans="2:4" ht="17.100000000000001" customHeight="1">
      <c r="B21" t="s">
        <v>51</v>
      </c>
      <c r="C21" s="6">
        <f>SUM(C15:C20)</f>
        <v>5350056</v>
      </c>
      <c r="D21" s="6">
        <f>SUM(D15:D20)</f>
        <v>23820351</v>
      </c>
    </row>
    <row r="22" spans="2:4" ht="17.100000000000001" customHeight="1">
      <c r="B22" t="s">
        <v>52</v>
      </c>
      <c r="C22" s="6">
        <v>725000</v>
      </c>
      <c r="D22" s="6">
        <v>725000</v>
      </c>
    </row>
    <row r="23" spans="2:4" ht="17.100000000000001" customHeight="1">
      <c r="B23" t="s">
        <v>50</v>
      </c>
      <c r="C23" s="8" t="s">
        <v>37</v>
      </c>
      <c r="D23" s="5">
        <v>1511331</v>
      </c>
    </row>
    <row r="24" spans="2:4" ht="18" customHeight="1">
      <c r="B24" t="s">
        <v>53</v>
      </c>
      <c r="C24" s="6">
        <f>SUM(C21:C23)</f>
        <v>6075056</v>
      </c>
      <c r="D24" s="6">
        <f>SUM(D21:D23)</f>
        <v>26056682</v>
      </c>
    </row>
    <row r="25" spans="2:4" ht="24.95" customHeight="1">
      <c r="B25" t="s">
        <v>54</v>
      </c>
      <c r="C25" s="7">
        <v>701</v>
      </c>
      <c r="D25" s="7">
        <v>901</v>
      </c>
    </row>
    <row r="26" spans="2:4" ht="17.100000000000001" customHeight="1">
      <c r="B26" t="s">
        <v>55</v>
      </c>
      <c r="C26" s="7">
        <v>451</v>
      </c>
      <c r="D26" s="6">
        <v>1514</v>
      </c>
    </row>
    <row r="27" spans="2:4" ht="17.100000000000001" customHeight="1">
      <c r="B27" t="s">
        <v>56</v>
      </c>
      <c r="C27" s="6">
        <v>9552278</v>
      </c>
      <c r="D27" s="6">
        <v>39683666</v>
      </c>
    </row>
    <row r="28" spans="2:4" ht="18" customHeight="1">
      <c r="B28" t="s">
        <v>57</v>
      </c>
      <c r="C28" s="7" t="s">
        <v>37</v>
      </c>
      <c r="D28" s="12">
        <v>-638065</v>
      </c>
    </row>
    <row r="29" spans="2:4" ht="18.95" customHeight="1">
      <c r="B29" t="s">
        <v>58</v>
      </c>
      <c r="C29" s="7" t="s">
        <v>37</v>
      </c>
      <c r="D29" s="12">
        <v>-9812151</v>
      </c>
    </row>
    <row r="30" spans="2:4" ht="18" customHeight="1">
      <c r="B30" t="s">
        <v>59</v>
      </c>
      <c r="C30" s="12">
        <v>-8469845</v>
      </c>
      <c r="D30" s="12">
        <v>-12777561</v>
      </c>
    </row>
    <row r="31" spans="2:4" ht="17.100000000000001" customHeight="1">
      <c r="B31" t="s">
        <v>60</v>
      </c>
      <c r="C31" s="8" t="s">
        <v>37</v>
      </c>
      <c r="D31" s="5">
        <v>16217</v>
      </c>
    </row>
    <row r="32" spans="2:4" ht="15.95" customHeight="1">
      <c r="B32" t="s">
        <v>61</v>
      </c>
      <c r="C32" s="5">
        <f>SUM(C25:C31)</f>
        <v>1083585</v>
      </c>
      <c r="D32" s="5">
        <f>SUM(D25:D31)</f>
        <v>16474521</v>
      </c>
    </row>
    <row r="33" spans="2:4" ht="21.95" customHeight="1" thickBot="1">
      <c r="B33" t="s">
        <v>62</v>
      </c>
      <c r="C33" s="11">
        <v>7158641</v>
      </c>
      <c r="D33" s="11">
        <v>42531203</v>
      </c>
    </row>
    <row r="34" spans="2:4" ht="13.5" thickTop="1"/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showGridLines="0" workbookViewId="0">
      <selection activeCell="D11" sqref="D11"/>
    </sheetView>
  </sheetViews>
  <sheetFormatPr defaultColWidth="11.42578125" defaultRowHeight="12.75"/>
  <cols>
    <col min="1" max="1" width="2.7109375" customWidth="1"/>
    <col min="2" max="2" width="30" customWidth="1"/>
    <col min="3" max="3" width="11.28515625" customWidth="1"/>
    <col min="4" max="4" width="13.85546875" customWidth="1"/>
  </cols>
  <sheetData>
    <row r="2" spans="2:7">
      <c r="B2" s="2" t="s">
        <v>63</v>
      </c>
    </row>
    <row r="3" spans="2:7" ht="41.1" customHeight="1">
      <c r="C3" s="13" t="s">
        <v>64</v>
      </c>
      <c r="E3" s="14" t="s">
        <v>65</v>
      </c>
      <c r="F3" s="14" t="s">
        <v>66</v>
      </c>
      <c r="G3" s="14" t="s">
        <v>67</v>
      </c>
    </row>
    <row r="4" spans="2:7" ht="20.100000000000001" customHeight="1">
      <c r="B4" t="s">
        <v>68</v>
      </c>
      <c r="C4" s="12">
        <v>17321</v>
      </c>
      <c r="E4" s="12">
        <v>394290</v>
      </c>
      <c r="F4" s="12">
        <v>5937000</v>
      </c>
      <c r="G4" s="12">
        <v>9084</v>
      </c>
    </row>
    <row r="5" spans="2:7">
      <c r="B5" t="s">
        <v>69</v>
      </c>
      <c r="C5" s="12">
        <v>30521</v>
      </c>
      <c r="E5" s="12">
        <v>413584</v>
      </c>
      <c r="F5" s="12">
        <v>3899000</v>
      </c>
      <c r="G5" s="12">
        <v>6745</v>
      </c>
    </row>
    <row r="6" spans="2:7">
      <c r="B6" t="s">
        <v>70</v>
      </c>
      <c r="C6" s="12">
        <f>SUM(C4-C5)</f>
        <v>-13200</v>
      </c>
      <c r="E6" s="12">
        <f>SUM(E4-E5)</f>
        <v>-19294</v>
      </c>
      <c r="F6" s="12">
        <f>SUM(F4-F5)</f>
        <v>2038000</v>
      </c>
      <c r="G6" s="12">
        <f>SUM(G4-G5)</f>
        <v>2339</v>
      </c>
    </row>
    <row r="7" spans="2:7">
      <c r="B7" t="s">
        <v>27</v>
      </c>
      <c r="C7" s="12">
        <v>-129</v>
      </c>
      <c r="E7" s="12" t="s">
        <v>37</v>
      </c>
      <c r="F7" s="12" t="s">
        <v>37</v>
      </c>
      <c r="G7" s="12" t="s">
        <v>37</v>
      </c>
    </row>
    <row r="8" spans="2:7">
      <c r="B8" t="s">
        <v>71</v>
      </c>
      <c r="C8" s="12">
        <v>12778</v>
      </c>
      <c r="E8" s="12">
        <v>-33647</v>
      </c>
      <c r="F8" s="12">
        <v>1453000</v>
      </c>
      <c r="G8" s="12">
        <v>1509</v>
      </c>
    </row>
    <row r="9" spans="2:7" ht="23.1" customHeight="1">
      <c r="B9" t="s">
        <v>72</v>
      </c>
      <c r="C9" s="12">
        <v>-0.39</v>
      </c>
      <c r="E9" s="21">
        <v>-0.99</v>
      </c>
      <c r="F9" s="12">
        <v>2.3199999999999998</v>
      </c>
      <c r="G9" s="12">
        <v>0.41</v>
      </c>
    </row>
    <row r="10" spans="2:7">
      <c r="B10" t="s">
        <v>73</v>
      </c>
      <c r="C10" s="12">
        <v>33001</v>
      </c>
      <c r="E10" s="12">
        <v>33986</v>
      </c>
      <c r="F10" s="12">
        <v>627000</v>
      </c>
      <c r="G10" s="12">
        <v>3788</v>
      </c>
    </row>
    <row r="11" spans="2:7" ht="30" customHeight="1">
      <c r="B11" t="s">
        <v>74</v>
      </c>
      <c r="C11" s="12">
        <v>7618</v>
      </c>
      <c r="D11" s="32">
        <f>(C11*1000)/'Exhibit 1'!E5</f>
        <v>0.24447605424762542</v>
      </c>
      <c r="E11" s="12">
        <v>57751</v>
      </c>
      <c r="F11" s="12">
        <v>495000</v>
      </c>
      <c r="G11" s="12">
        <v>824609</v>
      </c>
    </row>
    <row r="12" spans="2:7">
      <c r="B12" t="s">
        <v>75</v>
      </c>
      <c r="C12" s="12">
        <v>918</v>
      </c>
      <c r="E12" s="12">
        <v>11136</v>
      </c>
      <c r="F12" s="12">
        <v>269000</v>
      </c>
      <c r="G12" s="12">
        <v>161303</v>
      </c>
    </row>
    <row r="13" spans="2:7" ht="24.95" customHeight="1">
      <c r="B13" t="s">
        <v>76</v>
      </c>
      <c r="C13" s="12">
        <v>34519</v>
      </c>
      <c r="E13" s="12">
        <v>132856</v>
      </c>
      <c r="F13" s="12">
        <v>5620000</v>
      </c>
      <c r="G13" s="12">
        <v>37372</v>
      </c>
    </row>
    <row r="14" spans="2:7">
      <c r="B14" t="s">
        <v>77</v>
      </c>
      <c r="C14" s="12">
        <v>25436</v>
      </c>
      <c r="E14" s="12">
        <v>64050</v>
      </c>
      <c r="F14" s="12">
        <v>4750000</v>
      </c>
      <c r="G14" s="12">
        <v>34556</v>
      </c>
    </row>
    <row r="15" spans="2:7">
      <c r="B15" t="s">
        <v>78</v>
      </c>
      <c r="C15" s="12">
        <v>42531</v>
      </c>
      <c r="E15" s="12">
        <v>406464</v>
      </c>
      <c r="F15" s="12">
        <v>7210000</v>
      </c>
      <c r="G15" s="12">
        <v>39963</v>
      </c>
    </row>
    <row r="16" spans="2:7">
      <c r="B16" t="s">
        <v>79</v>
      </c>
      <c r="C16" s="12">
        <v>23820</v>
      </c>
      <c r="E16" s="12">
        <v>133312</v>
      </c>
      <c r="F16" s="12">
        <v>1347000</v>
      </c>
      <c r="G16" s="12">
        <v>2718</v>
      </c>
    </row>
    <row r="17" spans="2:7">
      <c r="B17" t="s">
        <v>80</v>
      </c>
      <c r="C17" s="12">
        <v>26057</v>
      </c>
      <c r="E17" s="12">
        <v>188520</v>
      </c>
      <c r="F17" s="12">
        <v>1877000</v>
      </c>
      <c r="G17" s="12">
        <v>4368</v>
      </c>
    </row>
    <row r="18" spans="2:7">
      <c r="B18" t="s">
        <v>81</v>
      </c>
      <c r="C18" s="12">
        <v>16475</v>
      </c>
      <c r="E18" s="12">
        <v>217944</v>
      </c>
      <c r="F18" s="12">
        <v>5333000</v>
      </c>
      <c r="G18" s="12">
        <v>35595</v>
      </c>
    </row>
    <row r="19" spans="2:7" ht="21.95" customHeight="1">
      <c r="B19" t="s">
        <v>82</v>
      </c>
      <c r="C19" s="12">
        <v>1.45</v>
      </c>
      <c r="E19" s="12">
        <v>1</v>
      </c>
      <c r="F19" s="12">
        <v>4.17</v>
      </c>
      <c r="G19" s="12">
        <v>13.75</v>
      </c>
    </row>
    <row r="20" spans="2:7">
      <c r="B20" t="s">
        <v>83</v>
      </c>
      <c r="C20" s="12">
        <v>0.18</v>
      </c>
      <c r="E20" s="12">
        <v>0.08</v>
      </c>
      <c r="F20" s="12" t="s">
        <v>37</v>
      </c>
      <c r="G20" s="12" t="s">
        <v>37</v>
      </c>
    </row>
    <row r="21" spans="2:7" ht="26.1" customHeight="1">
      <c r="B21" t="s">
        <v>84</v>
      </c>
      <c r="C21" s="12" t="s">
        <v>85</v>
      </c>
      <c r="E21" s="12">
        <v>22</v>
      </c>
      <c r="F21" s="12">
        <v>90.38</v>
      </c>
      <c r="G21" s="12">
        <v>14.31</v>
      </c>
    </row>
    <row r="22" spans="2:7">
      <c r="B22" t="s">
        <v>86</v>
      </c>
      <c r="C22" s="12" t="s">
        <v>85</v>
      </c>
      <c r="E22" s="12" t="s">
        <v>85</v>
      </c>
      <c r="F22" s="12">
        <v>39</v>
      </c>
      <c r="G22" s="12">
        <v>34.9</v>
      </c>
    </row>
    <row r="23" spans="2:7" ht="21" customHeight="1">
      <c r="B23" t="s">
        <v>87</v>
      </c>
      <c r="C23" s="12" t="s">
        <v>85</v>
      </c>
      <c r="E23" s="12">
        <v>0.73</v>
      </c>
      <c r="F23" s="12">
        <v>0.72</v>
      </c>
      <c r="G23" s="12" t="s">
        <v>85</v>
      </c>
    </row>
    <row r="24" spans="2:7" ht="29.1" customHeight="1">
      <c r="B24" t="s">
        <v>88</v>
      </c>
    </row>
    <row r="25" spans="2:7">
      <c r="B25" t="s">
        <v>89</v>
      </c>
    </row>
    <row r="27" spans="2:7">
      <c r="B27" t="s">
        <v>90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workbookViewId="0"/>
  </sheetViews>
  <sheetFormatPr defaultColWidth="11.42578125" defaultRowHeight="12.75"/>
  <cols>
    <col min="1" max="1" width="2.7109375" customWidth="1"/>
    <col min="2" max="2" width="11.42578125" customWidth="1"/>
    <col min="3" max="3" width="19.42578125" customWidth="1"/>
    <col min="4" max="4" width="5.85546875" customWidth="1"/>
  </cols>
  <sheetData>
    <row r="2" spans="2:9">
      <c r="B2" s="2" t="s">
        <v>91</v>
      </c>
    </row>
    <row r="3" spans="2:9">
      <c r="E3" s="10">
        <v>1990</v>
      </c>
      <c r="F3" s="10">
        <v>1991</v>
      </c>
      <c r="G3" s="10">
        <v>1992</v>
      </c>
      <c r="H3" s="10">
        <v>1993</v>
      </c>
      <c r="I3" s="10">
        <v>1994</v>
      </c>
    </row>
    <row r="4" spans="2:9">
      <c r="B4" s="2" t="s">
        <v>92</v>
      </c>
    </row>
    <row r="5" spans="2:9">
      <c r="B5" t="s">
        <v>93</v>
      </c>
      <c r="E5" s="7">
        <v>166</v>
      </c>
      <c r="F5" s="7">
        <v>352</v>
      </c>
      <c r="G5" s="7">
        <v>477</v>
      </c>
      <c r="H5" s="7">
        <v>604</v>
      </c>
      <c r="I5" s="7">
        <v>510</v>
      </c>
    </row>
    <row r="6" spans="2:9">
      <c r="B6" t="s">
        <v>94</v>
      </c>
      <c r="E6" s="7">
        <v>4.75</v>
      </c>
      <c r="F6" s="7">
        <v>16.010000000000002</v>
      </c>
      <c r="G6" s="7">
        <v>22.76</v>
      </c>
      <c r="H6" s="7">
        <v>30.74</v>
      </c>
      <c r="I6" s="7">
        <v>17.98</v>
      </c>
    </row>
    <row r="7" spans="2:9" ht="14.1" customHeight="1">
      <c r="B7" t="s">
        <v>95</v>
      </c>
      <c r="E7" s="7">
        <v>10.3</v>
      </c>
      <c r="F7" s="7">
        <v>11.6</v>
      </c>
      <c r="G7" s="7">
        <v>9.4</v>
      </c>
      <c r="H7" s="7">
        <v>11.7</v>
      </c>
      <c r="I7" s="7">
        <v>8.1</v>
      </c>
    </row>
    <row r="8" spans="2:9" ht="21.95" customHeight="1">
      <c r="B8" s="2" t="s">
        <v>96</v>
      </c>
      <c r="E8" s="7"/>
      <c r="F8" s="7"/>
      <c r="G8" s="7"/>
      <c r="H8" s="7"/>
      <c r="I8" s="7"/>
    </row>
    <row r="9" spans="2:9">
      <c r="B9" t="s">
        <v>93</v>
      </c>
      <c r="E9" s="7">
        <v>42</v>
      </c>
      <c r="F9" s="7">
        <v>122</v>
      </c>
      <c r="G9" s="7">
        <v>152</v>
      </c>
      <c r="H9" s="7">
        <v>165</v>
      </c>
      <c r="I9" s="7">
        <v>136</v>
      </c>
    </row>
    <row r="10" spans="2:9">
      <c r="B10" t="s">
        <v>97</v>
      </c>
      <c r="E10" s="7">
        <v>6</v>
      </c>
      <c r="F10" s="7">
        <v>6</v>
      </c>
      <c r="G10" s="7">
        <v>6</v>
      </c>
      <c r="H10" s="7">
        <v>7</v>
      </c>
      <c r="I10" s="7">
        <v>7</v>
      </c>
    </row>
    <row r="11" spans="2:9">
      <c r="B11" t="s">
        <v>94</v>
      </c>
      <c r="E11" s="7">
        <v>1.19</v>
      </c>
      <c r="F11" s="7">
        <v>3.9</v>
      </c>
      <c r="G11" s="7">
        <v>4.58</v>
      </c>
      <c r="H11" s="7">
        <v>4.8600000000000003</v>
      </c>
      <c r="I11" s="7">
        <v>3.35</v>
      </c>
    </row>
    <row r="12" spans="2:9">
      <c r="B12" t="s">
        <v>98</v>
      </c>
      <c r="E12" s="7">
        <v>28.3</v>
      </c>
      <c r="F12" s="7">
        <v>32</v>
      </c>
      <c r="G12" s="7">
        <v>29.1</v>
      </c>
      <c r="H12" s="7">
        <v>29.6</v>
      </c>
      <c r="I12" s="7">
        <v>24.8</v>
      </c>
    </row>
    <row r="13" spans="2:9">
      <c r="B13" t="s">
        <v>99</v>
      </c>
      <c r="E13" s="7">
        <v>109.3</v>
      </c>
      <c r="F13" s="7">
        <v>118.5</v>
      </c>
      <c r="G13" s="7">
        <v>101.7</v>
      </c>
      <c r="H13" s="7">
        <v>100.5</v>
      </c>
      <c r="I13" s="7">
        <v>86.8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showGridLines="0" workbookViewId="0">
      <selection activeCell="D12" sqref="D12"/>
    </sheetView>
  </sheetViews>
  <sheetFormatPr defaultColWidth="11.42578125" defaultRowHeight="12.75"/>
  <cols>
    <col min="1" max="1" width="2.7109375" customWidth="1"/>
    <col min="2" max="2" width="34.85546875" customWidth="1"/>
    <col min="3" max="3" width="15.5703125" customWidth="1"/>
    <col min="4" max="4" width="15.28515625" customWidth="1"/>
    <col min="5" max="5" width="15.140625" customWidth="1"/>
    <col min="6" max="6" width="12.5703125" customWidth="1"/>
  </cols>
  <sheetData>
    <row r="2" spans="2:6">
      <c r="B2" s="2" t="s">
        <v>100</v>
      </c>
    </row>
    <row r="3" spans="2:6">
      <c r="B3" s="15"/>
      <c r="C3" s="16"/>
      <c r="D3" s="16"/>
      <c r="E3" s="16"/>
      <c r="F3" s="16"/>
    </row>
    <row r="4" spans="2:6" ht="54.95" customHeight="1">
      <c r="B4" s="16"/>
      <c r="C4" s="14" t="s">
        <v>101</v>
      </c>
      <c r="D4" s="14" t="s">
        <v>102</v>
      </c>
      <c r="E4" s="14" t="s">
        <v>67</v>
      </c>
      <c r="F4" s="14" t="s">
        <v>103</v>
      </c>
    </row>
    <row r="5" spans="2:6" ht="25.5" customHeight="1">
      <c r="B5" s="16"/>
      <c r="C5" s="17" t="s">
        <v>104</v>
      </c>
      <c r="D5" s="17" t="s">
        <v>105</v>
      </c>
      <c r="E5" s="17" t="s">
        <v>106</v>
      </c>
      <c r="F5" s="17" t="s">
        <v>105</v>
      </c>
    </row>
    <row r="6" spans="2:6" ht="18" customHeight="1">
      <c r="B6" s="2" t="s">
        <v>107</v>
      </c>
    </row>
    <row r="7" spans="2:6">
      <c r="B7" t="s">
        <v>68</v>
      </c>
      <c r="C7" s="4">
        <v>2411600</v>
      </c>
      <c r="D7" s="4">
        <v>15214000</v>
      </c>
      <c r="E7" s="4">
        <v>3629392</v>
      </c>
      <c r="F7" s="4">
        <v>12413863</v>
      </c>
    </row>
    <row r="8" spans="2:6">
      <c r="B8" t="s">
        <v>108</v>
      </c>
      <c r="C8" s="6">
        <v>2169600</v>
      </c>
      <c r="D8" s="6">
        <v>19876000</v>
      </c>
      <c r="E8" s="6">
        <v>2272662</v>
      </c>
      <c r="F8" s="6">
        <v>19387821</v>
      </c>
    </row>
    <row r="9" spans="2:6">
      <c r="B9" t="s">
        <v>109</v>
      </c>
      <c r="C9" s="6">
        <v>242000</v>
      </c>
      <c r="D9" s="6">
        <v>-4662000</v>
      </c>
      <c r="E9" s="6">
        <v>751520</v>
      </c>
      <c r="F9" s="6">
        <v>-6973958</v>
      </c>
    </row>
    <row r="10" spans="2:6">
      <c r="B10" t="s">
        <v>27</v>
      </c>
      <c r="C10" s="6">
        <v>-3400</v>
      </c>
      <c r="D10" s="6">
        <v>-731000</v>
      </c>
      <c r="E10" s="7" t="s">
        <v>37</v>
      </c>
      <c r="F10" s="6">
        <v>-76232</v>
      </c>
    </row>
    <row r="11" spans="2:6">
      <c r="B11" t="s">
        <v>110</v>
      </c>
      <c r="C11" s="6">
        <v>227300</v>
      </c>
      <c r="D11" s="7" t="s">
        <v>111</v>
      </c>
      <c r="E11" s="6">
        <v>1331262</v>
      </c>
      <c r="F11" s="6">
        <v>-6948759</v>
      </c>
    </row>
    <row r="12" spans="2:6" ht="20.100000000000001" customHeight="1">
      <c r="B12" t="s">
        <v>72</v>
      </c>
      <c r="C12" s="9">
        <v>0.04</v>
      </c>
      <c r="D12" s="9">
        <v>-0.26</v>
      </c>
      <c r="E12" s="9">
        <v>0.39</v>
      </c>
      <c r="F12" s="9">
        <v>-0.35</v>
      </c>
    </row>
    <row r="13" spans="2:6">
      <c r="B13" t="s">
        <v>73</v>
      </c>
      <c r="C13" s="6">
        <v>6300600</v>
      </c>
      <c r="D13" s="6">
        <v>20395000</v>
      </c>
      <c r="E13" s="6">
        <v>3448952</v>
      </c>
      <c r="F13" s="6">
        <v>20029824</v>
      </c>
    </row>
    <row r="14" spans="2:6" ht="21" customHeight="1">
      <c r="B14" t="s">
        <v>74</v>
      </c>
      <c r="C14" s="6">
        <v>1027600</v>
      </c>
      <c r="D14" s="6">
        <v>2536000</v>
      </c>
      <c r="E14" s="6">
        <v>208567</v>
      </c>
      <c r="F14" s="6">
        <v>5897309</v>
      </c>
    </row>
    <row r="15" spans="2:6">
      <c r="B15" t="s">
        <v>75</v>
      </c>
      <c r="C15" s="6">
        <v>156900</v>
      </c>
      <c r="D15" s="6">
        <v>3183000</v>
      </c>
      <c r="E15" s="6">
        <v>68034</v>
      </c>
      <c r="F15" s="6">
        <v>1010027</v>
      </c>
    </row>
    <row r="16" spans="2:6" ht="23.1" customHeight="1">
      <c r="B16" t="s">
        <v>76</v>
      </c>
      <c r="C16" s="6">
        <v>235500</v>
      </c>
      <c r="D16" s="6">
        <v>5564000</v>
      </c>
      <c r="E16" s="6">
        <v>3254562</v>
      </c>
      <c r="F16" s="6">
        <v>6192629</v>
      </c>
    </row>
    <row r="17" spans="2:6">
      <c r="B17" t="s">
        <v>77</v>
      </c>
      <c r="C17" s="6">
        <v>75500</v>
      </c>
      <c r="D17" s="6">
        <v>3358000</v>
      </c>
      <c r="E17" s="6">
        <v>1450651</v>
      </c>
      <c r="F17" s="6">
        <v>4649737</v>
      </c>
    </row>
    <row r="18" spans="2:6">
      <c r="B18" t="s">
        <v>78</v>
      </c>
      <c r="C18" s="6">
        <v>1347000</v>
      </c>
      <c r="D18" s="6">
        <v>17055000</v>
      </c>
      <c r="E18" s="6">
        <v>5296727</v>
      </c>
      <c r="F18" s="6">
        <v>12024575</v>
      </c>
    </row>
    <row r="19" spans="2:6">
      <c r="B19" t="s">
        <v>79</v>
      </c>
      <c r="C19" s="6">
        <v>789300</v>
      </c>
      <c r="D19" s="6">
        <v>7118000</v>
      </c>
      <c r="E19" s="6">
        <v>1406727</v>
      </c>
      <c r="F19" s="6">
        <v>5755418</v>
      </c>
    </row>
    <row r="20" spans="2:6">
      <c r="B20" t="s">
        <v>80</v>
      </c>
      <c r="C20" s="6">
        <v>802300</v>
      </c>
      <c r="D20" s="6">
        <v>11721000</v>
      </c>
      <c r="E20" s="6">
        <v>3056727</v>
      </c>
      <c r="F20" s="6">
        <v>6422085</v>
      </c>
    </row>
    <row r="21" spans="2:6">
      <c r="B21" t="s">
        <v>81</v>
      </c>
      <c r="C21" s="6">
        <v>544700</v>
      </c>
      <c r="D21" s="6">
        <v>5334000</v>
      </c>
      <c r="E21" s="6">
        <v>2240000</v>
      </c>
      <c r="F21" s="6">
        <v>5602490</v>
      </c>
    </row>
    <row r="22" spans="2:6" ht="24.95" customHeight="1">
      <c r="B22" s="2" t="s">
        <v>112</v>
      </c>
      <c r="C22" s="7"/>
      <c r="D22" s="7"/>
      <c r="E22" s="7"/>
      <c r="F22" s="7"/>
    </row>
    <row r="23" spans="2:6">
      <c r="B23" t="s">
        <v>113</v>
      </c>
      <c r="C23" s="18">
        <v>33220</v>
      </c>
      <c r="D23" s="18">
        <v>33365</v>
      </c>
      <c r="E23" s="18">
        <v>33415</v>
      </c>
      <c r="F23" s="18">
        <v>33382</v>
      </c>
    </row>
    <row r="24" spans="2:6">
      <c r="B24" t="s">
        <v>114</v>
      </c>
      <c r="C24" s="9">
        <v>13</v>
      </c>
      <c r="D24" s="9">
        <v>12</v>
      </c>
      <c r="E24" s="9">
        <v>17</v>
      </c>
      <c r="F24" s="9">
        <v>14</v>
      </c>
    </row>
    <row r="25" spans="2:6">
      <c r="B25" t="s">
        <v>115</v>
      </c>
      <c r="C25" s="6">
        <v>1850000</v>
      </c>
      <c r="D25" s="6">
        <v>4370000</v>
      </c>
      <c r="E25" s="6">
        <v>2000000</v>
      </c>
      <c r="F25" s="6">
        <v>4725000</v>
      </c>
    </row>
    <row r="26" spans="2:6">
      <c r="B26" t="s">
        <v>116</v>
      </c>
      <c r="C26" s="19">
        <v>0.28000000000000003</v>
      </c>
      <c r="D26" s="19">
        <v>0.17</v>
      </c>
      <c r="E26" s="19">
        <v>0.4</v>
      </c>
      <c r="F26" s="19">
        <v>0.17</v>
      </c>
    </row>
    <row r="27" spans="2:6" ht="21.95" customHeight="1">
      <c r="B27" t="s">
        <v>117</v>
      </c>
      <c r="C27" s="19">
        <v>0.31</v>
      </c>
      <c r="D27" s="19">
        <v>0.27</v>
      </c>
      <c r="E27" s="19">
        <v>0.6</v>
      </c>
      <c r="F27" s="19">
        <v>0.96</v>
      </c>
    </row>
    <row r="28" spans="2:6" ht="21.95" customHeight="1">
      <c r="B28" s="16" t="s">
        <v>118</v>
      </c>
      <c r="C28" s="20">
        <v>36.375</v>
      </c>
      <c r="D28" s="20">
        <v>22</v>
      </c>
      <c r="E28" s="20">
        <v>49.25</v>
      </c>
      <c r="F28" s="20">
        <v>46.25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Copyright</vt:lpstr>
      <vt:lpstr>Exhibit 1</vt:lpstr>
      <vt:lpstr>Exhibit 2</vt:lpstr>
      <vt:lpstr>Exhibit 3</vt:lpstr>
      <vt:lpstr>Exhibit 4</vt:lpstr>
      <vt:lpstr>Exhibit 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Compaq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Jan Havlíček</cp:lastModifiedBy>
  <dcterms:created xsi:type="dcterms:W3CDTF">2001-04-14T02:24:05Z</dcterms:created>
  <dcterms:modified xsi:type="dcterms:W3CDTF">2023-09-17T20:06:55Z</dcterms:modified>
</cp:coreProperties>
</file>