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27DB22-9678-4E34-880F-0EBF706830AF}" xr6:coauthVersionLast="47" xr6:coauthVersionMax="47" xr10:uidLastSave="{00000000-0000-0000-0000-000000000000}"/>
  <bookViews>
    <workbookView xWindow="-120" yWindow="-120" windowWidth="38640" windowHeight="15720"/>
  </bookViews>
  <sheets>
    <sheet name="CPUCcomp" sheetId="18" r:id="rId1"/>
    <sheet name="Prices" sheetId="3" r:id="rId2"/>
    <sheet name="BillDet" sheetId="15" r:id="rId3"/>
    <sheet name="TierSum" sheetId="14" r:id="rId4"/>
    <sheet name="GT200%Rev" sheetId="17" r:id="rId5"/>
    <sheet name="CARE130%" sheetId="12" r:id="rId6"/>
    <sheet name="130%Baseline" sheetId="4" r:id="rId7"/>
    <sheet name="130%-200%" sheetId="16" r:id="rId8"/>
    <sheet name="200%Baseline" sheetId="7" r:id="rId9"/>
    <sheet name="Comps" sheetId="8" r:id="rId10"/>
    <sheet name="Summary" sheetId="2" r:id="rId11"/>
  </sheets>
  <definedNames>
    <definedName name="_xlnm.Print_Area" localSheetId="7">'130%-200%'!$A$1:$F$59</definedName>
    <definedName name="_xlnm.Print_Area" localSheetId="6">'130%Baseline'!$A$1:$F$59</definedName>
    <definedName name="_xlnm.Print_Area" localSheetId="8">'200%Baseline'!$A$1:$F$59</definedName>
    <definedName name="_xlnm.Print_Area" localSheetId="2">BillDet!$A$1:$K$75</definedName>
    <definedName name="_xlnm.Print_Area" localSheetId="5">'CARE130%'!$A$1:$F$59</definedName>
    <definedName name="_xlnm.Print_Area" localSheetId="9">Comps!$A$1:$G$30</definedName>
    <definedName name="_xlnm.Print_Area" localSheetId="0">CPUCcomp!$A$1:$J$45</definedName>
    <definedName name="_xlnm.Print_Area" localSheetId="4">'GT200%Rev'!$A$2:$N$38</definedName>
    <definedName name="_xlnm.Print_Area" localSheetId="1">Prices!$A$1:$J$20</definedName>
    <definedName name="_xlnm.Print_Area" localSheetId="10">Summary!$A$1:$F$21</definedName>
    <definedName name="_xlnm.Print_Area" localSheetId="3">TierSum!$A$1:$I$65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6" l="1"/>
  <c r="D4" i="16"/>
  <c r="E4" i="16"/>
  <c r="F4" i="16"/>
  <c r="B5" i="16"/>
  <c r="C5" i="16"/>
  <c r="F5" i="16"/>
  <c r="B6" i="16"/>
  <c r="C6" i="16"/>
  <c r="D6" i="16"/>
  <c r="F6" i="16"/>
  <c r="B7" i="16"/>
  <c r="C7" i="16"/>
  <c r="D7" i="16"/>
  <c r="E7" i="16"/>
  <c r="F7" i="16"/>
  <c r="B8" i="16"/>
  <c r="C8" i="16"/>
  <c r="D8" i="16"/>
  <c r="E8" i="16"/>
  <c r="F8" i="16"/>
  <c r="B24" i="16"/>
  <c r="C24" i="16"/>
  <c r="F24" i="16"/>
  <c r="G24" i="16"/>
  <c r="H24" i="16"/>
  <c r="F28" i="16"/>
  <c r="I28" i="16"/>
  <c r="F29" i="16"/>
  <c r="I29" i="16"/>
  <c r="F30" i="16"/>
  <c r="I30" i="16"/>
  <c r="F31" i="16"/>
  <c r="I31" i="16"/>
  <c r="F32" i="16"/>
  <c r="I32" i="16"/>
  <c r="F33" i="16"/>
  <c r="I33" i="16"/>
  <c r="F34" i="16"/>
  <c r="I34" i="16"/>
  <c r="F35" i="16"/>
  <c r="I35" i="16"/>
  <c r="F36" i="16"/>
  <c r="I36" i="16"/>
  <c r="F37" i="16"/>
  <c r="I37" i="16"/>
  <c r="F38" i="16"/>
  <c r="I38" i="16"/>
  <c r="F39" i="16"/>
  <c r="I39" i="16"/>
  <c r="B40" i="16"/>
  <c r="C40" i="16"/>
  <c r="D40" i="16"/>
  <c r="F40" i="16"/>
  <c r="G40" i="16"/>
  <c r="H40" i="16"/>
  <c r="F47" i="16"/>
  <c r="I47" i="16"/>
  <c r="F48" i="16"/>
  <c r="I48" i="16"/>
  <c r="F49" i="16"/>
  <c r="I49" i="16"/>
  <c r="F50" i="16"/>
  <c r="I50" i="16"/>
  <c r="F51" i="16"/>
  <c r="I51" i="16"/>
  <c r="F52" i="16"/>
  <c r="I52" i="16"/>
  <c r="F53" i="16"/>
  <c r="I53" i="16"/>
  <c r="F54" i="16"/>
  <c r="I54" i="16"/>
  <c r="F55" i="16"/>
  <c r="I55" i="16"/>
  <c r="F56" i="16"/>
  <c r="I56" i="16"/>
  <c r="F57" i="16"/>
  <c r="I57" i="16"/>
  <c r="F58" i="16"/>
  <c r="I58" i="16"/>
  <c r="B59" i="16"/>
  <c r="C59" i="16"/>
  <c r="D59" i="16"/>
  <c r="E59" i="16"/>
  <c r="F59" i="16"/>
  <c r="G59" i="16"/>
  <c r="H59" i="16"/>
  <c r="I59" i="16"/>
  <c r="C60" i="16"/>
  <c r="D60" i="16"/>
  <c r="E60" i="16"/>
  <c r="F60" i="16"/>
  <c r="B62" i="16"/>
  <c r="C62" i="16"/>
  <c r="D62" i="16"/>
  <c r="E62" i="16"/>
  <c r="F62" i="16"/>
  <c r="G62" i="16"/>
  <c r="C63" i="16"/>
  <c r="D63" i="16"/>
  <c r="E63" i="16"/>
  <c r="F63" i="16"/>
  <c r="B65" i="16"/>
  <c r="C65" i="16"/>
  <c r="D65" i="16"/>
  <c r="E65" i="16"/>
  <c r="F65" i="16"/>
  <c r="G65" i="16"/>
  <c r="C66" i="16"/>
  <c r="D66" i="16"/>
  <c r="E66" i="16"/>
  <c r="F66" i="16"/>
  <c r="B69" i="16"/>
  <c r="C69" i="16"/>
  <c r="D69" i="16"/>
  <c r="E69" i="16"/>
  <c r="F69" i="16"/>
  <c r="C70" i="16"/>
  <c r="D70" i="16"/>
  <c r="E70" i="16"/>
  <c r="F70" i="16"/>
  <c r="F73" i="16"/>
  <c r="G73" i="16"/>
  <c r="C74" i="16"/>
  <c r="D74" i="16"/>
  <c r="E74" i="16"/>
  <c r="F74" i="16"/>
  <c r="B78" i="16"/>
  <c r="C78" i="16"/>
  <c r="D78" i="16"/>
  <c r="E78" i="16"/>
  <c r="F78" i="16"/>
  <c r="B79" i="16"/>
  <c r="C79" i="16"/>
  <c r="D79" i="16"/>
  <c r="E79" i="16"/>
  <c r="F79" i="16"/>
  <c r="B80" i="16"/>
  <c r="C80" i="16"/>
  <c r="D80" i="16"/>
  <c r="E80" i="16"/>
  <c r="F80" i="16"/>
  <c r="B81" i="16"/>
  <c r="C81" i="16"/>
  <c r="D81" i="16"/>
  <c r="E81" i="16"/>
  <c r="F81" i="16"/>
  <c r="B82" i="16"/>
  <c r="C82" i="16"/>
  <c r="D82" i="16"/>
  <c r="E82" i="16"/>
  <c r="F82" i="16"/>
  <c r="B83" i="16"/>
  <c r="C83" i="16"/>
  <c r="D83" i="16"/>
  <c r="E83" i="16"/>
  <c r="F83" i="16"/>
  <c r="B84" i="16"/>
  <c r="C84" i="16"/>
  <c r="D84" i="16"/>
  <c r="E84" i="16"/>
  <c r="F84" i="16"/>
  <c r="B85" i="16"/>
  <c r="C85" i="16"/>
  <c r="D85" i="16"/>
  <c r="E85" i="16"/>
  <c r="F85" i="16"/>
  <c r="B86" i="16"/>
  <c r="C86" i="16"/>
  <c r="D86" i="16"/>
  <c r="E86" i="16"/>
  <c r="F86" i="16"/>
  <c r="B87" i="16"/>
  <c r="C87" i="16"/>
  <c r="D87" i="16"/>
  <c r="E87" i="16"/>
  <c r="F87" i="16"/>
  <c r="B88" i="16"/>
  <c r="C88" i="16"/>
  <c r="D88" i="16"/>
  <c r="E88" i="16"/>
  <c r="F88" i="16"/>
  <c r="B89" i="16"/>
  <c r="C89" i="16"/>
  <c r="D89" i="16"/>
  <c r="E89" i="16"/>
  <c r="F89" i="16"/>
  <c r="B90" i="16"/>
  <c r="C90" i="16"/>
  <c r="D90" i="16"/>
  <c r="E90" i="16"/>
  <c r="F90" i="16"/>
  <c r="G90" i="16"/>
  <c r="B92" i="16"/>
  <c r="C92" i="16"/>
  <c r="B93" i="16"/>
  <c r="C93" i="16"/>
  <c r="B94" i="16"/>
  <c r="C94" i="16"/>
  <c r="B95" i="16"/>
  <c r="B100" i="16"/>
  <c r="C100" i="16"/>
  <c r="D100" i="16"/>
  <c r="F100" i="16"/>
  <c r="G100" i="16"/>
  <c r="B101" i="16"/>
  <c r="C101" i="16"/>
  <c r="D101" i="16"/>
  <c r="E101" i="16"/>
  <c r="F101" i="16"/>
  <c r="G101" i="16"/>
  <c r="H101" i="16"/>
  <c r="I101" i="16"/>
  <c r="J101" i="16"/>
  <c r="B102" i="16"/>
  <c r="C102" i="16"/>
  <c r="D102" i="16"/>
  <c r="E102" i="16"/>
  <c r="F102" i="16"/>
  <c r="G102" i="16"/>
  <c r="H102" i="16"/>
  <c r="I102" i="16"/>
  <c r="J102" i="16"/>
  <c r="B103" i="16"/>
  <c r="C103" i="16"/>
  <c r="D103" i="16"/>
  <c r="E103" i="16"/>
  <c r="F103" i="16"/>
  <c r="G103" i="16"/>
  <c r="H103" i="16"/>
  <c r="I103" i="16"/>
  <c r="J103" i="16"/>
  <c r="B104" i="16"/>
  <c r="C104" i="16"/>
  <c r="D104" i="16"/>
  <c r="E104" i="16"/>
  <c r="F104" i="16"/>
  <c r="G104" i="16"/>
  <c r="H104" i="16"/>
  <c r="I104" i="16"/>
  <c r="J104" i="16"/>
  <c r="B105" i="16"/>
  <c r="C105" i="16"/>
  <c r="D105" i="16"/>
  <c r="E105" i="16"/>
  <c r="F105" i="16"/>
  <c r="G105" i="16"/>
  <c r="I105" i="16"/>
  <c r="J105" i="16"/>
  <c r="C4" i="4"/>
  <c r="D4" i="4"/>
  <c r="E4" i="4"/>
  <c r="F4" i="4"/>
  <c r="B5" i="4"/>
  <c r="C5" i="4"/>
  <c r="F5" i="4"/>
  <c r="B6" i="4"/>
  <c r="C6" i="4"/>
  <c r="D6" i="4"/>
  <c r="F6" i="4"/>
  <c r="B7" i="4"/>
  <c r="C7" i="4"/>
  <c r="D7" i="4"/>
  <c r="E7" i="4"/>
  <c r="F7" i="4"/>
  <c r="B8" i="4"/>
  <c r="C8" i="4"/>
  <c r="D8" i="4"/>
  <c r="E8" i="4"/>
  <c r="F8" i="4"/>
  <c r="B24" i="4"/>
  <c r="C24" i="4"/>
  <c r="F24" i="4"/>
  <c r="G24" i="4"/>
  <c r="H24" i="4"/>
  <c r="F28" i="4"/>
  <c r="I28" i="4"/>
  <c r="F29" i="4"/>
  <c r="I29" i="4"/>
  <c r="F30" i="4"/>
  <c r="I30" i="4"/>
  <c r="F31" i="4"/>
  <c r="I31" i="4"/>
  <c r="F32" i="4"/>
  <c r="I32" i="4"/>
  <c r="F33" i="4"/>
  <c r="I33" i="4"/>
  <c r="F34" i="4"/>
  <c r="I34" i="4"/>
  <c r="F35" i="4"/>
  <c r="I35" i="4"/>
  <c r="F36" i="4"/>
  <c r="I36" i="4"/>
  <c r="F37" i="4"/>
  <c r="I37" i="4"/>
  <c r="F38" i="4"/>
  <c r="I38" i="4"/>
  <c r="F39" i="4"/>
  <c r="I39" i="4"/>
  <c r="B40" i="4"/>
  <c r="C40" i="4"/>
  <c r="D40" i="4"/>
  <c r="F40" i="4"/>
  <c r="G40" i="4"/>
  <c r="H40" i="4"/>
  <c r="C41" i="4"/>
  <c r="D41" i="4"/>
  <c r="B42" i="4"/>
  <c r="C42" i="4"/>
  <c r="D42" i="4"/>
  <c r="F47" i="4"/>
  <c r="I47" i="4"/>
  <c r="F48" i="4"/>
  <c r="I48" i="4"/>
  <c r="F49" i="4"/>
  <c r="I49" i="4"/>
  <c r="F50" i="4"/>
  <c r="I50" i="4"/>
  <c r="F51" i="4"/>
  <c r="I51" i="4"/>
  <c r="F52" i="4"/>
  <c r="I52" i="4"/>
  <c r="F53" i="4"/>
  <c r="I53" i="4"/>
  <c r="F54" i="4"/>
  <c r="I54" i="4"/>
  <c r="F55" i="4"/>
  <c r="I55" i="4"/>
  <c r="F56" i="4"/>
  <c r="I56" i="4"/>
  <c r="F57" i="4"/>
  <c r="I57" i="4"/>
  <c r="F58" i="4"/>
  <c r="I58" i="4"/>
  <c r="B59" i="4"/>
  <c r="C59" i="4"/>
  <c r="D59" i="4"/>
  <c r="E59" i="4"/>
  <c r="F59" i="4"/>
  <c r="G59" i="4"/>
  <c r="H59" i="4"/>
  <c r="I59" i="4"/>
  <c r="C60" i="4"/>
  <c r="D60" i="4"/>
  <c r="E60" i="4"/>
  <c r="F60" i="4"/>
  <c r="B62" i="4"/>
  <c r="C62" i="4"/>
  <c r="D62" i="4"/>
  <c r="E62" i="4"/>
  <c r="F62" i="4"/>
  <c r="G62" i="4"/>
  <c r="C63" i="4"/>
  <c r="D63" i="4"/>
  <c r="E63" i="4"/>
  <c r="F63" i="4"/>
  <c r="B65" i="4"/>
  <c r="C65" i="4"/>
  <c r="D65" i="4"/>
  <c r="E65" i="4"/>
  <c r="F65" i="4"/>
  <c r="G65" i="4"/>
  <c r="C66" i="4"/>
  <c r="D66" i="4"/>
  <c r="E66" i="4"/>
  <c r="F66" i="4"/>
  <c r="B69" i="4"/>
  <c r="C69" i="4"/>
  <c r="D69" i="4"/>
  <c r="E69" i="4"/>
  <c r="F69" i="4"/>
  <c r="C70" i="4"/>
  <c r="D70" i="4"/>
  <c r="E70" i="4"/>
  <c r="F70" i="4"/>
  <c r="F73" i="4"/>
  <c r="G73" i="4"/>
  <c r="C74" i="4"/>
  <c r="D74" i="4"/>
  <c r="E74" i="4"/>
  <c r="F74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G90" i="4"/>
  <c r="B92" i="4"/>
  <c r="C92" i="4"/>
  <c r="B93" i="4"/>
  <c r="C93" i="4"/>
  <c r="B94" i="4"/>
  <c r="C94" i="4"/>
  <c r="B95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4" i="4"/>
  <c r="C114" i="4"/>
  <c r="D114" i="4"/>
  <c r="F114" i="4"/>
  <c r="G114" i="4"/>
  <c r="B115" i="4"/>
  <c r="C115" i="4"/>
  <c r="D115" i="4"/>
  <c r="E115" i="4"/>
  <c r="F115" i="4"/>
  <c r="G115" i="4"/>
  <c r="H115" i="4"/>
  <c r="I115" i="4"/>
  <c r="J115" i="4"/>
  <c r="B116" i="4"/>
  <c r="C116" i="4"/>
  <c r="D116" i="4"/>
  <c r="E116" i="4"/>
  <c r="F116" i="4"/>
  <c r="G116" i="4"/>
  <c r="H116" i="4"/>
  <c r="I116" i="4"/>
  <c r="J116" i="4"/>
  <c r="B117" i="4"/>
  <c r="C117" i="4"/>
  <c r="D117" i="4"/>
  <c r="E117" i="4"/>
  <c r="F117" i="4"/>
  <c r="G117" i="4"/>
  <c r="H117" i="4"/>
  <c r="I117" i="4"/>
  <c r="J117" i="4"/>
  <c r="B118" i="4"/>
  <c r="C118" i="4"/>
  <c r="D118" i="4"/>
  <c r="E118" i="4"/>
  <c r="F118" i="4"/>
  <c r="G118" i="4"/>
  <c r="H118" i="4"/>
  <c r="I118" i="4"/>
  <c r="J118" i="4"/>
  <c r="B119" i="4"/>
  <c r="C119" i="4"/>
  <c r="D119" i="4"/>
  <c r="E119" i="4"/>
  <c r="F119" i="4"/>
  <c r="G119" i="4"/>
  <c r="I119" i="4"/>
  <c r="J119" i="4"/>
  <c r="C4" i="7"/>
  <c r="D4" i="7"/>
  <c r="E4" i="7"/>
  <c r="F4" i="7"/>
  <c r="B5" i="7"/>
  <c r="C5" i="7"/>
  <c r="F5" i="7"/>
  <c r="B6" i="7"/>
  <c r="C6" i="7"/>
  <c r="D6" i="7"/>
  <c r="F6" i="7"/>
  <c r="B7" i="7"/>
  <c r="C7" i="7"/>
  <c r="D7" i="7"/>
  <c r="E7" i="7"/>
  <c r="F7" i="7"/>
  <c r="B8" i="7"/>
  <c r="C8" i="7"/>
  <c r="D8" i="7"/>
  <c r="E8" i="7"/>
  <c r="F8" i="7"/>
  <c r="B24" i="7"/>
  <c r="C24" i="7"/>
  <c r="F24" i="7"/>
  <c r="G24" i="7"/>
  <c r="H24" i="7"/>
  <c r="L24" i="7"/>
  <c r="F28" i="7"/>
  <c r="I28" i="7"/>
  <c r="F29" i="7"/>
  <c r="I29" i="7"/>
  <c r="F30" i="7"/>
  <c r="I30" i="7"/>
  <c r="F31" i="7"/>
  <c r="I31" i="7"/>
  <c r="F32" i="7"/>
  <c r="I32" i="7"/>
  <c r="F33" i="7"/>
  <c r="I33" i="7"/>
  <c r="F34" i="7"/>
  <c r="I34" i="7"/>
  <c r="F35" i="7"/>
  <c r="I35" i="7"/>
  <c r="F36" i="7"/>
  <c r="I36" i="7"/>
  <c r="F37" i="7"/>
  <c r="I37" i="7"/>
  <c r="F38" i="7"/>
  <c r="I38" i="7"/>
  <c r="F39" i="7"/>
  <c r="I39" i="7"/>
  <c r="B40" i="7"/>
  <c r="C40" i="7"/>
  <c r="D40" i="7"/>
  <c r="F40" i="7"/>
  <c r="G40" i="7"/>
  <c r="H40" i="7"/>
  <c r="L40" i="7"/>
  <c r="F47" i="7"/>
  <c r="G47" i="7"/>
  <c r="I47" i="7"/>
  <c r="L47" i="7"/>
  <c r="F48" i="7"/>
  <c r="G48" i="7"/>
  <c r="I48" i="7"/>
  <c r="L48" i="7"/>
  <c r="F49" i="7"/>
  <c r="G49" i="7"/>
  <c r="I49" i="7"/>
  <c r="L49" i="7"/>
  <c r="F50" i="7"/>
  <c r="G50" i="7"/>
  <c r="H50" i="7"/>
  <c r="I50" i="7"/>
  <c r="L50" i="7"/>
  <c r="F51" i="7"/>
  <c r="G51" i="7"/>
  <c r="H51" i="7"/>
  <c r="I51" i="7"/>
  <c r="L51" i="7"/>
  <c r="F52" i="7"/>
  <c r="G52" i="7"/>
  <c r="H52" i="7"/>
  <c r="I52" i="7"/>
  <c r="L52" i="7"/>
  <c r="F53" i="7"/>
  <c r="G53" i="7"/>
  <c r="H53" i="7"/>
  <c r="I53" i="7"/>
  <c r="L53" i="7"/>
  <c r="F54" i="7"/>
  <c r="G54" i="7"/>
  <c r="H54" i="7"/>
  <c r="I54" i="7"/>
  <c r="L54" i="7"/>
  <c r="F55" i="7"/>
  <c r="G55" i="7"/>
  <c r="H55" i="7"/>
  <c r="I55" i="7"/>
  <c r="L55" i="7"/>
  <c r="F56" i="7"/>
  <c r="G56" i="7"/>
  <c r="H56" i="7"/>
  <c r="I56" i="7"/>
  <c r="L56" i="7"/>
  <c r="F57" i="7"/>
  <c r="G57" i="7"/>
  <c r="H57" i="7"/>
  <c r="I57" i="7"/>
  <c r="L57" i="7"/>
  <c r="F58" i="7"/>
  <c r="G58" i="7"/>
  <c r="H58" i="7"/>
  <c r="I58" i="7"/>
  <c r="L58" i="7"/>
  <c r="B59" i="7"/>
  <c r="C59" i="7"/>
  <c r="D59" i="7"/>
  <c r="E59" i="7"/>
  <c r="F59" i="7"/>
  <c r="G59" i="7"/>
  <c r="H59" i="7"/>
  <c r="I59" i="7"/>
  <c r="L59" i="7"/>
  <c r="C60" i="7"/>
  <c r="D60" i="7"/>
  <c r="E60" i="7"/>
  <c r="F60" i="7"/>
  <c r="H60" i="7"/>
  <c r="B62" i="7"/>
  <c r="C62" i="7"/>
  <c r="D62" i="7"/>
  <c r="E62" i="7"/>
  <c r="F62" i="7"/>
  <c r="G62" i="7"/>
  <c r="C63" i="7"/>
  <c r="D63" i="7"/>
  <c r="E63" i="7"/>
  <c r="F63" i="7"/>
  <c r="B65" i="7"/>
  <c r="C65" i="7"/>
  <c r="D65" i="7"/>
  <c r="E65" i="7"/>
  <c r="F65" i="7"/>
  <c r="G65" i="7"/>
  <c r="C66" i="7"/>
  <c r="D66" i="7"/>
  <c r="E66" i="7"/>
  <c r="F66" i="7"/>
  <c r="B69" i="7"/>
  <c r="C69" i="7"/>
  <c r="D69" i="7"/>
  <c r="E69" i="7"/>
  <c r="F69" i="7"/>
  <c r="C70" i="7"/>
  <c r="D70" i="7"/>
  <c r="E70" i="7"/>
  <c r="F70" i="7"/>
  <c r="F73" i="7"/>
  <c r="G73" i="7"/>
  <c r="C74" i="7"/>
  <c r="D74" i="7"/>
  <c r="E74" i="7"/>
  <c r="F74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G90" i="7"/>
  <c r="B92" i="7"/>
  <c r="C92" i="7"/>
  <c r="B93" i="7"/>
  <c r="C93" i="7"/>
  <c r="B94" i="7"/>
  <c r="C94" i="7"/>
  <c r="B95" i="7"/>
  <c r="B99" i="7"/>
  <c r="C99" i="7"/>
  <c r="D99" i="7"/>
  <c r="F99" i="7"/>
  <c r="G99" i="7"/>
  <c r="B100" i="7"/>
  <c r="C100" i="7"/>
  <c r="D100" i="7"/>
  <c r="E100" i="7"/>
  <c r="F100" i="7"/>
  <c r="G100" i="7"/>
  <c r="K100" i="7"/>
  <c r="L100" i="7"/>
  <c r="B101" i="7"/>
  <c r="C101" i="7"/>
  <c r="D101" i="7"/>
  <c r="E101" i="7"/>
  <c r="F101" i="7"/>
  <c r="G101" i="7"/>
  <c r="K101" i="7"/>
  <c r="L101" i="7"/>
  <c r="B102" i="7"/>
  <c r="C102" i="7"/>
  <c r="D102" i="7"/>
  <c r="E102" i="7"/>
  <c r="F102" i="7"/>
  <c r="G102" i="7"/>
  <c r="K102" i="7"/>
  <c r="L102" i="7"/>
  <c r="B103" i="7"/>
  <c r="C103" i="7"/>
  <c r="D103" i="7"/>
  <c r="E103" i="7"/>
  <c r="F103" i="7"/>
  <c r="G103" i="7"/>
  <c r="K103" i="7"/>
  <c r="L103" i="7"/>
  <c r="B104" i="7"/>
  <c r="C104" i="7"/>
  <c r="D104" i="7"/>
  <c r="E104" i="7"/>
  <c r="F104" i="7"/>
  <c r="G104" i="7"/>
  <c r="K104" i="7"/>
  <c r="L104" i="7"/>
  <c r="B6" i="15"/>
  <c r="C6" i="15"/>
  <c r="D6" i="15"/>
  <c r="E6" i="15"/>
  <c r="F6" i="15"/>
  <c r="G6" i="15"/>
  <c r="I6" i="15"/>
  <c r="B7" i="15"/>
  <c r="C7" i="15"/>
  <c r="D7" i="15"/>
  <c r="E7" i="15"/>
  <c r="F7" i="15"/>
  <c r="G7" i="15"/>
  <c r="I7" i="15"/>
  <c r="B8" i="15"/>
  <c r="C8" i="15"/>
  <c r="D8" i="15"/>
  <c r="E8" i="15"/>
  <c r="F8" i="15"/>
  <c r="G8" i="15"/>
  <c r="I8" i="15"/>
  <c r="B9" i="15"/>
  <c r="C9" i="15"/>
  <c r="D9" i="15"/>
  <c r="E9" i="15"/>
  <c r="F9" i="15"/>
  <c r="G9" i="15"/>
  <c r="H9" i="15"/>
  <c r="I9" i="15"/>
  <c r="B10" i="15"/>
  <c r="C10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B19" i="15"/>
  <c r="C19" i="15"/>
  <c r="D19" i="15"/>
  <c r="E19" i="15"/>
  <c r="G19" i="15"/>
  <c r="I19" i="15"/>
  <c r="J19" i="15"/>
  <c r="B20" i="15"/>
  <c r="C20" i="15"/>
  <c r="D20" i="15"/>
  <c r="E20" i="15"/>
  <c r="G20" i="15"/>
  <c r="I20" i="15"/>
  <c r="J20" i="15"/>
  <c r="B21" i="15"/>
  <c r="C21" i="15"/>
  <c r="D21" i="15"/>
  <c r="E21" i="15"/>
  <c r="G21" i="15"/>
  <c r="I21" i="15"/>
  <c r="J21" i="15"/>
  <c r="B22" i="15"/>
  <c r="C22" i="15"/>
  <c r="D22" i="15"/>
  <c r="E22" i="15"/>
  <c r="G22" i="15"/>
  <c r="H22" i="15"/>
  <c r="I22" i="15"/>
  <c r="J22" i="15"/>
  <c r="B23" i="15"/>
  <c r="C23" i="15"/>
  <c r="D23" i="15"/>
  <c r="E23" i="15"/>
  <c r="F23" i="15"/>
  <c r="G23" i="15"/>
  <c r="H23" i="15"/>
  <c r="I23" i="15"/>
  <c r="J23" i="15"/>
  <c r="D24" i="15"/>
  <c r="E24" i="15"/>
  <c r="F24" i="15"/>
  <c r="G24" i="15"/>
  <c r="H24" i="15"/>
  <c r="I24" i="15"/>
  <c r="B28" i="15"/>
  <c r="E28" i="15"/>
  <c r="F28" i="15"/>
  <c r="G28" i="15"/>
  <c r="H28" i="15"/>
  <c r="J28" i="15"/>
  <c r="O34" i="15"/>
  <c r="B35" i="15"/>
  <c r="C35" i="15"/>
  <c r="D35" i="15"/>
  <c r="E35" i="15"/>
  <c r="F35" i="15"/>
  <c r="G35" i="15"/>
  <c r="H35" i="15"/>
  <c r="I35" i="15"/>
  <c r="J35" i="15"/>
  <c r="K35" i="15"/>
  <c r="L35" i="15"/>
  <c r="O35" i="15"/>
  <c r="B36" i="15"/>
  <c r="C36" i="15"/>
  <c r="D36" i="15"/>
  <c r="E36" i="15"/>
  <c r="F36" i="15"/>
  <c r="G36" i="15"/>
  <c r="H36" i="15"/>
  <c r="I36" i="15"/>
  <c r="J36" i="15"/>
  <c r="K36" i="15"/>
  <c r="L36" i="15"/>
  <c r="O36" i="15"/>
  <c r="B37" i="15"/>
  <c r="C37" i="15"/>
  <c r="D37" i="15"/>
  <c r="E37" i="15"/>
  <c r="F37" i="15"/>
  <c r="G37" i="15"/>
  <c r="H37" i="15"/>
  <c r="I37" i="15"/>
  <c r="J37" i="15"/>
  <c r="K37" i="15"/>
  <c r="L37" i="15"/>
  <c r="O37" i="15"/>
  <c r="B38" i="15"/>
  <c r="C38" i="15"/>
  <c r="D38" i="15"/>
  <c r="E38" i="15"/>
  <c r="F38" i="15"/>
  <c r="G38" i="15"/>
  <c r="H38" i="15"/>
  <c r="I38" i="15"/>
  <c r="J38" i="15"/>
  <c r="K38" i="15"/>
  <c r="L38" i="15"/>
  <c r="B39" i="15"/>
  <c r="C39" i="15"/>
  <c r="D39" i="15"/>
  <c r="E39" i="15"/>
  <c r="F39" i="15"/>
  <c r="G39" i="15"/>
  <c r="H39" i="15"/>
  <c r="I39" i="15"/>
  <c r="J39" i="15"/>
  <c r="K39" i="15"/>
  <c r="L39" i="15"/>
  <c r="B46" i="15"/>
  <c r="C46" i="15"/>
  <c r="D46" i="15"/>
  <c r="E46" i="15"/>
  <c r="F46" i="15"/>
  <c r="G46" i="15"/>
  <c r="H46" i="15"/>
  <c r="I46" i="15"/>
  <c r="B47" i="15"/>
  <c r="C47" i="15"/>
  <c r="D47" i="15"/>
  <c r="E47" i="15"/>
  <c r="F47" i="15"/>
  <c r="G47" i="15"/>
  <c r="H47" i="15"/>
  <c r="I47" i="15"/>
  <c r="B48" i="15"/>
  <c r="C48" i="15"/>
  <c r="D48" i="15"/>
  <c r="E48" i="15"/>
  <c r="F48" i="15"/>
  <c r="G48" i="15"/>
  <c r="H48" i="15"/>
  <c r="I48" i="15"/>
  <c r="B49" i="15"/>
  <c r="C49" i="15"/>
  <c r="D49" i="15"/>
  <c r="E49" i="15"/>
  <c r="F49" i="15"/>
  <c r="G49" i="15"/>
  <c r="H49" i="15"/>
  <c r="I49" i="15"/>
  <c r="B50" i="15"/>
  <c r="C50" i="15"/>
  <c r="D50" i="15"/>
  <c r="E50" i="15"/>
  <c r="F50" i="15"/>
  <c r="G50" i="15"/>
  <c r="H50" i="15"/>
  <c r="I50" i="15"/>
  <c r="E60" i="15"/>
  <c r="F60" i="15"/>
  <c r="G60" i="15"/>
  <c r="E62" i="15"/>
  <c r="F62" i="15"/>
  <c r="G62" i="15"/>
  <c r="E65" i="15"/>
  <c r="E67" i="15"/>
  <c r="F67" i="15"/>
  <c r="G67" i="15"/>
  <c r="E69" i="15"/>
  <c r="F69" i="15"/>
  <c r="G69" i="15"/>
  <c r="C4" i="12"/>
  <c r="D4" i="12"/>
  <c r="E4" i="12"/>
  <c r="B5" i="12"/>
  <c r="C5" i="12"/>
  <c r="F5" i="12"/>
  <c r="B6" i="12"/>
  <c r="C6" i="12"/>
  <c r="D6" i="12"/>
  <c r="F6" i="12"/>
  <c r="B7" i="12"/>
  <c r="C7" i="12"/>
  <c r="D7" i="12"/>
  <c r="E7" i="12"/>
  <c r="F7" i="12"/>
  <c r="B8" i="12"/>
  <c r="C8" i="12"/>
  <c r="D8" i="12"/>
  <c r="E8" i="12"/>
  <c r="F8" i="12"/>
  <c r="B24" i="12"/>
  <c r="C24" i="12"/>
  <c r="F24" i="12"/>
  <c r="G24" i="12"/>
  <c r="H24" i="12"/>
  <c r="F28" i="12"/>
  <c r="I28" i="12"/>
  <c r="F29" i="12"/>
  <c r="I29" i="12"/>
  <c r="F30" i="12"/>
  <c r="I30" i="12"/>
  <c r="F31" i="12"/>
  <c r="I31" i="12"/>
  <c r="F32" i="12"/>
  <c r="I32" i="12"/>
  <c r="F33" i="12"/>
  <c r="I33" i="12"/>
  <c r="F34" i="12"/>
  <c r="I34" i="12"/>
  <c r="F35" i="12"/>
  <c r="I35" i="12"/>
  <c r="F36" i="12"/>
  <c r="I36" i="12"/>
  <c r="F37" i="12"/>
  <c r="I37" i="12"/>
  <c r="F38" i="12"/>
  <c r="I38" i="12"/>
  <c r="F39" i="12"/>
  <c r="I39" i="12"/>
  <c r="B40" i="12"/>
  <c r="C40" i="12"/>
  <c r="D40" i="12"/>
  <c r="F40" i="12"/>
  <c r="G40" i="12"/>
  <c r="H40" i="12"/>
  <c r="C41" i="12"/>
  <c r="D41" i="12"/>
  <c r="F47" i="12"/>
  <c r="I47" i="12"/>
  <c r="F48" i="12"/>
  <c r="I48" i="12"/>
  <c r="F49" i="12"/>
  <c r="I49" i="12"/>
  <c r="F50" i="12"/>
  <c r="I50" i="12"/>
  <c r="F51" i="12"/>
  <c r="I51" i="12"/>
  <c r="F52" i="12"/>
  <c r="I52" i="12"/>
  <c r="F53" i="12"/>
  <c r="I53" i="12"/>
  <c r="F54" i="12"/>
  <c r="I54" i="12"/>
  <c r="F55" i="12"/>
  <c r="I55" i="12"/>
  <c r="F56" i="12"/>
  <c r="I56" i="12"/>
  <c r="F57" i="12"/>
  <c r="I57" i="12"/>
  <c r="F58" i="12"/>
  <c r="I58" i="12"/>
  <c r="B59" i="12"/>
  <c r="C59" i="12"/>
  <c r="D59" i="12"/>
  <c r="E59" i="12"/>
  <c r="F59" i="12"/>
  <c r="G59" i="12"/>
  <c r="H59" i="12"/>
  <c r="I59" i="12"/>
  <c r="C60" i="12"/>
  <c r="D60" i="12"/>
  <c r="E60" i="12"/>
  <c r="F60" i="12"/>
  <c r="B62" i="12"/>
  <c r="C62" i="12"/>
  <c r="D62" i="12"/>
  <c r="E62" i="12"/>
  <c r="F62" i="12"/>
  <c r="G62" i="12"/>
  <c r="C63" i="12"/>
  <c r="D63" i="12"/>
  <c r="E63" i="12"/>
  <c r="F63" i="12"/>
  <c r="B65" i="12"/>
  <c r="C65" i="12"/>
  <c r="D65" i="12"/>
  <c r="E65" i="12"/>
  <c r="F65" i="12"/>
  <c r="G65" i="12"/>
  <c r="C66" i="12"/>
  <c r="D66" i="12"/>
  <c r="E66" i="12"/>
  <c r="F66" i="12"/>
  <c r="B69" i="12"/>
  <c r="C69" i="12"/>
  <c r="D69" i="12"/>
  <c r="E69" i="12"/>
  <c r="F69" i="12"/>
  <c r="C70" i="12"/>
  <c r="D70" i="12"/>
  <c r="E70" i="12"/>
  <c r="F70" i="12"/>
  <c r="B78" i="12"/>
  <c r="C78" i="12"/>
  <c r="D78" i="12"/>
  <c r="E78" i="12"/>
  <c r="F78" i="12"/>
  <c r="B79" i="12"/>
  <c r="C79" i="12"/>
  <c r="D79" i="12"/>
  <c r="E79" i="12"/>
  <c r="F79" i="12"/>
  <c r="B80" i="12"/>
  <c r="C80" i="12"/>
  <c r="D80" i="12"/>
  <c r="E80" i="12"/>
  <c r="F80" i="12"/>
  <c r="B81" i="12"/>
  <c r="C81" i="12"/>
  <c r="D81" i="12"/>
  <c r="E81" i="12"/>
  <c r="F81" i="12"/>
  <c r="B82" i="12"/>
  <c r="C82" i="12"/>
  <c r="D82" i="12"/>
  <c r="E82" i="12"/>
  <c r="F82" i="12"/>
  <c r="B83" i="12"/>
  <c r="C83" i="12"/>
  <c r="D83" i="12"/>
  <c r="E83" i="12"/>
  <c r="F83" i="12"/>
  <c r="B84" i="12"/>
  <c r="C84" i="12"/>
  <c r="D84" i="12"/>
  <c r="E84" i="12"/>
  <c r="F84" i="12"/>
  <c r="B85" i="12"/>
  <c r="C85" i="12"/>
  <c r="D85" i="12"/>
  <c r="E85" i="12"/>
  <c r="F85" i="12"/>
  <c r="B86" i="12"/>
  <c r="C86" i="12"/>
  <c r="D86" i="12"/>
  <c r="E86" i="12"/>
  <c r="F86" i="12"/>
  <c r="B87" i="12"/>
  <c r="C87" i="12"/>
  <c r="D87" i="12"/>
  <c r="E87" i="12"/>
  <c r="F87" i="12"/>
  <c r="B88" i="12"/>
  <c r="C88" i="12"/>
  <c r="D88" i="12"/>
  <c r="E88" i="12"/>
  <c r="F88" i="12"/>
  <c r="B89" i="12"/>
  <c r="C89" i="12"/>
  <c r="D89" i="12"/>
  <c r="E89" i="12"/>
  <c r="F89" i="12"/>
  <c r="B90" i="12"/>
  <c r="C90" i="12"/>
  <c r="D90" i="12"/>
  <c r="E90" i="12"/>
  <c r="F90" i="12"/>
  <c r="G90" i="12"/>
  <c r="B92" i="12"/>
  <c r="C92" i="12"/>
  <c r="B93" i="12"/>
  <c r="C93" i="12"/>
  <c r="B94" i="12"/>
  <c r="C94" i="12"/>
  <c r="B95" i="12"/>
  <c r="B100" i="12"/>
  <c r="C100" i="12"/>
  <c r="D100" i="12"/>
  <c r="F100" i="12"/>
  <c r="G100" i="12"/>
  <c r="B101" i="12"/>
  <c r="C101" i="12"/>
  <c r="D101" i="12"/>
  <c r="E101" i="12"/>
  <c r="F101" i="12"/>
  <c r="G101" i="12"/>
  <c r="B102" i="12"/>
  <c r="C102" i="12"/>
  <c r="D102" i="12"/>
  <c r="E102" i="12"/>
  <c r="F102" i="12"/>
  <c r="G102" i="12"/>
  <c r="B103" i="12"/>
  <c r="C103" i="12"/>
  <c r="D103" i="12"/>
  <c r="E103" i="12"/>
  <c r="F103" i="12"/>
  <c r="G103" i="12"/>
  <c r="B104" i="12"/>
  <c r="C104" i="12"/>
  <c r="D104" i="12"/>
  <c r="E104" i="12"/>
  <c r="F104" i="12"/>
  <c r="G104" i="12"/>
  <c r="B105" i="12"/>
  <c r="C105" i="12"/>
  <c r="D105" i="12"/>
  <c r="E105" i="12"/>
  <c r="F105" i="12"/>
  <c r="G105" i="12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E12" i="8"/>
  <c r="F1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E28" i="8"/>
  <c r="F28" i="8"/>
  <c r="B44" i="8"/>
  <c r="D44" i="8"/>
  <c r="E44" i="8"/>
  <c r="G44" i="8"/>
  <c r="B45" i="8"/>
  <c r="D45" i="8"/>
  <c r="E45" i="8"/>
  <c r="G45" i="8"/>
  <c r="B46" i="8"/>
  <c r="D46" i="8"/>
  <c r="E46" i="8"/>
  <c r="G46" i="8"/>
  <c r="B47" i="8"/>
  <c r="D47" i="8"/>
  <c r="E47" i="8"/>
  <c r="G47" i="8"/>
  <c r="B48" i="8"/>
  <c r="D48" i="8"/>
  <c r="E48" i="8"/>
  <c r="G48" i="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24" i="18"/>
  <c r="C24" i="18"/>
  <c r="D24" i="18"/>
  <c r="E24" i="18"/>
  <c r="F24" i="18"/>
  <c r="G24" i="18"/>
  <c r="H24" i="18"/>
  <c r="I24" i="18"/>
  <c r="J24" i="18"/>
  <c r="B25" i="18"/>
  <c r="C25" i="18"/>
  <c r="D25" i="18"/>
  <c r="E25" i="18"/>
  <c r="F25" i="18"/>
  <c r="G25" i="18"/>
  <c r="H25" i="18"/>
  <c r="I25" i="18"/>
  <c r="J25" i="18"/>
  <c r="B26" i="18"/>
  <c r="C26" i="18"/>
  <c r="D26" i="18"/>
  <c r="E26" i="18"/>
  <c r="F26" i="18"/>
  <c r="G26" i="18"/>
  <c r="H26" i="18"/>
  <c r="I26" i="18"/>
  <c r="J26" i="18"/>
  <c r="B27" i="18"/>
  <c r="C27" i="18"/>
  <c r="D27" i="18"/>
  <c r="E27" i="18"/>
  <c r="F27" i="18"/>
  <c r="G27" i="18"/>
  <c r="H27" i="18"/>
  <c r="I27" i="18"/>
  <c r="J27" i="18"/>
  <c r="B28" i="18"/>
  <c r="C28" i="18"/>
  <c r="D28" i="18"/>
  <c r="E28" i="18"/>
  <c r="F28" i="18"/>
  <c r="G28" i="18"/>
  <c r="H28" i="18"/>
  <c r="I28" i="18"/>
  <c r="J28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8" i="17"/>
  <c r="D8" i="17"/>
  <c r="E8" i="17"/>
  <c r="F8" i="17"/>
  <c r="G8" i="17"/>
  <c r="H8" i="17"/>
  <c r="I8" i="17"/>
  <c r="C9" i="17"/>
  <c r="D9" i="17"/>
  <c r="E9" i="17"/>
  <c r="F9" i="17"/>
  <c r="G9" i="17"/>
  <c r="H9" i="17"/>
  <c r="I9" i="17"/>
  <c r="C10" i="17"/>
  <c r="D10" i="17"/>
  <c r="E10" i="17"/>
  <c r="F10" i="17"/>
  <c r="G10" i="17"/>
  <c r="H10" i="17"/>
  <c r="I10" i="17"/>
  <c r="C11" i="17"/>
  <c r="D11" i="17"/>
  <c r="E11" i="17"/>
  <c r="F11" i="17"/>
  <c r="G11" i="17"/>
  <c r="H11" i="17"/>
  <c r="I11" i="17"/>
  <c r="C12" i="17"/>
  <c r="D12" i="17"/>
  <c r="E12" i="17"/>
  <c r="F12" i="17"/>
  <c r="G12" i="17"/>
  <c r="H12" i="17"/>
  <c r="I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C14" i="17"/>
  <c r="D14" i="17"/>
  <c r="E14" i="17"/>
  <c r="F14" i="17"/>
  <c r="G14" i="17"/>
  <c r="H14" i="17"/>
  <c r="I14" i="17"/>
  <c r="C15" i="17"/>
  <c r="D15" i="17"/>
  <c r="E15" i="17"/>
  <c r="F15" i="17"/>
  <c r="G15" i="17"/>
  <c r="H15" i="17"/>
  <c r="I15" i="17"/>
  <c r="C16" i="17"/>
  <c r="D16" i="17"/>
  <c r="E16" i="17"/>
  <c r="F16" i="17"/>
  <c r="G16" i="17"/>
  <c r="H16" i="17"/>
  <c r="I16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O18" i="17"/>
  <c r="P18" i="17"/>
  <c r="Q18" i="17"/>
  <c r="R18" i="17"/>
  <c r="S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B20" i="17"/>
  <c r="C20" i="17"/>
  <c r="D20" i="17"/>
  <c r="E20" i="17"/>
  <c r="F20" i="17"/>
  <c r="G20" i="17"/>
  <c r="H20" i="17"/>
  <c r="I20" i="17"/>
  <c r="J20" i="17"/>
  <c r="K20" i="17"/>
  <c r="M20" i="17"/>
  <c r="D26" i="17"/>
  <c r="G26" i="17"/>
  <c r="H26" i="17"/>
  <c r="I26" i="17"/>
  <c r="D27" i="17"/>
  <c r="G27" i="17"/>
  <c r="H27" i="17"/>
  <c r="I27" i="17"/>
  <c r="D28" i="17"/>
  <c r="G28" i="17"/>
  <c r="H28" i="17"/>
  <c r="I28" i="17"/>
  <c r="D29" i="17"/>
  <c r="G29" i="17"/>
  <c r="H29" i="17"/>
  <c r="I29" i="17"/>
  <c r="D30" i="17"/>
  <c r="G30" i="17"/>
  <c r="H30" i="17"/>
  <c r="I30" i="17"/>
  <c r="D31" i="17"/>
  <c r="G31" i="17"/>
  <c r="H31" i="17"/>
  <c r="I31" i="17"/>
  <c r="J31" i="17"/>
  <c r="D32" i="17"/>
  <c r="G32" i="17"/>
  <c r="H32" i="17"/>
  <c r="I32" i="17"/>
  <c r="D33" i="17"/>
  <c r="G33" i="17"/>
  <c r="H33" i="17"/>
  <c r="I33" i="17"/>
  <c r="D34" i="17"/>
  <c r="G34" i="17"/>
  <c r="H34" i="17"/>
  <c r="I34" i="17"/>
  <c r="D35" i="17"/>
  <c r="G35" i="17"/>
  <c r="H35" i="17"/>
  <c r="I35" i="17"/>
  <c r="D36" i="17"/>
  <c r="G36" i="17"/>
  <c r="H36" i="17"/>
  <c r="I36" i="17"/>
  <c r="D37" i="17"/>
  <c r="G37" i="17"/>
  <c r="H37" i="17"/>
  <c r="I37" i="17"/>
  <c r="J37" i="17"/>
  <c r="B38" i="17"/>
  <c r="C38" i="17"/>
  <c r="D38" i="17"/>
  <c r="E38" i="17"/>
  <c r="F38" i="17"/>
  <c r="G38" i="17"/>
  <c r="H38" i="17"/>
  <c r="I38" i="17"/>
  <c r="J38" i="17"/>
  <c r="O38" i="17"/>
  <c r="P38" i="17"/>
  <c r="C6" i="3"/>
  <c r="E6" i="3"/>
  <c r="C7" i="3"/>
  <c r="E7" i="3"/>
  <c r="B8" i="3"/>
  <c r="C8" i="3"/>
  <c r="D8" i="3"/>
  <c r="E8" i="3"/>
  <c r="F8" i="3"/>
  <c r="B9" i="3"/>
  <c r="C9" i="3"/>
  <c r="D9" i="3"/>
  <c r="E9" i="3"/>
  <c r="F9" i="3"/>
  <c r="J11" i="3"/>
  <c r="J12" i="3"/>
  <c r="C17" i="3"/>
  <c r="C19" i="3"/>
  <c r="C20" i="3"/>
  <c r="B6" i="2"/>
  <c r="C6" i="2"/>
  <c r="D6" i="2"/>
  <c r="F6" i="2"/>
  <c r="C7" i="2"/>
  <c r="D7" i="2"/>
  <c r="E7" i="2"/>
  <c r="B9" i="2"/>
  <c r="C9" i="2"/>
  <c r="D9" i="2"/>
  <c r="E9" i="2"/>
  <c r="F9" i="2"/>
  <c r="C10" i="2"/>
  <c r="D10" i="2"/>
  <c r="E10" i="2"/>
  <c r="B13" i="2"/>
  <c r="C13" i="2"/>
  <c r="D13" i="2"/>
  <c r="E13" i="2"/>
  <c r="F13" i="2"/>
  <c r="C14" i="2"/>
  <c r="D14" i="2"/>
  <c r="E14" i="2"/>
  <c r="C16" i="2"/>
  <c r="D16" i="2"/>
  <c r="F16" i="2"/>
  <c r="C17" i="2"/>
  <c r="D17" i="2"/>
  <c r="E17" i="2"/>
  <c r="B6" i="14"/>
  <c r="C6" i="14"/>
  <c r="D6" i="14"/>
  <c r="E6" i="14"/>
  <c r="G6" i="14"/>
  <c r="I6" i="14"/>
  <c r="B7" i="14"/>
  <c r="C7" i="14"/>
  <c r="D7" i="14"/>
  <c r="E7" i="14"/>
  <c r="G7" i="14"/>
  <c r="I7" i="14"/>
  <c r="B8" i="14"/>
  <c r="C8" i="14"/>
  <c r="D8" i="14"/>
  <c r="E8" i="14"/>
  <c r="F8" i="14"/>
  <c r="G8" i="14"/>
  <c r="I8" i="14"/>
  <c r="B9" i="14"/>
  <c r="C9" i="14"/>
  <c r="D9" i="14"/>
  <c r="E9" i="14"/>
  <c r="F9" i="14"/>
  <c r="G9" i="14"/>
  <c r="I9" i="14"/>
  <c r="B10" i="14"/>
  <c r="C10" i="14"/>
  <c r="D10" i="14"/>
  <c r="E10" i="14"/>
  <c r="F10" i="14"/>
  <c r="G10" i="14"/>
  <c r="H10" i="14"/>
  <c r="I10" i="14"/>
  <c r="D11" i="14"/>
  <c r="E11" i="14"/>
  <c r="F11" i="14"/>
  <c r="G11" i="14"/>
  <c r="H11" i="14"/>
  <c r="I11" i="14"/>
  <c r="B18" i="14"/>
  <c r="C18" i="14"/>
  <c r="D18" i="14"/>
  <c r="E18" i="14"/>
  <c r="G18" i="14"/>
  <c r="I18" i="14"/>
  <c r="B19" i="14"/>
  <c r="C19" i="14"/>
  <c r="D19" i="14"/>
  <c r="E19" i="14"/>
  <c r="G19" i="14"/>
  <c r="I19" i="14"/>
  <c r="B20" i="14"/>
  <c r="C20" i="14"/>
  <c r="D20" i="14"/>
  <c r="E20" i="14"/>
  <c r="I20" i="14"/>
  <c r="B21" i="14"/>
  <c r="C21" i="14"/>
  <c r="D21" i="14"/>
  <c r="E21" i="14"/>
  <c r="G21" i="14"/>
  <c r="I21" i="14"/>
  <c r="B22" i="14"/>
  <c r="C22" i="14"/>
  <c r="D22" i="14"/>
  <c r="E22" i="14"/>
  <c r="F22" i="14"/>
  <c r="G22" i="14"/>
  <c r="H22" i="14"/>
  <c r="I22" i="14"/>
  <c r="D23" i="14"/>
  <c r="E23" i="14"/>
  <c r="F23" i="14"/>
  <c r="G23" i="14"/>
  <c r="H23" i="14"/>
  <c r="I23" i="14"/>
  <c r="B29" i="14"/>
  <c r="C29" i="14"/>
  <c r="D29" i="14"/>
  <c r="E29" i="14"/>
  <c r="F29" i="14"/>
  <c r="G29" i="14"/>
  <c r="J29" i="14"/>
  <c r="B30" i="14"/>
  <c r="C30" i="14"/>
  <c r="D30" i="14"/>
  <c r="E30" i="14"/>
  <c r="F30" i="14"/>
  <c r="G30" i="14"/>
  <c r="B31" i="14"/>
  <c r="C31" i="14"/>
  <c r="D31" i="14"/>
  <c r="E31" i="14"/>
  <c r="F31" i="14"/>
  <c r="G31" i="14"/>
  <c r="J31" i="14"/>
  <c r="B32" i="14"/>
  <c r="C32" i="14"/>
  <c r="D32" i="14"/>
  <c r="E32" i="14"/>
  <c r="F32" i="14"/>
  <c r="G32" i="14"/>
  <c r="J32" i="14"/>
  <c r="J34" i="14"/>
  <c r="C37" i="14"/>
  <c r="G37" i="14"/>
  <c r="J37" i="14"/>
  <c r="C38" i="14"/>
  <c r="G38" i="14"/>
  <c r="C39" i="14"/>
  <c r="G39" i="14"/>
  <c r="J39" i="14"/>
  <c r="B40" i="14"/>
  <c r="C40" i="14"/>
  <c r="D40" i="14"/>
  <c r="E40" i="14"/>
  <c r="F40" i="14"/>
  <c r="G40" i="14"/>
  <c r="J40" i="14"/>
  <c r="B46" i="14"/>
  <c r="C46" i="14"/>
  <c r="D46" i="14"/>
  <c r="F46" i="14"/>
  <c r="G46" i="14"/>
  <c r="B47" i="14"/>
  <c r="C47" i="14"/>
  <c r="D47" i="14"/>
  <c r="E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4" i="14"/>
  <c r="C54" i="14"/>
  <c r="D54" i="14"/>
  <c r="E54" i="14"/>
  <c r="F54" i="14"/>
  <c r="G54" i="14"/>
  <c r="J54" i="14"/>
  <c r="B55" i="14"/>
  <c r="C55" i="14"/>
  <c r="D55" i="14"/>
  <c r="E55" i="14"/>
  <c r="F55" i="14"/>
  <c r="G55" i="14"/>
  <c r="B56" i="14"/>
  <c r="C56" i="14"/>
  <c r="D56" i="14"/>
  <c r="E56" i="14"/>
  <c r="F56" i="14"/>
  <c r="G56" i="14"/>
  <c r="J56" i="14"/>
  <c r="B57" i="14"/>
  <c r="C57" i="14"/>
  <c r="D57" i="14"/>
  <c r="E57" i="14"/>
  <c r="F57" i="14"/>
  <c r="G57" i="14"/>
  <c r="J57" i="14"/>
  <c r="C62" i="14"/>
  <c r="G62" i="14"/>
  <c r="J62" i="14"/>
  <c r="C63" i="14"/>
  <c r="G63" i="14"/>
  <c r="J63" i="14"/>
  <c r="C64" i="14"/>
  <c r="G64" i="14"/>
  <c r="J64" i="14"/>
  <c r="B65" i="14"/>
  <c r="C65" i="14"/>
  <c r="D65" i="14"/>
  <c r="E65" i="14"/>
  <c r="F65" i="14"/>
  <c r="G65" i="14"/>
  <c r="J65" i="14"/>
</calcChain>
</file>

<file path=xl/sharedStrings.xml><?xml version="1.0" encoding="utf-8"?>
<sst xmlns="http://schemas.openxmlformats.org/spreadsheetml/2006/main" count="804" uniqueCount="206">
  <si>
    <t>Tier 3 Based on 130 Percent of Baseline</t>
  </si>
  <si>
    <t>Tier 1</t>
  </si>
  <si>
    <t>Tier 2</t>
  </si>
  <si>
    <t>Tier 3</t>
  </si>
  <si>
    <t>Total Usage By Tier</t>
  </si>
  <si>
    <t>TR1</t>
  </si>
  <si>
    <t>CUSTS</t>
  </si>
  <si>
    <t>TR1 kWh</t>
  </si>
  <si>
    <t>Total kWh</t>
  </si>
  <si>
    <t>TR2</t>
  </si>
  <si>
    <t>TR2 kWh</t>
  </si>
  <si>
    <t>TR3</t>
  </si>
  <si>
    <t>TR3 kWh</t>
  </si>
  <si>
    <t>All Res</t>
  </si>
  <si>
    <t>12 mos. in Tier 3</t>
  </si>
  <si>
    <t>Total Bills</t>
  </si>
  <si>
    <t>Total</t>
  </si>
  <si>
    <t>T3 with T2 Bills</t>
  </si>
  <si>
    <t>T2 with T1 Bills</t>
  </si>
  <si>
    <t>Total Tier 1 bills</t>
  </si>
  <si>
    <t>Total Tier 2 bills</t>
  </si>
  <si>
    <t>Total Tier 3 bills</t>
  </si>
  <si>
    <t>Percent of</t>
  </si>
  <si>
    <t>Customers</t>
  </si>
  <si>
    <t>total kWh</t>
  </si>
  <si>
    <t>Total Tier 3</t>
  </si>
  <si>
    <t xml:space="preserve">1 - 3 months </t>
  </si>
  <si>
    <t>12 months</t>
  </si>
  <si>
    <t>TR1 Only</t>
  </si>
  <si>
    <t>130% Baseline</t>
  </si>
  <si>
    <t>200% Baseline</t>
  </si>
  <si>
    <t>November 1999 to October 2000</t>
  </si>
  <si>
    <t>Pct. of Usage</t>
  </si>
  <si>
    <t>100% Baseline</t>
  </si>
  <si>
    <t>Pct. of total Usage</t>
  </si>
  <si>
    <t>Surcharge</t>
  </si>
  <si>
    <t>Months</t>
  </si>
  <si>
    <t>Tier 1 Only</t>
  </si>
  <si>
    <t>Non-CARE</t>
  </si>
  <si>
    <t>CARE</t>
  </si>
  <si>
    <t>Tier 3 Based on 200 Percent of Baseline</t>
  </si>
  <si>
    <t>Pct. Increase</t>
  </si>
  <si>
    <t>Proposed Increase</t>
  </si>
  <si>
    <t>Current Bill</t>
  </si>
  <si>
    <t>Pre-Discount</t>
  </si>
  <si>
    <t>Post-Discount</t>
  </si>
  <si>
    <t>1 - 3 months</t>
  </si>
  <si>
    <t>4 - 7 months</t>
  </si>
  <si>
    <t>8 - 11 months</t>
  </si>
  <si>
    <t>No Tier 3</t>
  </si>
  <si>
    <t>Percent</t>
  </si>
  <si>
    <t>Bill Increase</t>
  </si>
  <si>
    <t>Tier 2 *</t>
  </si>
  <si>
    <t>*  Any CARE usage that is not in Tier 1 is included in Tier 2.</t>
  </si>
  <si>
    <t>Total Residential Usage By Tier</t>
  </si>
  <si>
    <t>All 12 months</t>
  </si>
  <si>
    <t>20% Rev Incr.</t>
  </si>
  <si>
    <t>Customer Group</t>
  </si>
  <si>
    <t>Tier 3: 1 - 3 Months</t>
  </si>
  <si>
    <t>Tier 3: 4 - 7 Months</t>
  </si>
  <si>
    <t>Tier 3: 8 - 11 Months</t>
  </si>
  <si>
    <t>Tier 3: All 12 Months</t>
  </si>
  <si>
    <t>Average</t>
  </si>
  <si>
    <t>130 Percent of Baseline</t>
  </si>
  <si>
    <t>200 Percent of Baseline</t>
  </si>
  <si>
    <t>Residential Bill Impacts</t>
  </si>
  <si>
    <t>20 Percent Total Revenue Increase</t>
  </si>
  <si>
    <t>10 Percent Total Revenue Increase</t>
  </si>
  <si>
    <t>NOTE:  175% of baseline is equal to the average usage in each climate zone.</t>
  </si>
  <si>
    <t>total proposed</t>
  </si>
  <si>
    <t>total current</t>
  </si>
  <si>
    <t>Usage Reduction</t>
  </si>
  <si>
    <t xml:space="preserve">to Eliminate </t>
  </si>
  <si>
    <t>10% Rev. Inc.</t>
  </si>
  <si>
    <t>20% Rev. Inc.</t>
  </si>
  <si>
    <t>Percentage Reduction in Usage Necessary to Eliminate Rate Increase</t>
  </si>
  <si>
    <t>No Tier 3 *</t>
  </si>
  <si>
    <t>Tier 1 kWh</t>
  </si>
  <si>
    <t>Tier 2 kWh</t>
  </si>
  <si>
    <t>Tier 3 kWh</t>
  </si>
  <si>
    <t>Total Use</t>
  </si>
  <si>
    <t>Increase</t>
  </si>
  <si>
    <t>Revenue</t>
  </si>
  <si>
    <t>Current</t>
  </si>
  <si>
    <t>200% Baseline or 1000 kWh/Month</t>
  </si>
  <si>
    <t>All CARE</t>
  </si>
  <si>
    <t>kWh</t>
  </si>
  <si>
    <t>*Includes all of CARE.</t>
  </si>
  <si>
    <t>Tier 3 as</t>
  </si>
  <si>
    <t>Pct. Of Usage</t>
  </si>
  <si>
    <t>0 to 100% Baseline</t>
  </si>
  <si>
    <t>100 to 130% Baseline</t>
  </si>
  <si>
    <t>Up to 100% Baseline</t>
  </si>
  <si>
    <t>Over 130% Baseline</t>
  </si>
  <si>
    <t>100 to 200% Baseline</t>
  </si>
  <si>
    <t>Over 200% Baseline</t>
  </si>
  <si>
    <t>130 to 200% Baseline</t>
  </si>
  <si>
    <t>of Total</t>
  </si>
  <si>
    <t>Tier 4 kWh</t>
  </si>
  <si>
    <t>Under 100%</t>
  </si>
  <si>
    <t xml:space="preserve">100 to 130% </t>
  </si>
  <si>
    <t>Over 130%</t>
  </si>
  <si>
    <t xml:space="preserve">100 to 200% </t>
  </si>
  <si>
    <t>Over 200%</t>
  </si>
  <si>
    <t xml:space="preserve">130 to 200% </t>
  </si>
  <si>
    <t>PG&amp;E's Residential Non-CARE Customers</t>
  </si>
  <si>
    <t>TOTAL</t>
  </si>
  <si>
    <t>PG&amp;E's Residential CARE Customers</t>
  </si>
  <si>
    <t>Tiers by Percent</t>
  </si>
  <si>
    <t xml:space="preserve"> </t>
  </si>
  <si>
    <t>n/a</t>
  </si>
  <si>
    <t>Sales</t>
  </si>
  <si>
    <t>E-1</t>
  </si>
  <si>
    <t>E-7</t>
  </si>
  <si>
    <t>E-8</t>
  </si>
  <si>
    <t>EL-8</t>
  </si>
  <si>
    <t>EL-1</t>
  </si>
  <si>
    <t>Total E-7</t>
  </si>
  <si>
    <t>EL-7</t>
  </si>
  <si>
    <t>Cust. Months</t>
  </si>
  <si>
    <t>10% Discount</t>
  </si>
  <si>
    <t>Rev. Including</t>
  </si>
  <si>
    <t xml:space="preserve">200 to 300% </t>
  </si>
  <si>
    <t>Over 300%</t>
  </si>
  <si>
    <t>0 to 130%</t>
  </si>
  <si>
    <t>130 to 200%</t>
  </si>
  <si>
    <t>GT 200%</t>
  </si>
  <si>
    <t>130 to 200 Pct. of Baseline</t>
  </si>
  <si>
    <t>Up to 130% Baseline</t>
  </si>
  <si>
    <t>Under 130%</t>
  </si>
  <si>
    <t>Tier 5 kWh</t>
  </si>
  <si>
    <t>130% to 200%</t>
  </si>
  <si>
    <t>0 to 130% baseline</t>
  </si>
  <si>
    <t>0 to 100%</t>
  </si>
  <si>
    <t>100% to 130%</t>
  </si>
  <si>
    <t>100% to 200%</t>
  </si>
  <si>
    <t>Tier 2 Based on 130 to 200 Percent of Baseline</t>
  </si>
  <si>
    <t>Method 2</t>
  </si>
  <si>
    <t>Tier 4</t>
  </si>
  <si>
    <t>100 to 200%</t>
  </si>
  <si>
    <t>TR4 kWh</t>
  </si>
  <si>
    <t>Current Bills</t>
  </si>
  <si>
    <t>Total Proposed</t>
  </si>
  <si>
    <t>Revenues</t>
  </si>
  <si>
    <t>Change</t>
  </si>
  <si>
    <t>PG&amp;E's Residential Customers</t>
  </si>
  <si>
    <t>Total Revenue</t>
  </si>
  <si>
    <t>Proposed</t>
  </si>
  <si>
    <t>Proposed Rates</t>
  </si>
  <si>
    <t>Total Rev. Req</t>
  </si>
  <si>
    <t>Tier 3 Surcharge</t>
  </si>
  <si>
    <t>Tier 4/5 Surch.</t>
  </si>
  <si>
    <t>Tier 3 Rev.</t>
  </si>
  <si>
    <t>Tier 4 Rev.</t>
  </si>
  <si>
    <t>Tier 5 Rev.</t>
  </si>
  <si>
    <t>2001 Proposed Revenues</t>
  </si>
  <si>
    <t>Annual Sales</t>
  </si>
  <si>
    <t>(GWh)</t>
  </si>
  <si>
    <t>Total Current</t>
  </si>
  <si>
    <t>New Total</t>
  </si>
  <si>
    <t>New Rates</t>
  </si>
  <si>
    <t>($ MM)</t>
  </si>
  <si>
    <t>(cents/kWh)</t>
  </si>
  <si>
    <t>Current Rates</t>
  </si>
  <si>
    <t>in Average</t>
  </si>
  <si>
    <t>Rate (%)</t>
  </si>
  <si>
    <t>2001 Forecast</t>
  </si>
  <si>
    <t>Customers whose usage exceeds 200% of baseline for more than six months per year will receive an average increase of:</t>
  </si>
  <si>
    <t>Customers whose usage exceeds 200% of baseline for six months or less per year will receive an average increase of:</t>
  </si>
  <si>
    <t>Additional</t>
  </si>
  <si>
    <t>December 1999 - November 2000</t>
  </si>
  <si>
    <t>Percent of Usage</t>
  </si>
  <si>
    <t>in Tier 3</t>
  </si>
  <si>
    <t>Pct. Usage</t>
  </si>
  <si>
    <t>in Tier 4</t>
  </si>
  <si>
    <t>Months in</t>
  </si>
  <si>
    <t>in TR4</t>
  </si>
  <si>
    <t>TR1 Revenue</t>
  </si>
  <si>
    <t>TR2 Revenue</t>
  </si>
  <si>
    <t>TR3 Revenue</t>
  </si>
  <si>
    <t>TR4 Revenue</t>
  </si>
  <si>
    <t>0% to 100% BL</t>
  </si>
  <si>
    <t>100% to 130% BL</t>
  </si>
  <si>
    <t>130% to 200% BL</t>
  </si>
  <si>
    <t>Over 200% BL</t>
  </si>
  <si>
    <t>Customers With Usage Greater than 200 Percent Baseline  (Tier 4)</t>
  </si>
  <si>
    <t>100 to 130% Baseline *</t>
  </si>
  <si>
    <t>* Includes CARE customers in the 130% to 200% and Over 200% categories since they are not subject to the surcharge</t>
  </si>
  <si>
    <t>Effective Rate</t>
  </si>
  <si>
    <t>Tariffed Rate</t>
  </si>
  <si>
    <t>(Customers with 1 to 6 months of Tier 4 Usage)</t>
  </si>
  <si>
    <t>(Customers with 6 to 12 months of Tier 4 Usage)</t>
  </si>
  <si>
    <t>6 to 11 months</t>
  </si>
  <si>
    <t>Over 200% Baseline: 1 to 6 months</t>
  </si>
  <si>
    <t xml:space="preserve">  Up to 100% Baseline</t>
  </si>
  <si>
    <t>2001 Forecast Summary</t>
  </si>
  <si>
    <t>PG&amp;E Residential Revenue Forecast:  3-Cent Per kWh Surcharge</t>
  </si>
  <si>
    <t>E-1 Rates</t>
  </si>
  <si>
    <t>Proposed Tier 3 Surcharges and Rates</t>
  </si>
  <si>
    <t>Current *</t>
  </si>
  <si>
    <t>* Included 1.0 cent surcharge effective 1/01.</t>
  </si>
  <si>
    <t>0 to 100% BL</t>
  </si>
  <si>
    <t>Over 130% BL</t>
  </si>
  <si>
    <t xml:space="preserve">Tier 2 </t>
  </si>
  <si>
    <t>Over 200% Baseline: 7 to 12 months</t>
  </si>
  <si>
    <t>(Customers with 7 to 12 months of Tier 4 Usage)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</si>
</sst>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8" formatCode="_(&quot;$&quot;* #,##0_);_(&quot;$&quot;* \(#,##0\);_(&quot;$&quot;* &quot;-&quot;??_);_(@_)"/>
    <numFmt numFmtId="170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4" formatCode="&quot;$&quot;#,##0.00000"/>
    <numFmt numFmtId="184" formatCode="&quot;$&quot;#,##0"/>
    <numFmt numFmtId="188" formatCode="&quot;$&quot;#,##0.000"/>
  </numFmts>
  <fonts count="22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u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sz val="8"/>
      <color indexed="61"/>
      <name val="Arial"/>
      <family val="2"/>
    </font>
    <font>
      <u/>
      <sz val="8"/>
      <color indexed="61"/>
      <name val="Arial"/>
      <family val="2"/>
    </font>
    <font>
      <u val="singleAccounting"/>
      <sz val="10"/>
      <name val="Arial"/>
      <family val="2"/>
    </font>
    <font>
      <sz val="8"/>
      <color indexed="20"/>
      <name val="Arial"/>
      <family val="2"/>
    </font>
    <font>
      <u/>
      <sz val="8"/>
      <color indexed="20"/>
      <name val="Arial"/>
      <family val="2"/>
    </font>
    <font>
      <sz val="12"/>
      <name val="Arial"/>
      <family val="2"/>
    </font>
    <font>
      <b/>
      <u val="singleAccounting"/>
      <sz val="8"/>
      <name val="Arial"/>
      <family val="2"/>
    </font>
    <font>
      <sz val="9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3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0" fontId="5" fillId="0" borderId="0" xfId="0" applyFont="1" applyAlignment="1">
      <alignment horizontal="left"/>
    </xf>
    <xf numFmtId="9" fontId="5" fillId="0" borderId="0" xfId="3" applyFont="1"/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/>
    <xf numFmtId="164" fontId="5" fillId="0" borderId="0" xfId="3" applyNumberFormat="1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9" fillId="0" borderId="0" xfId="0" applyFont="1"/>
    <xf numFmtId="166" fontId="9" fillId="0" borderId="0" xfId="1" applyNumberFormat="1" applyFont="1"/>
    <xf numFmtId="9" fontId="9" fillId="0" borderId="0" xfId="3" applyFont="1"/>
    <xf numFmtId="166" fontId="9" fillId="0" borderId="0" xfId="0" applyNumberFormat="1" applyFont="1"/>
    <xf numFmtId="0" fontId="2" fillId="0" borderId="0" xfId="0" applyFont="1"/>
    <xf numFmtId="0" fontId="3" fillId="0" borderId="0" xfId="0" applyFont="1"/>
    <xf numFmtId="166" fontId="0" fillId="0" borderId="0" xfId="1" applyNumberFormat="1" applyFont="1"/>
    <xf numFmtId="0" fontId="10" fillId="0" borderId="0" xfId="0" applyFont="1" applyAlignment="1">
      <alignment horizontal="centerContinuous"/>
    </xf>
    <xf numFmtId="184" fontId="5" fillId="0" borderId="0" xfId="0" applyNumberFormat="1" applyFont="1"/>
    <xf numFmtId="0" fontId="4" fillId="0" borderId="0" xfId="0" applyFont="1" applyAlignment="1">
      <alignment horizontal="center"/>
    </xf>
    <xf numFmtId="172" fontId="9" fillId="0" borderId="0" xfId="2" applyNumberFormat="1" applyFont="1"/>
    <xf numFmtId="9" fontId="8" fillId="0" borderId="0" xfId="3" applyFont="1"/>
    <xf numFmtId="0" fontId="6" fillId="0" borderId="0" xfId="0" applyFont="1"/>
    <xf numFmtId="9" fontId="6" fillId="0" borderId="0" xfId="3" applyFont="1"/>
    <xf numFmtId="164" fontId="6" fillId="0" borderId="0" xfId="0" applyNumberFormat="1" applyFont="1"/>
    <xf numFmtId="9" fontId="3" fillId="0" borderId="0" xfId="0" applyNumberFormat="1" applyFont="1"/>
    <xf numFmtId="0" fontId="9" fillId="0" borderId="1" xfId="0" applyFont="1" applyBorder="1"/>
    <xf numFmtId="0" fontId="9" fillId="0" borderId="2" xfId="0" applyFont="1" applyBorder="1"/>
    <xf numFmtId="0" fontId="3" fillId="0" borderId="2" xfId="0" applyFont="1" applyBorder="1"/>
    <xf numFmtId="0" fontId="9" fillId="0" borderId="3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9" fillId="0" borderId="4" xfId="3" applyFont="1" applyBorder="1"/>
    <xf numFmtId="164" fontId="9" fillId="0" borderId="5" xfId="3" applyNumberFormat="1" applyFont="1" applyBorder="1"/>
    <xf numFmtId="9" fontId="9" fillId="0" borderId="6" xfId="0" applyNumberFormat="1" applyFont="1" applyBorder="1"/>
    <xf numFmtId="0" fontId="9" fillId="0" borderId="7" xfId="0" applyFont="1" applyBorder="1"/>
    <xf numFmtId="9" fontId="9" fillId="0" borderId="4" xfId="3" applyNumberFormat="1" applyFont="1" applyBorder="1"/>
    <xf numFmtId="9" fontId="3" fillId="0" borderId="4" xfId="3" applyFont="1" applyBorder="1"/>
    <xf numFmtId="9" fontId="3" fillId="0" borderId="4" xfId="3" applyNumberFormat="1" applyFont="1" applyBorder="1"/>
    <xf numFmtId="164" fontId="6" fillId="0" borderId="0" xfId="3" applyNumberFormat="1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164" fontId="9" fillId="0" borderId="4" xfId="3" applyNumberFormat="1" applyFont="1" applyBorder="1"/>
    <xf numFmtId="164" fontId="9" fillId="0" borderId="0" xfId="3" applyNumberFormat="1" applyFont="1" applyBorder="1"/>
    <xf numFmtId="164" fontId="3" fillId="0" borderId="4" xfId="3" applyNumberFormat="1" applyFont="1" applyBorder="1"/>
    <xf numFmtId="164" fontId="3" fillId="0" borderId="0" xfId="3" applyNumberFormat="1" applyFont="1" applyBorder="1"/>
    <xf numFmtId="164" fontId="3" fillId="0" borderId="5" xfId="3" applyNumberFormat="1" applyFont="1" applyBorder="1"/>
    <xf numFmtId="164" fontId="9" fillId="0" borderId="6" xfId="3" applyNumberFormat="1" applyFont="1" applyBorder="1"/>
    <xf numFmtId="164" fontId="9" fillId="0" borderId="8" xfId="3" applyNumberFormat="1" applyFont="1" applyBorder="1"/>
    <xf numFmtId="164" fontId="9" fillId="0" borderId="7" xfId="3" applyNumberFormat="1" applyFont="1" applyBorder="1"/>
    <xf numFmtId="0" fontId="9" fillId="0" borderId="0" xfId="0" applyFont="1" applyAlignment="1">
      <alignment horizontal="center"/>
    </xf>
    <xf numFmtId="0" fontId="9" fillId="0" borderId="4" xfId="0" applyFont="1" applyBorder="1"/>
    <xf numFmtId="166" fontId="9" fillId="0" borderId="0" xfId="1" applyNumberFormat="1" applyFont="1" applyBorder="1"/>
    <xf numFmtId="166" fontId="5" fillId="0" borderId="0" xfId="1" applyNumberFormat="1" applyFont="1"/>
    <xf numFmtId="166" fontId="5" fillId="0" borderId="0" xfId="1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9" fillId="0" borderId="0" xfId="3" applyNumberFormat="1" applyFont="1"/>
    <xf numFmtId="9" fontId="9" fillId="0" borderId="0" xfId="3" applyFont="1" applyAlignment="1">
      <alignment horizontal="center"/>
    </xf>
    <xf numFmtId="174" fontId="9" fillId="0" borderId="0" xfId="2" applyNumberFormat="1" applyFont="1" applyAlignment="1">
      <alignment horizontal="center"/>
    </xf>
    <xf numFmtId="166" fontId="9" fillId="0" borderId="5" xfId="1" applyNumberFormat="1" applyFont="1" applyBorder="1"/>
    <xf numFmtId="9" fontId="9" fillId="0" borderId="0" xfId="3" applyFont="1" applyBorder="1"/>
    <xf numFmtId="9" fontId="9" fillId="0" borderId="8" xfId="3" applyFont="1" applyBorder="1"/>
    <xf numFmtId="10" fontId="5" fillId="0" borderId="0" xfId="3" applyNumberFormat="1" applyFont="1"/>
    <xf numFmtId="9" fontId="3" fillId="0" borderId="0" xfId="3" applyFont="1" applyBorder="1"/>
    <xf numFmtId="9" fontId="9" fillId="0" borderId="8" xfId="0" applyNumberFormat="1" applyFont="1" applyBorder="1"/>
    <xf numFmtId="9" fontId="9" fillId="0" borderId="0" xfId="3" applyNumberFormat="1" applyFont="1" applyBorder="1"/>
    <xf numFmtId="9" fontId="3" fillId="0" borderId="0" xfId="3" applyNumberFormat="1" applyFont="1" applyBorder="1"/>
    <xf numFmtId="43" fontId="9" fillId="0" borderId="5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166" fontId="5" fillId="0" borderId="0" xfId="0" applyNumberFormat="1" applyFont="1"/>
    <xf numFmtId="0" fontId="5" fillId="0" borderId="2" xfId="0" applyFont="1" applyBorder="1"/>
    <xf numFmtId="0" fontId="6" fillId="0" borderId="2" xfId="0" applyFont="1" applyBorder="1"/>
    <xf numFmtId="0" fontId="5" fillId="0" borderId="3" xfId="0" applyFont="1" applyBorder="1"/>
    <xf numFmtId="9" fontId="5" fillId="0" borderId="0" xfId="0" applyNumberFormat="1" applyFont="1"/>
    <xf numFmtId="0" fontId="5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3" fontId="5" fillId="0" borderId="4" xfId="0" applyNumberFormat="1" applyFont="1" applyBorder="1"/>
    <xf numFmtId="9" fontId="5" fillId="0" borderId="0" xfId="3" applyFont="1" applyBorder="1"/>
    <xf numFmtId="3" fontId="5" fillId="0" borderId="0" xfId="0" applyNumberFormat="1" applyFont="1" applyBorder="1"/>
    <xf numFmtId="3" fontId="5" fillId="0" borderId="5" xfId="0" applyNumberFormat="1" applyFont="1" applyBorder="1"/>
    <xf numFmtId="3" fontId="6" fillId="0" borderId="4" xfId="0" applyNumberFormat="1" applyFont="1" applyBorder="1"/>
    <xf numFmtId="9" fontId="6" fillId="0" borderId="0" xfId="3" applyFont="1" applyBorder="1"/>
    <xf numFmtId="3" fontId="6" fillId="0" borderId="0" xfId="0" applyNumberFormat="1" applyFont="1" applyBorder="1"/>
    <xf numFmtId="3" fontId="5" fillId="0" borderId="6" xfId="0" applyNumberFormat="1" applyFont="1" applyBorder="1"/>
    <xf numFmtId="9" fontId="5" fillId="0" borderId="8" xfId="3" applyFont="1" applyBorder="1"/>
    <xf numFmtId="3" fontId="5" fillId="0" borderId="8" xfId="0" applyNumberFormat="1" applyFont="1" applyBorder="1"/>
    <xf numFmtId="3" fontId="5" fillId="0" borderId="7" xfId="0" applyNumberFormat="1" applyFont="1" applyBorder="1"/>
    <xf numFmtId="0" fontId="7" fillId="0" borderId="0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3" fillId="0" borderId="8" xfId="0" applyFont="1" applyBorder="1"/>
    <xf numFmtId="0" fontId="8" fillId="0" borderId="8" xfId="0" applyFont="1" applyBorder="1"/>
    <xf numFmtId="10" fontId="5" fillId="0" borderId="7" xfId="0" applyNumberFormat="1" applyFont="1" applyBorder="1"/>
    <xf numFmtId="0" fontId="6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3" fillId="0" borderId="0" xfId="0" applyFont="1" applyBorder="1"/>
    <xf numFmtId="0" fontId="8" fillId="0" borderId="0" xfId="0" applyFont="1" applyBorder="1"/>
    <xf numFmtId="10" fontId="8" fillId="0" borderId="0" xfId="3" applyNumberFormat="1" applyFont="1" applyBorder="1"/>
    <xf numFmtId="9" fontId="5" fillId="0" borderId="0" xfId="3" applyFont="1" applyBorder="1" applyAlignment="1">
      <alignment horizontal="center"/>
    </xf>
    <xf numFmtId="9" fontId="6" fillId="0" borderId="0" xfId="3" applyFont="1" applyBorder="1" applyAlignment="1">
      <alignment horizontal="center"/>
    </xf>
    <xf numFmtId="9" fontId="5" fillId="0" borderId="8" xfId="3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6" fontId="5" fillId="0" borderId="9" xfId="1" applyNumberFormat="1" applyFont="1" applyBorder="1" applyAlignment="1">
      <alignment horizontal="center"/>
    </xf>
    <xf numFmtId="0" fontId="5" fillId="0" borderId="10" xfId="0" applyFont="1" applyBorder="1"/>
    <xf numFmtId="0" fontId="5" fillId="0" borderId="4" xfId="0" applyFont="1" applyBorder="1"/>
    <xf numFmtId="166" fontId="12" fillId="0" borderId="0" xfId="1" applyNumberFormat="1" applyFont="1" applyBorder="1" applyAlignment="1">
      <alignment horizontal="center"/>
    </xf>
    <xf numFmtId="166" fontId="12" fillId="0" borderId="5" xfId="1" applyNumberFormat="1" applyFont="1" applyBorder="1" applyAlignment="1">
      <alignment horizontal="center"/>
    </xf>
    <xf numFmtId="166" fontId="5" fillId="0" borderId="0" xfId="1" applyNumberFormat="1" applyFont="1" applyBorder="1"/>
    <xf numFmtId="166" fontId="5" fillId="0" borderId="5" xfId="1" applyNumberFormat="1" applyFont="1" applyBorder="1"/>
    <xf numFmtId="184" fontId="5" fillId="0" borderId="5" xfId="1" applyNumberFormat="1" applyFont="1" applyBorder="1"/>
    <xf numFmtId="0" fontId="6" fillId="0" borderId="4" xfId="0" applyFont="1" applyBorder="1"/>
    <xf numFmtId="166" fontId="6" fillId="0" borderId="0" xfId="1" applyNumberFormat="1" applyFont="1" applyBorder="1"/>
    <xf numFmtId="184" fontId="6" fillId="0" borderId="5" xfId="1" applyNumberFormat="1" applyFont="1" applyBorder="1"/>
    <xf numFmtId="10" fontId="5" fillId="0" borderId="0" xfId="3" applyNumberFormat="1" applyFont="1" applyBorder="1"/>
    <xf numFmtId="10" fontId="5" fillId="0" borderId="5" xfId="3" applyNumberFormat="1" applyFont="1" applyBorder="1"/>
    <xf numFmtId="0" fontId="5" fillId="0" borderId="6" xfId="0" applyFont="1" applyBorder="1"/>
    <xf numFmtId="166" fontId="5" fillId="0" borderId="8" xfId="1" applyNumberFormat="1" applyFont="1" applyBorder="1"/>
    <xf numFmtId="184" fontId="5" fillId="0" borderId="7" xfId="1" applyNumberFormat="1" applyFont="1" applyBorder="1"/>
    <xf numFmtId="166" fontId="5" fillId="0" borderId="11" xfId="1" applyNumberFormat="1" applyFont="1" applyBorder="1" applyAlignment="1">
      <alignment horizontal="center"/>
    </xf>
    <xf numFmtId="168" fontId="8" fillId="0" borderId="0" xfId="2" applyNumberFormat="1" applyFont="1"/>
    <xf numFmtId="166" fontId="5" fillId="0" borderId="0" xfId="1" applyNumberFormat="1" applyFont="1" applyBorder="1" applyAlignment="1">
      <alignment horizontal="center"/>
    </xf>
    <xf numFmtId="184" fontId="5" fillId="0" borderId="0" xfId="1" applyNumberFormat="1" applyFont="1" applyBorder="1"/>
    <xf numFmtId="184" fontId="6" fillId="0" borderId="0" xfId="1" applyNumberFormat="1" applyFont="1" applyBorder="1"/>
    <xf numFmtId="3" fontId="6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0" fillId="0" borderId="9" xfId="0" applyFont="1" applyBorder="1" applyAlignment="1">
      <alignment horizontal="centerContinuous"/>
    </xf>
    <xf numFmtId="0" fontId="5" fillId="0" borderId="10" xfId="0" applyFont="1" applyBorder="1" applyAlignment="1">
      <alignment horizontal="centerContinuous"/>
    </xf>
    <xf numFmtId="0" fontId="5" fillId="0" borderId="11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4" xfId="0" applyFont="1" applyBorder="1" applyAlignment="1">
      <alignment horizontal="left"/>
    </xf>
    <xf numFmtId="9" fontId="5" fillId="0" borderId="5" xfId="3" applyFont="1" applyBorder="1"/>
    <xf numFmtId="0" fontId="5" fillId="0" borderId="4" xfId="0" applyFont="1" applyBorder="1" applyAlignment="1">
      <alignment horizontal="center"/>
    </xf>
    <xf numFmtId="3" fontId="6" fillId="0" borderId="5" xfId="0" applyNumberFormat="1" applyFont="1" applyBorder="1"/>
    <xf numFmtId="0" fontId="5" fillId="0" borderId="6" xfId="0" applyFont="1" applyBorder="1" applyAlignment="1">
      <alignment horizontal="center"/>
    </xf>
    <xf numFmtId="168" fontId="8" fillId="0" borderId="0" xfId="2" applyNumberFormat="1" applyFont="1" applyBorder="1"/>
    <xf numFmtId="168" fontId="5" fillId="0" borderId="0" xfId="0" applyNumberFormat="1" applyFont="1"/>
    <xf numFmtId="170" fontId="8" fillId="0" borderId="0" xfId="2" applyNumberFormat="1" applyFont="1" applyBorder="1"/>
    <xf numFmtId="168" fontId="5" fillId="0" borderId="0" xfId="2" applyNumberFormat="1" applyFont="1" applyBorder="1"/>
    <xf numFmtId="168" fontId="5" fillId="0" borderId="8" xfId="2" applyNumberFormat="1" applyFont="1" applyBorder="1"/>
    <xf numFmtId="168" fontId="5" fillId="0" borderId="5" xfId="2" applyNumberFormat="1" applyFont="1" applyBorder="1"/>
    <xf numFmtId="168" fontId="5" fillId="0" borderId="7" xfId="2" applyNumberFormat="1" applyFont="1" applyBorder="1"/>
    <xf numFmtId="166" fontId="5" fillId="0" borderId="9" xfId="1" applyNumberFormat="1" applyFont="1" applyBorder="1"/>
    <xf numFmtId="166" fontId="5" fillId="0" borderId="10" xfId="1" applyNumberFormat="1" applyFont="1" applyBorder="1"/>
    <xf numFmtId="166" fontId="7" fillId="0" borderId="4" xfId="1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center"/>
    </xf>
    <xf numFmtId="166" fontId="5" fillId="0" borderId="4" xfId="1" applyNumberFormat="1" applyFont="1" applyBorder="1"/>
    <xf numFmtId="166" fontId="5" fillId="0" borderId="6" xfId="1" applyNumberFormat="1" applyFont="1" applyBorder="1"/>
    <xf numFmtId="166" fontId="5" fillId="0" borderId="7" xfId="1" applyNumberFormat="1" applyFont="1" applyBorder="1"/>
    <xf numFmtId="166" fontId="12" fillId="0" borderId="4" xfId="1" applyNumberFormat="1" applyFont="1" applyBorder="1"/>
    <xf numFmtId="166" fontId="12" fillId="0" borderId="0" xfId="1" applyNumberFormat="1" applyFont="1" applyBorder="1"/>
    <xf numFmtId="0" fontId="16" fillId="0" borderId="0" xfId="0" applyFont="1"/>
    <xf numFmtId="168" fontId="5" fillId="0" borderId="4" xfId="2" applyNumberFormat="1" applyFont="1" applyBorder="1"/>
    <xf numFmtId="164" fontId="5" fillId="0" borderId="5" xfId="3" applyNumberFormat="1" applyFont="1" applyBorder="1"/>
    <xf numFmtId="168" fontId="5" fillId="0" borderId="6" xfId="2" applyNumberFormat="1" applyFont="1" applyBorder="1"/>
    <xf numFmtId="164" fontId="5" fillId="0" borderId="7" xfId="3" applyNumberFormat="1" applyFont="1" applyBorder="1"/>
    <xf numFmtId="0" fontId="5" fillId="0" borderId="11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168" fontId="6" fillId="0" borderId="5" xfId="2" applyNumberFormat="1" applyFont="1" applyBorder="1"/>
    <xf numFmtId="168" fontId="6" fillId="0" borderId="4" xfId="2" applyNumberFormat="1" applyFont="1" applyBorder="1"/>
    <xf numFmtId="164" fontId="6" fillId="0" borderId="5" xfId="3" applyNumberFormat="1" applyFont="1" applyBorder="1"/>
    <xf numFmtId="166" fontId="6" fillId="0" borderId="5" xfId="1" applyNumberFormat="1" applyFont="1" applyBorder="1"/>
    <xf numFmtId="166" fontId="6" fillId="0" borderId="0" xfId="1" applyNumberFormat="1" applyFont="1" applyFill="1" applyBorder="1" applyAlignment="1">
      <alignment horizontal="center"/>
    </xf>
    <xf numFmtId="10" fontId="7" fillId="0" borderId="0" xfId="3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72" fontId="8" fillId="0" borderId="0" xfId="2" applyNumberFormat="1" applyFont="1" applyBorder="1"/>
    <xf numFmtId="164" fontId="8" fillId="0" borderId="8" xfId="3" applyNumberFormat="1" applyFont="1" applyBorder="1"/>
    <xf numFmtId="3" fontId="17" fillId="0" borderId="4" xfId="0" applyNumberFormat="1" applyFont="1" applyBorder="1"/>
    <xf numFmtId="184" fontId="5" fillId="0" borderId="0" xfId="0" applyNumberFormat="1" applyFont="1" applyBorder="1"/>
    <xf numFmtId="184" fontId="6" fillId="0" borderId="0" xfId="0" applyNumberFormat="1" applyFont="1" applyBorder="1"/>
    <xf numFmtId="184" fontId="5" fillId="0" borderId="8" xfId="0" applyNumberFormat="1" applyFont="1" applyBorder="1"/>
    <xf numFmtId="9" fontId="5" fillId="0" borderId="5" xfId="3" applyNumberFormat="1" applyFont="1" applyBorder="1"/>
    <xf numFmtId="9" fontId="5" fillId="0" borderId="7" xfId="3" applyNumberFormat="1" applyFont="1" applyBorder="1"/>
    <xf numFmtId="0" fontId="5" fillId="0" borderId="5" xfId="0" applyFont="1" applyBorder="1" applyAlignment="1">
      <alignment horizontal="center"/>
    </xf>
    <xf numFmtId="165" fontId="5" fillId="0" borderId="0" xfId="1" applyNumberFormat="1" applyFont="1" applyBorder="1"/>
    <xf numFmtId="3" fontId="18" fillId="0" borderId="4" xfId="0" applyNumberFormat="1" applyFont="1" applyBorder="1"/>
    <xf numFmtId="165" fontId="6" fillId="0" borderId="0" xfId="1" applyNumberFormat="1" applyFont="1" applyBorder="1"/>
    <xf numFmtId="9" fontId="6" fillId="0" borderId="5" xfId="3" applyNumberFormat="1" applyFont="1" applyBorder="1"/>
    <xf numFmtId="165" fontId="5" fillId="0" borderId="8" xfId="1" applyNumberFormat="1" applyFont="1" applyBorder="1"/>
    <xf numFmtId="9" fontId="5" fillId="0" borderId="7" xfId="3" applyFont="1" applyBorder="1"/>
    <xf numFmtId="165" fontId="5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10" xfId="0" applyFont="1" applyBorder="1"/>
    <xf numFmtId="0" fontId="6" fillId="0" borderId="0" xfId="0" applyFont="1" applyBorder="1"/>
    <xf numFmtId="3" fontId="14" fillId="0" borderId="0" xfId="0" applyNumberFormat="1" applyFont="1" applyBorder="1"/>
    <xf numFmtId="3" fontId="15" fillId="0" borderId="0" xfId="0" applyNumberFormat="1" applyFont="1" applyBorder="1"/>
    <xf numFmtId="9" fontId="5" fillId="0" borderId="8" xfId="0" applyNumberFormat="1" applyFont="1" applyBorder="1"/>
    <xf numFmtId="0" fontId="8" fillId="0" borderId="1" xfId="0" applyFont="1" applyBorder="1"/>
    <xf numFmtId="9" fontId="5" fillId="0" borderId="0" xfId="3" applyFont="1" applyAlignment="1">
      <alignment horizontal="center"/>
    </xf>
    <xf numFmtId="9" fontId="12" fillId="0" borderId="0" xfId="3" applyFont="1" applyFill="1" applyBorder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166" fontId="20" fillId="0" borderId="0" xfId="1" applyNumberFormat="1" applyFont="1" applyBorder="1"/>
    <xf numFmtId="9" fontId="5" fillId="0" borderId="10" xfId="3" applyFont="1" applyBorder="1"/>
    <xf numFmtId="9" fontId="5" fillId="0" borderId="10" xfId="3" applyFont="1" applyBorder="1" applyAlignment="1">
      <alignment horizontal="center"/>
    </xf>
    <xf numFmtId="9" fontId="5" fillId="0" borderId="10" xfId="3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166" fontId="8" fillId="0" borderId="10" xfId="1" applyNumberFormat="1" applyFont="1" applyBorder="1" applyAlignment="1">
      <alignment horizontal="center"/>
    </xf>
    <xf numFmtId="166" fontId="8" fillId="0" borderId="10" xfId="1" applyNumberFormat="1" applyFont="1" applyBorder="1"/>
    <xf numFmtId="0" fontId="0" fillId="0" borderId="10" xfId="0" applyBorder="1"/>
    <xf numFmtId="0" fontId="7" fillId="0" borderId="4" xfId="0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9" fontId="8" fillId="0" borderId="0" xfId="3" applyFont="1" applyBorder="1"/>
    <xf numFmtId="166" fontId="5" fillId="0" borderId="0" xfId="0" applyNumberFormat="1" applyFont="1" applyBorder="1"/>
    <xf numFmtId="168" fontId="12" fillId="0" borderId="0" xfId="2" applyNumberFormat="1" applyFont="1" applyBorder="1"/>
    <xf numFmtId="9" fontId="12" fillId="0" borderId="0" xfId="3" applyFont="1" applyBorder="1"/>
    <xf numFmtId="166" fontId="12" fillId="0" borderId="0" xfId="0" applyNumberFormat="1" applyFont="1" applyBorder="1"/>
    <xf numFmtId="0" fontId="5" fillId="0" borderId="8" xfId="0" applyFont="1" applyBorder="1"/>
    <xf numFmtId="166" fontId="5" fillId="0" borderId="8" xfId="0" applyNumberFormat="1" applyFont="1" applyBorder="1"/>
    <xf numFmtId="0" fontId="5" fillId="0" borderId="7" xfId="0" applyFont="1" applyBorder="1"/>
    <xf numFmtId="3" fontId="5" fillId="0" borderId="10" xfId="0" applyNumberFormat="1" applyFont="1" applyBorder="1"/>
    <xf numFmtId="166" fontId="5" fillId="0" borderId="11" xfId="1" applyNumberFormat="1" applyFont="1" applyFill="1" applyBorder="1" applyAlignment="1">
      <alignment horizontal="center"/>
    </xf>
    <xf numFmtId="166" fontId="6" fillId="0" borderId="5" xfId="1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9" fontId="6" fillId="0" borderId="5" xfId="3" applyFont="1" applyBorder="1"/>
    <xf numFmtId="0" fontId="5" fillId="0" borderId="0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168" fontId="5" fillId="0" borderId="2" xfId="2" applyNumberFormat="1" applyFont="1" applyBorder="1"/>
    <xf numFmtId="168" fontId="6" fillId="0" borderId="2" xfId="2" applyNumberFormat="1" applyFont="1" applyBorder="1"/>
    <xf numFmtId="168" fontId="5" fillId="0" borderId="3" xfId="2" applyNumberFormat="1" applyFont="1" applyBorder="1"/>
    <xf numFmtId="0" fontId="4" fillId="0" borderId="0" xfId="0" applyFont="1"/>
    <xf numFmtId="0" fontId="5" fillId="0" borderId="9" xfId="0" applyFont="1" applyBorder="1"/>
    <xf numFmtId="0" fontId="6" fillId="0" borderId="4" xfId="0" applyFont="1" applyBorder="1" applyAlignment="1">
      <alignment horizontal="left"/>
    </xf>
    <xf numFmtId="164" fontId="8" fillId="0" borderId="0" xfId="3" applyNumberFormat="1" applyFont="1" applyBorder="1"/>
    <xf numFmtId="10" fontId="5" fillId="0" borderId="0" xfId="0" applyNumberFormat="1" applyFont="1" applyBorder="1"/>
    <xf numFmtId="9" fontId="5" fillId="0" borderId="0" xfId="0" applyNumberFormat="1" applyFont="1" applyBorder="1"/>
    <xf numFmtId="164" fontId="5" fillId="0" borderId="0" xfId="3" applyNumberFormat="1" applyFont="1" applyBorder="1"/>
    <xf numFmtId="9" fontId="9" fillId="0" borderId="0" xfId="0" applyNumberFormat="1" applyFont="1" applyAlignment="1">
      <alignment horizont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172" fontId="9" fillId="0" borderId="0" xfId="2" applyNumberFormat="1" applyFont="1" applyBorder="1"/>
    <xf numFmtId="0" fontId="9" fillId="0" borderId="0" xfId="0" applyFont="1" applyBorder="1"/>
    <xf numFmtId="188" fontId="9" fillId="0" borderId="0" xfId="0" applyNumberFormat="1" applyFont="1" applyBorder="1" applyAlignment="1">
      <alignment horizontal="center"/>
    </xf>
    <xf numFmtId="0" fontId="9" fillId="0" borderId="5" xfId="0" applyFont="1" applyBorder="1"/>
    <xf numFmtId="172" fontId="9" fillId="0" borderId="0" xfId="0" applyNumberFormat="1" applyFont="1" applyBorder="1"/>
    <xf numFmtId="9" fontId="9" fillId="0" borderId="5" xfId="3" applyFont="1" applyBorder="1" applyAlignment="1">
      <alignment horizontal="right"/>
    </xf>
    <xf numFmtId="0" fontId="9" fillId="0" borderId="6" xfId="0" applyFont="1" applyBorder="1"/>
    <xf numFmtId="172" fontId="9" fillId="0" borderId="8" xfId="0" applyNumberFormat="1" applyFont="1" applyBorder="1"/>
    <xf numFmtId="188" fontId="9" fillId="0" borderId="8" xfId="0" applyNumberFormat="1" applyFont="1" applyBorder="1" applyAlignment="1">
      <alignment horizontal="center"/>
    </xf>
    <xf numFmtId="9" fontId="9" fillId="0" borderId="7" xfId="3" applyFont="1" applyBorder="1" applyAlignment="1">
      <alignment horizontal="right"/>
    </xf>
    <xf numFmtId="174" fontId="9" fillId="0" borderId="10" xfId="2" applyNumberFormat="1" applyFont="1" applyBorder="1" applyAlignment="1">
      <alignment horizontal="center"/>
    </xf>
    <xf numFmtId="174" fontId="9" fillId="0" borderId="11" xfId="2" applyNumberFormat="1" applyFont="1" applyBorder="1" applyAlignment="1">
      <alignment horizontal="center"/>
    </xf>
    <xf numFmtId="172" fontId="3" fillId="0" borderId="5" xfId="0" applyNumberFormat="1" applyFont="1" applyBorder="1"/>
    <xf numFmtId="172" fontId="9" fillId="0" borderId="5" xfId="2" applyNumberFormat="1" applyFont="1" applyBorder="1"/>
    <xf numFmtId="0" fontId="9" fillId="0" borderId="6" xfId="0" applyFont="1" applyBorder="1" applyAlignment="1">
      <alignment horizontal="center"/>
    </xf>
    <xf numFmtId="172" fontId="9" fillId="0" borderId="8" xfId="2" applyNumberFormat="1" applyFont="1" applyBorder="1"/>
    <xf numFmtId="172" fontId="9" fillId="0" borderId="7" xfId="2" applyNumberFormat="1" applyFont="1" applyBorder="1"/>
    <xf numFmtId="3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12" xfId="0" applyFont="1" applyBorder="1"/>
    <xf numFmtId="164" fontId="5" fillId="0" borderId="0" xfId="3" applyNumberFormat="1" applyFont="1" applyBorder="1" applyAlignment="1">
      <alignment horizontal="center"/>
    </xf>
    <xf numFmtId="164" fontId="5" fillId="0" borderId="5" xfId="0" applyNumberFormat="1" applyFont="1" applyBorder="1"/>
    <xf numFmtId="3" fontId="5" fillId="0" borderId="10" xfId="0" applyNumberFormat="1" applyFont="1" applyBorder="1" applyAlignment="1">
      <alignment horizontal="center"/>
    </xf>
    <xf numFmtId="188" fontId="21" fillId="0" borderId="0" xfId="0" applyNumberFormat="1" applyFont="1" applyBorder="1"/>
    <xf numFmtId="188" fontId="21" fillId="0" borderId="8" xfId="0" applyNumberFormat="1" applyFont="1" applyBorder="1"/>
    <xf numFmtId="168" fontId="17" fillId="0" borderId="0" xfId="2" applyNumberFormat="1" applyFont="1" applyBorder="1"/>
    <xf numFmtId="168" fontId="18" fillId="0" borderId="0" xfId="2" applyNumberFormat="1" applyFont="1" applyBorder="1"/>
    <xf numFmtId="0" fontId="10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"/>
  <sheetViews>
    <sheetView tabSelected="1" workbookViewId="0">
      <selection activeCell="G12" sqref="G12"/>
    </sheetView>
  </sheetViews>
  <sheetFormatPr defaultRowHeight="12.75" x14ac:dyDescent="0.2"/>
  <cols>
    <col min="1" max="1" width="16.140625" bestFit="1" customWidth="1"/>
    <col min="2" max="2" width="9.5703125" customWidth="1"/>
    <col min="3" max="3" width="8.28515625" customWidth="1"/>
    <col min="4" max="4" width="10" customWidth="1"/>
    <col min="5" max="5" width="10.85546875" customWidth="1"/>
    <col min="6" max="6" width="10.85546875" bestFit="1" customWidth="1"/>
    <col min="7" max="7" width="9.5703125" customWidth="1"/>
    <col min="8" max="8" width="10.42578125" bestFit="1" customWidth="1"/>
    <col min="9" max="9" width="10.42578125" customWidth="1"/>
    <col min="11" max="11" width="12.7109375" customWidth="1"/>
  </cols>
  <sheetData>
    <row r="2" spans="1:11" ht="15" x14ac:dyDescent="0.2">
      <c r="A2" s="282" t="s">
        <v>196</v>
      </c>
      <c r="B2" s="282"/>
      <c r="C2" s="282"/>
      <c r="D2" s="282"/>
      <c r="E2" s="282"/>
      <c r="F2" s="282"/>
      <c r="G2" s="282"/>
      <c r="H2" s="282"/>
      <c r="I2" s="282"/>
      <c r="J2" s="282"/>
    </row>
    <row r="3" spans="1:11" s="209" customFormat="1" x14ac:dyDescent="0.2">
      <c r="A3" s="200"/>
      <c r="B3" s="200"/>
      <c r="C3" s="200"/>
      <c r="D3" s="200"/>
      <c r="E3" s="200"/>
      <c r="F3" s="200"/>
      <c r="G3" s="200"/>
      <c r="H3" s="200"/>
      <c r="I3" s="200"/>
      <c r="J3" s="200"/>
    </row>
    <row r="6" spans="1:11" s="3" customFormat="1" x14ac:dyDescent="0.2">
      <c r="A6" s="280" t="s">
        <v>105</v>
      </c>
      <c r="B6" s="280"/>
      <c r="C6" s="280"/>
      <c r="D6" s="280"/>
      <c r="E6" s="280"/>
      <c r="F6" s="280"/>
      <c r="G6" s="280"/>
      <c r="H6" s="280"/>
      <c r="I6" s="280"/>
    </row>
    <row r="7" spans="1:11" s="15" customFormat="1" ht="12" x14ac:dyDescent="0.2">
      <c r="A7" s="283" t="s">
        <v>166</v>
      </c>
      <c r="B7" s="283"/>
      <c r="C7" s="283"/>
      <c r="D7" s="283"/>
      <c r="E7" s="283"/>
      <c r="F7" s="283"/>
      <c r="G7" s="283"/>
      <c r="H7" s="283"/>
      <c r="I7" s="283"/>
    </row>
    <row r="8" spans="1:11" s="3" customFormat="1" ht="12" customHeight="1" x14ac:dyDescent="0.2">
      <c r="A8" s="87"/>
      <c r="B8" s="88"/>
      <c r="C8" s="89"/>
      <c r="D8" s="89"/>
      <c r="E8" s="89"/>
      <c r="F8" s="89" t="s">
        <v>158</v>
      </c>
      <c r="G8" s="89" t="s">
        <v>82</v>
      </c>
      <c r="H8" s="89" t="s">
        <v>159</v>
      </c>
      <c r="I8" s="89"/>
      <c r="J8" s="90" t="s">
        <v>81</v>
      </c>
    </row>
    <row r="9" spans="1:11" s="3" customFormat="1" ht="12" customHeight="1" x14ac:dyDescent="0.2">
      <c r="A9" s="85"/>
      <c r="B9" s="149"/>
      <c r="C9" s="83" t="s">
        <v>50</v>
      </c>
      <c r="D9" s="83" t="s">
        <v>156</v>
      </c>
      <c r="E9" s="83" t="s">
        <v>163</v>
      </c>
      <c r="F9" s="83" t="s">
        <v>143</v>
      </c>
      <c r="G9" s="83" t="s">
        <v>81</v>
      </c>
      <c r="H9" s="83" t="s">
        <v>82</v>
      </c>
      <c r="I9" s="83" t="s">
        <v>160</v>
      </c>
      <c r="J9" s="190" t="s">
        <v>164</v>
      </c>
    </row>
    <row r="10" spans="1:11" s="3" customFormat="1" ht="12" customHeight="1" x14ac:dyDescent="0.2">
      <c r="A10" s="84" t="s">
        <v>57</v>
      </c>
      <c r="B10" s="91" t="s">
        <v>23</v>
      </c>
      <c r="C10" s="92" t="s">
        <v>97</v>
      </c>
      <c r="D10" s="92" t="s">
        <v>157</v>
      </c>
      <c r="E10" s="92" t="s">
        <v>162</v>
      </c>
      <c r="F10" s="92" t="s">
        <v>161</v>
      </c>
      <c r="G10" s="92" t="s">
        <v>161</v>
      </c>
      <c r="H10" s="92" t="s">
        <v>161</v>
      </c>
      <c r="I10" s="92" t="s">
        <v>162</v>
      </c>
      <c r="J10" s="93" t="s">
        <v>165</v>
      </c>
    </row>
    <row r="11" spans="1:11" s="3" customFormat="1" ht="12" customHeight="1" x14ac:dyDescent="0.2">
      <c r="A11" s="85" t="s">
        <v>92</v>
      </c>
      <c r="B11" s="184">
        <f>BillDet!B6</f>
        <v>694603.89817994437</v>
      </c>
      <c r="C11" s="115">
        <f>B11/B$15</f>
        <v>0.1817389805717495</v>
      </c>
      <c r="D11" s="96">
        <f>BillDet!I6/1000000</f>
        <v>1622.685673734218</v>
      </c>
      <c r="E11" s="197">
        <f>Prices!E6*100</f>
        <v>11.430099999999999</v>
      </c>
      <c r="F11" s="185">
        <f>BillDet!J35/1000</f>
        <v>185474.59519349484</v>
      </c>
      <c r="G11" s="185">
        <f>H11-F11</f>
        <v>0</v>
      </c>
      <c r="H11" s="185">
        <f>BillDet!I35/1000</f>
        <v>185474.59519349484</v>
      </c>
      <c r="I11" s="191">
        <f>Prices!E6*100</f>
        <v>11.430099999999999</v>
      </c>
      <c r="J11" s="188">
        <f>G11/F11</f>
        <v>0</v>
      </c>
    </row>
    <row r="12" spans="1:11" s="3" customFormat="1" ht="12" customHeight="1" x14ac:dyDescent="0.2">
      <c r="A12" s="85" t="s">
        <v>91</v>
      </c>
      <c r="B12" s="184">
        <f>BillDet!B7</f>
        <v>437099.23565687053</v>
      </c>
      <c r="C12" s="115">
        <f>B12/B$15</f>
        <v>0.11436441647551958</v>
      </c>
      <c r="D12" s="96">
        <f>BillDet!I7/1000000</f>
        <v>1697.4010826081899</v>
      </c>
      <c r="E12" s="197">
        <f>Prices!E7*100</f>
        <v>12.988900000000001</v>
      </c>
      <c r="F12" s="185">
        <f>BillDet!J36/1000</f>
        <v>195019.80993291605</v>
      </c>
      <c r="G12" s="185">
        <f>H12-F12</f>
        <v>0</v>
      </c>
      <c r="H12" s="185">
        <f>BillDet!I36/1000</f>
        <v>195019.80993291605</v>
      </c>
      <c r="I12" s="191">
        <f>Prices!E7*100</f>
        <v>12.988900000000001</v>
      </c>
      <c r="J12" s="188">
        <f>G12/F12</f>
        <v>0</v>
      </c>
    </row>
    <row r="13" spans="1:11" s="3" customFormat="1" ht="12" customHeight="1" x14ac:dyDescent="0.2">
      <c r="A13" s="85" t="s">
        <v>96</v>
      </c>
      <c r="B13" s="184">
        <f>BillDet!B8</f>
        <v>952011.72410163062</v>
      </c>
      <c r="C13" s="115">
        <f>B13/B$15</f>
        <v>0.24908820794691536</v>
      </c>
      <c r="D13" s="96">
        <f>BillDet!I8/1000000</f>
        <v>5133.441801438159</v>
      </c>
      <c r="E13" s="197">
        <f>E12</f>
        <v>12.988900000000001</v>
      </c>
      <c r="F13" s="185">
        <f>BillDet!J37/1000</f>
        <v>604447.83069111791</v>
      </c>
      <c r="G13" s="185">
        <f>H13-F13</f>
        <v>26728.967436652863</v>
      </c>
      <c r="H13" s="185">
        <f>BillDet!I37/1000</f>
        <v>631176.79812777077</v>
      </c>
      <c r="I13" s="191">
        <f>Prices!E8*100</f>
        <v>19.488900000000001</v>
      </c>
      <c r="J13" s="188">
        <f>G13/F13</f>
        <v>4.4220470451670421E-2</v>
      </c>
      <c r="K13" s="61"/>
    </row>
    <row r="14" spans="1:11" s="3" customFormat="1" ht="12" customHeight="1" x14ac:dyDescent="0.2">
      <c r="A14" s="84" t="s">
        <v>95</v>
      </c>
      <c r="B14" s="192">
        <f>BillDet!B9</f>
        <v>1738271.4654948961</v>
      </c>
      <c r="C14" s="116">
        <f>B14/B$15</f>
        <v>0.4548083950058156</v>
      </c>
      <c r="D14" s="100">
        <f>BillDet!I9/1000000</f>
        <v>18361.044138954552</v>
      </c>
      <c r="E14" s="198">
        <f>E13</f>
        <v>12.988900000000001</v>
      </c>
      <c r="F14" s="186">
        <f>BillDet!J38/1000</f>
        <v>2265136.073011585</v>
      </c>
      <c r="G14" s="186">
        <f>H14-F14</f>
        <v>999433.19480262883</v>
      </c>
      <c r="H14" s="186">
        <f>BillDet!I38/1000</f>
        <v>3264569.2678142139</v>
      </c>
      <c r="I14" s="193">
        <f>Prices!E9*100</f>
        <v>28.888671956591605</v>
      </c>
      <c r="J14" s="194">
        <f>G14/F14</f>
        <v>0.44122435146858269</v>
      </c>
      <c r="K14" s="61"/>
    </row>
    <row r="15" spans="1:11" s="3" customFormat="1" ht="12" customHeight="1" x14ac:dyDescent="0.2">
      <c r="A15" s="86" t="s">
        <v>106</v>
      </c>
      <c r="B15" s="101">
        <f>SUM(B11:B14)</f>
        <v>3821986.3234333415</v>
      </c>
      <c r="C15" s="117">
        <f>SUM(C11:C14)</f>
        <v>1</v>
      </c>
      <c r="D15" s="103">
        <f>SUM(D11:D14)</f>
        <v>26814.572696735118</v>
      </c>
      <c r="E15" s="199">
        <f>F15/D15/10</f>
        <v>12.120567221363315</v>
      </c>
      <c r="F15" s="187">
        <f>SUM(F11:F14)</f>
        <v>3250078.3088291138</v>
      </c>
      <c r="G15" s="187">
        <f>SUM(G11:G14)</f>
        <v>1026162.1622392817</v>
      </c>
      <c r="H15" s="187">
        <f>SUM(H11:H14)</f>
        <v>4276240.4710683953</v>
      </c>
      <c r="I15" s="195">
        <f>H15/D15/10</f>
        <v>15.947449617905196</v>
      </c>
      <c r="J15" s="189">
        <f>G15/F15</f>
        <v>0.31573459613315319</v>
      </c>
      <c r="K15" s="61"/>
    </row>
    <row r="16" spans="1:11" s="3" customFormat="1" ht="11.25" x14ac:dyDescent="0.2"/>
    <row r="17" spans="1:10" s="3" customFormat="1" ht="11.25" x14ac:dyDescent="0.2"/>
    <row r="18" spans="1:10" s="3" customFormat="1" ht="11.25" x14ac:dyDescent="0.2">
      <c r="B18" s="4"/>
    </row>
    <row r="19" spans="1:10" s="3" customFormat="1" x14ac:dyDescent="0.2">
      <c r="A19" s="280" t="s">
        <v>107</v>
      </c>
      <c r="B19" s="280"/>
      <c r="C19" s="280"/>
      <c r="D19" s="280"/>
      <c r="E19" s="280"/>
      <c r="F19" s="280"/>
      <c r="G19" s="280"/>
      <c r="H19" s="280"/>
      <c r="I19" s="280"/>
    </row>
    <row r="20" spans="1:10" s="15" customFormat="1" ht="12" x14ac:dyDescent="0.2">
      <c r="A20" s="281" t="s">
        <v>166</v>
      </c>
      <c r="B20" s="281"/>
      <c r="C20" s="281"/>
      <c r="D20" s="281"/>
      <c r="E20" s="281"/>
      <c r="F20" s="281"/>
      <c r="G20" s="281"/>
      <c r="H20" s="281"/>
      <c r="I20" s="281"/>
    </row>
    <row r="21" spans="1:10" s="3" customFormat="1" ht="12" customHeight="1" x14ac:dyDescent="0.2">
      <c r="A21" s="87"/>
      <c r="B21" s="88"/>
      <c r="C21" s="89"/>
      <c r="D21" s="89"/>
      <c r="E21" s="89"/>
      <c r="F21" s="89" t="s">
        <v>158</v>
      </c>
      <c r="G21" s="89" t="s">
        <v>82</v>
      </c>
      <c r="H21" s="89" t="s">
        <v>159</v>
      </c>
      <c r="I21" s="89"/>
      <c r="J21" s="90" t="s">
        <v>81</v>
      </c>
    </row>
    <row r="22" spans="1:10" s="3" customFormat="1" ht="12" customHeight="1" x14ac:dyDescent="0.2">
      <c r="A22" s="85"/>
      <c r="B22" s="149"/>
      <c r="C22" s="83" t="s">
        <v>50</v>
      </c>
      <c r="D22" s="83" t="s">
        <v>156</v>
      </c>
      <c r="E22" s="83" t="s">
        <v>163</v>
      </c>
      <c r="F22" s="83" t="s">
        <v>143</v>
      </c>
      <c r="G22" s="83" t="s">
        <v>81</v>
      </c>
      <c r="H22" s="83" t="s">
        <v>82</v>
      </c>
      <c r="I22" s="83" t="s">
        <v>160</v>
      </c>
      <c r="J22" s="190" t="s">
        <v>164</v>
      </c>
    </row>
    <row r="23" spans="1:10" s="3" customFormat="1" ht="12" customHeight="1" x14ac:dyDescent="0.2">
      <c r="A23" s="84" t="s">
        <v>57</v>
      </c>
      <c r="B23" s="91" t="s">
        <v>23</v>
      </c>
      <c r="C23" s="92" t="s">
        <v>97</v>
      </c>
      <c r="D23" s="92" t="s">
        <v>157</v>
      </c>
      <c r="E23" s="92" t="s">
        <v>162</v>
      </c>
      <c r="F23" s="92" t="s">
        <v>161</v>
      </c>
      <c r="G23" s="92" t="s">
        <v>161</v>
      </c>
      <c r="H23" s="92" t="s">
        <v>161</v>
      </c>
      <c r="I23" s="92" t="s">
        <v>162</v>
      </c>
      <c r="J23" s="93" t="s">
        <v>165</v>
      </c>
    </row>
    <row r="24" spans="1:10" s="3" customFormat="1" ht="12" customHeight="1" x14ac:dyDescent="0.2">
      <c r="A24" s="85" t="s">
        <v>92</v>
      </c>
      <c r="B24" s="184">
        <f>BillDet!B19</f>
        <v>85681.317036048757</v>
      </c>
      <c r="C24" s="115">
        <f>B24/B$28</f>
        <v>0.2741877249990361</v>
      </c>
      <c r="D24" s="96">
        <f>BillDet!I19/1000000</f>
        <v>264.23723987136884</v>
      </c>
      <c r="E24" s="197">
        <f>Prices!C19*100</f>
        <v>8.8308</v>
      </c>
      <c r="F24" s="185">
        <f>BillDet!J19/1000</f>
        <v>23334.262178560839</v>
      </c>
      <c r="G24" s="185">
        <f>H24-F24</f>
        <v>0</v>
      </c>
      <c r="H24" s="185">
        <f>F24</f>
        <v>23334.262178560839</v>
      </c>
      <c r="I24" s="197">
        <f>E24</f>
        <v>8.8308</v>
      </c>
      <c r="J24" s="188">
        <f>G24/F24</f>
        <v>0</v>
      </c>
    </row>
    <row r="25" spans="1:10" s="3" customFormat="1" ht="12" customHeight="1" x14ac:dyDescent="0.2">
      <c r="A25" s="85" t="s">
        <v>91</v>
      </c>
      <c r="B25" s="184">
        <f>BillDet!B20</f>
        <v>48272.691900557809</v>
      </c>
      <c r="C25" s="115">
        <f>B25/B$28</f>
        <v>0.15447684547407975</v>
      </c>
      <c r="D25" s="96">
        <f>BillDet!I20/1000000</f>
        <v>291.64174864811531</v>
      </c>
      <c r="E25" s="197">
        <f>Prices!C20*100</f>
        <v>10.1556</v>
      </c>
      <c r="F25" s="185">
        <f>BillDet!J20/1000</f>
        <v>25922.891191078699</v>
      </c>
      <c r="G25" s="185">
        <f>H25-F25</f>
        <v>0</v>
      </c>
      <c r="H25" s="185">
        <f>F25</f>
        <v>25922.891191078699</v>
      </c>
      <c r="I25" s="197">
        <f>E25</f>
        <v>10.1556</v>
      </c>
      <c r="J25" s="188">
        <f>G25/F25</f>
        <v>0</v>
      </c>
    </row>
    <row r="26" spans="1:10" s="3" customFormat="1" ht="12" customHeight="1" x14ac:dyDescent="0.2">
      <c r="A26" s="85" t="s">
        <v>96</v>
      </c>
      <c r="B26" s="184">
        <f>BillDet!B21</f>
        <v>84821.436776865696</v>
      </c>
      <c r="C26" s="115">
        <f>B26/B$28</f>
        <v>0.27143603279596468</v>
      </c>
      <c r="D26" s="96">
        <f>BillDet!I21/1000000</f>
        <v>613.53389466636838</v>
      </c>
      <c r="E26" s="197">
        <f>E25</f>
        <v>10.1556</v>
      </c>
      <c r="F26" s="185">
        <f>BillDet!J21/1000</f>
        <v>55873.596127428595</v>
      </c>
      <c r="G26" s="185">
        <f>H26-F26</f>
        <v>0</v>
      </c>
      <c r="H26" s="185">
        <f>F26</f>
        <v>55873.596127428595</v>
      </c>
      <c r="I26" s="197">
        <f>E26</f>
        <v>10.1556</v>
      </c>
      <c r="J26" s="188">
        <f>G26/F26</f>
        <v>0</v>
      </c>
    </row>
    <row r="27" spans="1:10" s="3" customFormat="1" ht="12" customHeight="1" x14ac:dyDescent="0.2">
      <c r="A27" s="84" t="s">
        <v>95</v>
      </c>
      <c r="B27" s="192">
        <f>BillDet!B22</f>
        <v>93715.994362300553</v>
      </c>
      <c r="C27" s="116">
        <f>B27/B$28</f>
        <v>0.29989939673091953</v>
      </c>
      <c r="D27" s="100">
        <f>BillDet!I22/1000000</f>
        <v>863.64073648527653</v>
      </c>
      <c r="E27" s="198">
        <f>E26</f>
        <v>10.1556</v>
      </c>
      <c r="F27" s="186">
        <f>BillDet!J22/1000</f>
        <v>81858.56680769501</v>
      </c>
      <c r="G27" s="186">
        <f>H27-F27</f>
        <v>0</v>
      </c>
      <c r="H27" s="186">
        <f>F27</f>
        <v>81858.56680769501</v>
      </c>
      <c r="I27" s="198">
        <f>E27</f>
        <v>10.1556</v>
      </c>
      <c r="J27" s="194">
        <f>G27/F27</f>
        <v>0</v>
      </c>
    </row>
    <row r="28" spans="1:10" s="3" customFormat="1" ht="12" customHeight="1" x14ac:dyDescent="0.2">
      <c r="A28" s="86" t="s">
        <v>106</v>
      </c>
      <c r="B28" s="101">
        <f>SUM(B24:B27)</f>
        <v>312491.44007577281</v>
      </c>
      <c r="C28" s="117">
        <f>SUM(C24:C27)</f>
        <v>1</v>
      </c>
      <c r="D28" s="103">
        <f>SUM(D24:D27)</f>
        <v>2033.0536196711291</v>
      </c>
      <c r="E28" s="199">
        <f>F28/D28/10</f>
        <v>9.1974611242673916</v>
      </c>
      <c r="F28" s="187">
        <f>SUM(F24:F27)</f>
        <v>186989.31630476314</v>
      </c>
      <c r="G28" s="187">
        <f>H28-F28</f>
        <v>0</v>
      </c>
      <c r="H28" s="187">
        <f>SUM(H24:H27)</f>
        <v>186989.31630476314</v>
      </c>
      <c r="I28" s="195">
        <f>H28/D28/10</f>
        <v>9.1974611242673916</v>
      </c>
      <c r="J28" s="196">
        <f>SUM(J24:J27)</f>
        <v>0</v>
      </c>
    </row>
    <row r="30" spans="1:10" s="3" customFormat="1" ht="11.25" x14ac:dyDescent="0.2">
      <c r="B30" s="4"/>
      <c r="C30" s="4"/>
      <c r="D30" s="4"/>
      <c r="E30" s="4"/>
      <c r="F30" s="4"/>
      <c r="G30" s="4"/>
      <c r="H30" s="4"/>
      <c r="I30" s="4"/>
    </row>
    <row r="32" spans="1:10" s="3" customFormat="1" x14ac:dyDescent="0.2">
      <c r="A32" s="280" t="s">
        <v>145</v>
      </c>
      <c r="B32" s="280"/>
      <c r="C32" s="280"/>
      <c r="D32" s="280"/>
      <c r="E32" s="280"/>
      <c r="F32" s="280"/>
      <c r="G32" s="280"/>
      <c r="H32" s="280"/>
      <c r="I32" s="280"/>
    </row>
    <row r="33" spans="1:9" s="15" customFormat="1" ht="12" x14ac:dyDescent="0.2">
      <c r="A33" s="281" t="s">
        <v>195</v>
      </c>
      <c r="B33" s="281"/>
      <c r="C33" s="281"/>
      <c r="D33" s="281"/>
      <c r="E33" s="281"/>
      <c r="F33" s="281"/>
      <c r="G33" s="281"/>
      <c r="H33" s="281"/>
      <c r="I33" s="281"/>
    </row>
    <row r="34" spans="1:9" s="3" customFormat="1" ht="12" customHeight="1" x14ac:dyDescent="0.2">
      <c r="A34" s="242"/>
      <c r="B34" s="144"/>
      <c r="C34" s="88"/>
      <c r="D34" s="89"/>
      <c r="E34" s="89"/>
      <c r="F34" s="89" t="s">
        <v>158</v>
      </c>
      <c r="G34" s="89" t="s">
        <v>82</v>
      </c>
      <c r="H34" s="89" t="s">
        <v>159</v>
      </c>
      <c r="I34" s="90" t="s">
        <v>81</v>
      </c>
    </row>
    <row r="35" spans="1:9" s="3" customFormat="1" ht="12" customHeight="1" x14ac:dyDescent="0.2">
      <c r="A35" s="149"/>
      <c r="B35" s="146"/>
      <c r="C35" s="149"/>
      <c r="D35" s="83" t="s">
        <v>50</v>
      </c>
      <c r="E35" s="83" t="s">
        <v>156</v>
      </c>
      <c r="F35" s="83" t="s">
        <v>143</v>
      </c>
      <c r="G35" s="83" t="s">
        <v>81</v>
      </c>
      <c r="H35" s="83" t="s">
        <v>82</v>
      </c>
      <c r="I35" s="190" t="s">
        <v>164</v>
      </c>
    </row>
    <row r="36" spans="1:9" s="3" customFormat="1" ht="12" customHeight="1" x14ac:dyDescent="0.2">
      <c r="A36" s="91" t="s">
        <v>57</v>
      </c>
      <c r="B36" s="146"/>
      <c r="C36" s="91" t="s">
        <v>23</v>
      </c>
      <c r="D36" s="92" t="s">
        <v>97</v>
      </c>
      <c r="E36" s="92" t="s">
        <v>157</v>
      </c>
      <c r="F36" s="92" t="s">
        <v>161</v>
      </c>
      <c r="G36" s="92" t="s">
        <v>161</v>
      </c>
      <c r="H36" s="92" t="s">
        <v>161</v>
      </c>
      <c r="I36" s="93" t="s">
        <v>165</v>
      </c>
    </row>
    <row r="37" spans="1:9" s="3" customFormat="1" ht="12" customHeight="1" x14ac:dyDescent="0.2">
      <c r="A37" s="147" t="s">
        <v>194</v>
      </c>
      <c r="B37" s="146"/>
      <c r="C37" s="94">
        <f>B11+B24</f>
        <v>780285.21521599311</v>
      </c>
      <c r="D37" s="115">
        <f>C37/C$42</f>
        <v>0.18872642685438717</v>
      </c>
      <c r="E37" s="96">
        <f>D11+D24</f>
        <v>1886.9229136055869</v>
      </c>
      <c r="F37" s="185">
        <f>F11+F24</f>
        <v>208808.85737205567</v>
      </c>
      <c r="G37" s="185">
        <f>H37-F37</f>
        <v>0</v>
      </c>
      <c r="H37" s="185">
        <f>H11+H24</f>
        <v>208808.85737205567</v>
      </c>
      <c r="I37" s="188">
        <f t="shared" ref="I37:I42" si="0">G37/F37</f>
        <v>0</v>
      </c>
    </row>
    <row r="38" spans="1:9" s="3" customFormat="1" ht="12" customHeight="1" x14ac:dyDescent="0.2">
      <c r="A38" s="147" t="s">
        <v>186</v>
      </c>
      <c r="B38" s="146"/>
      <c r="C38" s="94">
        <f>B12+B25+B26+B27</f>
        <v>663909.3586965946</v>
      </c>
      <c r="D38" s="115">
        <f>C38/C$42</f>
        <v>0.16057877117063155</v>
      </c>
      <c r="E38" s="96">
        <f>D12+D25+D26+D27</f>
        <v>3466.2174624079503</v>
      </c>
      <c r="F38" s="185">
        <f>F12+F25+F26+F27</f>
        <v>358674.86405911838</v>
      </c>
      <c r="G38" s="185">
        <f>H38-F38</f>
        <v>0</v>
      </c>
      <c r="H38" s="185">
        <f>H12+H25+H26+H27</f>
        <v>358674.86405911838</v>
      </c>
      <c r="I38" s="188">
        <f t="shared" si="0"/>
        <v>0</v>
      </c>
    </row>
    <row r="39" spans="1:9" s="3" customFormat="1" ht="12" customHeight="1" x14ac:dyDescent="0.2">
      <c r="A39" s="147" t="s">
        <v>96</v>
      </c>
      <c r="B39" s="146"/>
      <c r="C39" s="94">
        <f>B13</f>
        <v>952011.72410163062</v>
      </c>
      <c r="D39" s="115">
        <f>C39/C$42</f>
        <v>0.2302616626709382</v>
      </c>
      <c r="E39" s="96">
        <f>D13</f>
        <v>5133.441801438159</v>
      </c>
      <c r="F39" s="185">
        <f>F13</f>
        <v>604447.83069111791</v>
      </c>
      <c r="G39" s="185">
        <f>H39-F39</f>
        <v>26728.967436652863</v>
      </c>
      <c r="H39" s="185">
        <f>H13</f>
        <v>631176.79812777077</v>
      </c>
      <c r="I39" s="188">
        <f t="shared" si="0"/>
        <v>4.4220470451670421E-2</v>
      </c>
    </row>
    <row r="40" spans="1:9" s="3" customFormat="1" ht="12" customHeight="1" x14ac:dyDescent="0.2">
      <c r="A40" s="147" t="s">
        <v>193</v>
      </c>
      <c r="B40" s="146"/>
      <c r="C40" s="94">
        <f>'GT200%Rev'!M13/'GT200%Rev'!M$20*B$14</f>
        <v>903307.9571766794</v>
      </c>
      <c r="D40" s="115">
        <f>C40/C$42</f>
        <v>0.21848175485408874</v>
      </c>
      <c r="E40" s="96">
        <f>'GT200%Rev'!J31/'GT200%Rev'!J$38*D$14</f>
        <v>7164.0240329957414</v>
      </c>
      <c r="F40" s="185">
        <f>'GT200%Rev'!K13/'GT200%Rev'!K$20*F$14</f>
        <v>866639.05152892356</v>
      </c>
      <c r="G40" s="185">
        <f>H40-F40</f>
        <v>184644.58935445396</v>
      </c>
      <c r="H40" s="185">
        <f>'GT200%Rev'!J13/'GT200%Rev'!J$20*H$14</f>
        <v>1051283.6408833775</v>
      </c>
      <c r="I40" s="188">
        <f t="shared" si="0"/>
        <v>0.21305823806197541</v>
      </c>
    </row>
    <row r="41" spans="1:9" s="3" customFormat="1" ht="12" customHeight="1" x14ac:dyDescent="0.2">
      <c r="A41" s="243" t="s">
        <v>204</v>
      </c>
      <c r="B41" s="146"/>
      <c r="C41" s="98">
        <f>'GT200%Rev'!M19/'GT200%Rev'!M$20*B$14</f>
        <v>834963.50831821677</v>
      </c>
      <c r="D41" s="116">
        <f>C41/C$42</f>
        <v>0.20195138444995439</v>
      </c>
      <c r="E41" s="100">
        <f>'GT200%Rev'!J37/'GT200%Rev'!J$38*D$14</f>
        <v>11197.020105958813</v>
      </c>
      <c r="F41" s="186">
        <f>'GT200%Rev'!K19/'GT200%Rev'!K$20*F$14</f>
        <v>1398497.0214826611</v>
      </c>
      <c r="G41" s="186">
        <f>H41-F41</f>
        <v>814788.60544817545</v>
      </c>
      <c r="H41" s="186">
        <f>'GT200%Rev'!J19/'GT200%Rev'!J$20*H$14</f>
        <v>2213285.6269308366</v>
      </c>
      <c r="I41" s="194">
        <f t="shared" si="0"/>
        <v>0.58261733341723632</v>
      </c>
    </row>
    <row r="42" spans="1:9" s="3" customFormat="1" ht="12" customHeight="1" x14ac:dyDescent="0.2">
      <c r="A42" s="151" t="s">
        <v>106</v>
      </c>
      <c r="B42" s="230"/>
      <c r="C42" s="101">
        <f t="shared" ref="C42:H42" si="1">SUM(C37:C41)</f>
        <v>4134477.7635091143</v>
      </c>
      <c r="D42" s="117">
        <f t="shared" si="1"/>
        <v>1</v>
      </c>
      <c r="E42" s="103">
        <f t="shared" si="1"/>
        <v>28847.626316406247</v>
      </c>
      <c r="F42" s="187">
        <f t="shared" si="1"/>
        <v>3437067.6251338767</v>
      </c>
      <c r="G42" s="187">
        <f t="shared" si="1"/>
        <v>1026162.1622392823</v>
      </c>
      <c r="H42" s="187">
        <f t="shared" si="1"/>
        <v>4463229.7873731591</v>
      </c>
      <c r="I42" s="189">
        <f t="shared" si="0"/>
        <v>0.29855745483020935</v>
      </c>
    </row>
    <row r="44" spans="1:9" x14ac:dyDescent="0.2">
      <c r="A44" s="236" t="s">
        <v>187</v>
      </c>
    </row>
  </sheetData>
  <mergeCells count="7">
    <mergeCell ref="A32:I32"/>
    <mergeCell ref="A33:I33"/>
    <mergeCell ref="A20:I20"/>
    <mergeCell ref="A2:J2"/>
    <mergeCell ref="A6:I6"/>
    <mergeCell ref="A7:I7"/>
    <mergeCell ref="A19:I19"/>
  </mergeCells>
  <phoneticPr fontId="0" type="noConversion"/>
  <printOptions horizontalCentered="1" headings="1"/>
  <pageMargins left="0.75" right="0.75" top="1" bottom="1" header="0.5" footer="0.5"/>
  <pageSetup scale="85" orientation="landscape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B7" sqref="B7"/>
    </sheetView>
  </sheetViews>
  <sheetFormatPr defaultRowHeight="12.75" x14ac:dyDescent="0.2"/>
  <cols>
    <col min="1" max="1" width="16.5703125" style="15" customWidth="1"/>
    <col min="2" max="2" width="10.28515625" style="15" customWidth="1"/>
    <col min="3" max="3" width="9" style="15" customWidth="1"/>
    <col min="4" max="4" width="10.7109375" style="15" customWidth="1"/>
    <col min="5" max="5" width="10.28515625" style="15" customWidth="1"/>
    <col min="6" max="6" width="9" style="15" customWidth="1"/>
    <col min="7" max="7" width="10.7109375" style="15" customWidth="1"/>
  </cols>
  <sheetData>
    <row r="1" spans="1:7" ht="14.25" x14ac:dyDescent="0.2">
      <c r="A1" s="287" t="s">
        <v>65</v>
      </c>
      <c r="B1" s="287"/>
      <c r="C1" s="287"/>
      <c r="D1" s="287"/>
      <c r="E1" s="287"/>
      <c r="F1" s="287"/>
      <c r="G1" s="287"/>
    </row>
    <row r="2" spans="1:7" ht="14.25" x14ac:dyDescent="0.2">
      <c r="A2" s="287" t="s">
        <v>66</v>
      </c>
      <c r="B2" s="287"/>
      <c r="C2" s="287"/>
      <c r="D2" s="287"/>
      <c r="E2" s="287"/>
      <c r="F2" s="287"/>
      <c r="G2" s="287"/>
    </row>
    <row r="4" spans="1:7" x14ac:dyDescent="0.2">
      <c r="A4" s="31"/>
      <c r="B4" s="288" t="s">
        <v>63</v>
      </c>
      <c r="C4" s="289"/>
      <c r="D4" s="290"/>
      <c r="E4" s="288" t="s">
        <v>64</v>
      </c>
      <c r="F4" s="289"/>
      <c r="G4" s="290"/>
    </row>
    <row r="5" spans="1:7" x14ac:dyDescent="0.2">
      <c r="A5" s="32"/>
      <c r="B5" s="35" t="s">
        <v>22</v>
      </c>
      <c r="C5" s="63" t="s">
        <v>22</v>
      </c>
      <c r="D5" s="76" t="s">
        <v>62</v>
      </c>
      <c r="E5" s="35" t="s">
        <v>22</v>
      </c>
      <c r="F5" s="63" t="s">
        <v>22</v>
      </c>
      <c r="G5" s="36" t="s">
        <v>62</v>
      </c>
    </row>
    <row r="6" spans="1:7" x14ac:dyDescent="0.2">
      <c r="A6" s="33" t="s">
        <v>57</v>
      </c>
      <c r="B6" s="37" t="s">
        <v>23</v>
      </c>
      <c r="C6" s="64" t="s">
        <v>86</v>
      </c>
      <c r="D6" s="77" t="s">
        <v>51</v>
      </c>
      <c r="E6" s="37" t="s">
        <v>23</v>
      </c>
      <c r="F6" s="64" t="s">
        <v>86</v>
      </c>
      <c r="G6" s="38" t="s">
        <v>51</v>
      </c>
    </row>
    <row r="7" spans="1:7" x14ac:dyDescent="0.2">
      <c r="A7" s="32" t="s">
        <v>76</v>
      </c>
      <c r="B7" s="39">
        <f>'130%Baseline'!B114/'130%Baseline'!B$119</f>
        <v>0.29610339704726907</v>
      </c>
      <c r="C7" s="69">
        <f>'130%Baseline'!F114/'130%Baseline'!F$119</f>
        <v>0.12381650805670508</v>
      </c>
      <c r="D7" s="40">
        <f>'130%Baseline'!H114</f>
        <v>0</v>
      </c>
      <c r="E7" s="43">
        <f>'200%Baseline'!B99/'200%Baseline'!B$104</f>
        <v>0.5451916049941844</v>
      </c>
      <c r="F7" s="74">
        <f>'200%Baseline'!F99/'200%Baseline'!F$104</f>
        <v>0.31525874580913416</v>
      </c>
      <c r="G7" s="40">
        <f>'200%Baseline'!H99</f>
        <v>0</v>
      </c>
    </row>
    <row r="8" spans="1:7" x14ac:dyDescent="0.2">
      <c r="A8" s="32" t="s">
        <v>58</v>
      </c>
      <c r="B8" s="39">
        <f>'130%Baseline'!B115/'130%Baseline'!B$119</f>
        <v>0.1271887561966098</v>
      </c>
      <c r="C8" s="69">
        <f>'130%Baseline'!F115/'130%Baseline'!F$119</f>
        <v>8.4553232084944516E-2</v>
      </c>
      <c r="D8" s="40">
        <f>'130%Baseline'!H115</f>
        <v>2.7443623013533761E-2</v>
      </c>
      <c r="E8" s="43">
        <f>'200%Baseline'!B100/'200%Baseline'!B$104</f>
        <v>0.14442194930702748</v>
      </c>
      <c r="F8" s="74">
        <f>'200%Baseline'!F100/'200%Baseline'!F$104</f>
        <v>0.14510446572637128</v>
      </c>
      <c r="G8" s="40">
        <f>'200%Baseline'!H100</f>
        <v>0</v>
      </c>
    </row>
    <row r="9" spans="1:7" x14ac:dyDescent="0.2">
      <c r="A9" s="32" t="s">
        <v>59</v>
      </c>
      <c r="B9" s="39">
        <f>'130%Baseline'!B116/'130%Baseline'!B$119</f>
        <v>0.13516428092406188</v>
      </c>
      <c r="C9" s="69">
        <f>'130%Baseline'!F116/'130%Baseline'!F$119</f>
        <v>0.12582716083899767</v>
      </c>
      <c r="D9" s="40">
        <f>'130%Baseline'!H116</f>
        <v>8.8125512917366242E-2</v>
      </c>
      <c r="E9" s="43">
        <f>'200%Baseline'!B101/'200%Baseline'!B$104</f>
        <v>0.11209123753255175</v>
      </c>
      <c r="F9" s="74">
        <f>'200%Baseline'!F101/'200%Baseline'!F$104</f>
        <v>0.15130101721945249</v>
      </c>
      <c r="G9" s="40">
        <f>'200%Baseline'!H101</f>
        <v>0</v>
      </c>
    </row>
    <row r="10" spans="1:7" x14ac:dyDescent="0.2">
      <c r="A10" s="32" t="s">
        <v>60</v>
      </c>
      <c r="B10" s="39">
        <f>'130%Baseline'!B117/'130%Baseline'!B$119</f>
        <v>0.14491495967106602</v>
      </c>
      <c r="C10" s="69">
        <f>'130%Baseline'!F117/'130%Baseline'!F$119</f>
        <v>0.1706960859399477</v>
      </c>
      <c r="D10" s="40">
        <f>'130%Baseline'!H117</f>
        <v>0.16048703474101406</v>
      </c>
      <c r="E10" s="43">
        <f>'200%Baseline'!B102/'200%Baseline'!B$104</f>
        <v>8.6996534939470307E-2</v>
      </c>
      <c r="F10" s="74">
        <f>'200%Baseline'!F102/'200%Baseline'!F$104</f>
        <v>0.14216725931237381</v>
      </c>
      <c r="G10" s="40">
        <f>'200%Baseline'!H102</f>
        <v>0</v>
      </c>
    </row>
    <row r="11" spans="1:7" x14ac:dyDescent="0.2">
      <c r="A11" s="33" t="s">
        <v>61</v>
      </c>
      <c r="B11" s="44">
        <f>'130%Baseline'!B118/'130%Baseline'!B$119</f>
        <v>0.29662860616099324</v>
      </c>
      <c r="C11" s="72">
        <f>'130%Baseline'!F118/'130%Baseline'!F$119</f>
        <v>0.49510701307940502</v>
      </c>
      <c r="D11" s="40">
        <f>'130%Baseline'!H118</f>
        <v>0.27449955812589333</v>
      </c>
      <c r="E11" s="45">
        <f>'200%Baseline'!B103/'200%Baseline'!B$104</f>
        <v>0.11129867322676602</v>
      </c>
      <c r="F11" s="75">
        <f>'200%Baseline'!F103/'200%Baseline'!F$104</f>
        <v>0.24616851193266825</v>
      </c>
      <c r="G11" s="40">
        <f>'200%Baseline'!H103</f>
        <v>0</v>
      </c>
    </row>
    <row r="12" spans="1:7" x14ac:dyDescent="0.2">
      <c r="A12" s="34" t="s">
        <v>16</v>
      </c>
      <c r="B12" s="41">
        <f>SUM(B7:B11)</f>
        <v>1</v>
      </c>
      <c r="C12" s="73">
        <f>SUM(C7:C11)</f>
        <v>1</v>
      </c>
      <c r="D12" s="42"/>
      <c r="E12" s="41">
        <f>SUM(E7:E11)</f>
        <v>1</v>
      </c>
      <c r="F12" s="73">
        <f>SUM(F7:F11)</f>
        <v>1</v>
      </c>
      <c r="G12" s="42"/>
    </row>
    <row r="14" spans="1:7" x14ac:dyDescent="0.2">
      <c r="A14" s="3" t="s">
        <v>87</v>
      </c>
    </row>
    <row r="17" spans="1:7" ht="14.25" x14ac:dyDescent="0.2">
      <c r="A17" s="287" t="s">
        <v>65</v>
      </c>
      <c r="B17" s="287"/>
      <c r="C17" s="287"/>
      <c r="D17" s="287"/>
      <c r="E17" s="287"/>
      <c r="F17" s="287"/>
      <c r="G17" s="287"/>
    </row>
    <row r="18" spans="1:7" ht="14.25" x14ac:dyDescent="0.2">
      <c r="A18" s="287" t="s">
        <v>67</v>
      </c>
      <c r="B18" s="287"/>
      <c r="C18" s="287"/>
      <c r="D18" s="287"/>
      <c r="E18" s="287"/>
      <c r="F18" s="287"/>
      <c r="G18" s="287"/>
    </row>
    <row r="20" spans="1:7" x14ac:dyDescent="0.2">
      <c r="A20" s="31"/>
      <c r="B20" s="288" t="s">
        <v>63</v>
      </c>
      <c r="C20" s="289"/>
      <c r="D20" s="290"/>
      <c r="E20" s="288" t="s">
        <v>64</v>
      </c>
      <c r="F20" s="289"/>
      <c r="G20" s="290"/>
    </row>
    <row r="21" spans="1:7" x14ac:dyDescent="0.2">
      <c r="A21" s="32"/>
      <c r="B21" s="35" t="s">
        <v>22</v>
      </c>
      <c r="C21" s="63" t="s">
        <v>22</v>
      </c>
      <c r="D21" s="36" t="s">
        <v>62</v>
      </c>
      <c r="E21" s="35" t="s">
        <v>22</v>
      </c>
      <c r="F21" s="63" t="s">
        <v>22</v>
      </c>
      <c r="G21" s="36" t="s">
        <v>62</v>
      </c>
    </row>
    <row r="22" spans="1:7" x14ac:dyDescent="0.2">
      <c r="A22" s="33" t="s">
        <v>57</v>
      </c>
      <c r="B22" s="37" t="s">
        <v>23</v>
      </c>
      <c r="C22" s="64" t="s">
        <v>86</v>
      </c>
      <c r="D22" s="38" t="s">
        <v>51</v>
      </c>
      <c r="E22" s="37" t="s">
        <v>23</v>
      </c>
      <c r="F22" s="64" t="s">
        <v>86</v>
      </c>
      <c r="G22" s="38" t="s">
        <v>51</v>
      </c>
    </row>
    <row r="23" spans="1:7" x14ac:dyDescent="0.2">
      <c r="A23" s="32" t="s">
        <v>76</v>
      </c>
      <c r="B23" s="39" t="e">
        <f>'130%Baseline'!#REF!/'130%Baseline'!#REF!</f>
        <v>#REF!</v>
      </c>
      <c r="C23" s="69">
        <f t="shared" ref="C23:C28" si="0">C7</f>
        <v>0.12381650805670508</v>
      </c>
      <c r="D23" s="40" t="e">
        <f>'130%Baseline'!#REF!</f>
        <v>#REF!</v>
      </c>
      <c r="E23" s="43" t="e">
        <f>'200%Baseline'!#REF!/'200%Baseline'!#REF!</f>
        <v>#REF!</v>
      </c>
      <c r="F23" s="69">
        <f t="shared" ref="F23:F28" si="1">F7</f>
        <v>0.31525874580913416</v>
      </c>
      <c r="G23" s="40" t="e">
        <f>'200%Baseline'!#REF!</f>
        <v>#REF!</v>
      </c>
    </row>
    <row r="24" spans="1:7" x14ac:dyDescent="0.2">
      <c r="A24" s="32" t="s">
        <v>58</v>
      </c>
      <c r="B24" s="39" t="e">
        <f>'130%Baseline'!#REF!/'130%Baseline'!#REF!</f>
        <v>#REF!</v>
      </c>
      <c r="C24" s="69">
        <f t="shared" si="0"/>
        <v>8.4553232084944516E-2</v>
      </c>
      <c r="D24" s="40" t="e">
        <f>'130%Baseline'!#REF!</f>
        <v>#REF!</v>
      </c>
      <c r="E24" s="43" t="e">
        <f>'200%Baseline'!#REF!/'200%Baseline'!#REF!</f>
        <v>#REF!</v>
      </c>
      <c r="F24" s="69">
        <f t="shared" si="1"/>
        <v>0.14510446572637128</v>
      </c>
      <c r="G24" s="40" t="e">
        <f>'200%Baseline'!#REF!</f>
        <v>#REF!</v>
      </c>
    </row>
    <row r="25" spans="1:7" x14ac:dyDescent="0.2">
      <c r="A25" s="32" t="s">
        <v>59</v>
      </c>
      <c r="B25" s="39" t="e">
        <f>'130%Baseline'!#REF!/'130%Baseline'!#REF!</f>
        <v>#REF!</v>
      </c>
      <c r="C25" s="69">
        <f t="shared" si="0"/>
        <v>0.12582716083899767</v>
      </c>
      <c r="D25" s="40" t="e">
        <f>'130%Baseline'!#REF!</f>
        <v>#REF!</v>
      </c>
      <c r="E25" s="43" t="e">
        <f>'200%Baseline'!#REF!/'200%Baseline'!#REF!</f>
        <v>#REF!</v>
      </c>
      <c r="F25" s="69">
        <f t="shared" si="1"/>
        <v>0.15130101721945249</v>
      </c>
      <c r="G25" s="40" t="e">
        <f>'200%Baseline'!#REF!</f>
        <v>#REF!</v>
      </c>
    </row>
    <row r="26" spans="1:7" x14ac:dyDescent="0.2">
      <c r="A26" s="32" t="s">
        <v>60</v>
      </c>
      <c r="B26" s="39" t="e">
        <f>'130%Baseline'!#REF!/'130%Baseline'!#REF!</f>
        <v>#REF!</v>
      </c>
      <c r="C26" s="69">
        <f t="shared" si="0"/>
        <v>0.1706960859399477</v>
      </c>
      <c r="D26" s="40" t="e">
        <f>'130%Baseline'!#REF!</f>
        <v>#REF!</v>
      </c>
      <c r="E26" s="43" t="e">
        <f>'200%Baseline'!#REF!/'200%Baseline'!#REF!</f>
        <v>#REF!</v>
      </c>
      <c r="F26" s="69">
        <f t="shared" si="1"/>
        <v>0.14216725931237381</v>
      </c>
      <c r="G26" s="40" t="e">
        <f>'200%Baseline'!#REF!</f>
        <v>#REF!</v>
      </c>
    </row>
    <row r="27" spans="1:7" x14ac:dyDescent="0.2">
      <c r="A27" s="33" t="s">
        <v>61</v>
      </c>
      <c r="B27" s="44" t="e">
        <f>'130%Baseline'!#REF!/'130%Baseline'!#REF!</f>
        <v>#REF!</v>
      </c>
      <c r="C27" s="72">
        <f t="shared" si="0"/>
        <v>0.49510701307940502</v>
      </c>
      <c r="D27" s="40" t="e">
        <f>'130%Baseline'!#REF!</f>
        <v>#REF!</v>
      </c>
      <c r="E27" s="45" t="e">
        <f>'200%Baseline'!#REF!/'200%Baseline'!#REF!</f>
        <v>#REF!</v>
      </c>
      <c r="F27" s="72">
        <f t="shared" si="1"/>
        <v>0.24616851193266825</v>
      </c>
      <c r="G27" s="40" t="e">
        <f>'200%Baseline'!#REF!</f>
        <v>#REF!</v>
      </c>
    </row>
    <row r="28" spans="1:7" x14ac:dyDescent="0.2">
      <c r="A28" s="34" t="s">
        <v>16</v>
      </c>
      <c r="B28" s="41" t="e">
        <f>SUM(B23:B27)</f>
        <v>#REF!</v>
      </c>
      <c r="C28" s="70">
        <f t="shared" si="0"/>
        <v>1</v>
      </c>
      <c r="D28" s="42"/>
      <c r="E28" s="41" t="e">
        <f>SUM(E23:E27)</f>
        <v>#REF!</v>
      </c>
      <c r="F28" s="70">
        <f t="shared" si="1"/>
        <v>1</v>
      </c>
      <c r="G28" s="42"/>
    </row>
    <row r="30" spans="1:7" x14ac:dyDescent="0.2">
      <c r="A30" s="3" t="s">
        <v>87</v>
      </c>
    </row>
    <row r="31" spans="1:7" x14ac:dyDescent="0.2">
      <c r="A31" s="3"/>
    </row>
    <row r="32" spans="1:7" x14ac:dyDescent="0.2">
      <c r="A32" s="3"/>
    </row>
    <row r="33" spans="1:7" x14ac:dyDescent="0.2">
      <c r="A33" s="15" t="s">
        <v>68</v>
      </c>
    </row>
    <row r="38" spans="1:7" ht="15" x14ac:dyDescent="0.25">
      <c r="A38" s="291" t="s">
        <v>75</v>
      </c>
      <c r="B38" s="291"/>
      <c r="C38" s="291"/>
      <c r="D38" s="291"/>
      <c r="E38" s="291"/>
      <c r="F38" s="291"/>
      <c r="G38" s="291"/>
    </row>
    <row r="39" spans="1:7" ht="14.25" x14ac:dyDescent="0.2">
      <c r="A39" s="24"/>
      <c r="B39" s="24"/>
      <c r="C39" s="24"/>
      <c r="D39" s="24"/>
      <c r="E39" s="24"/>
      <c r="F39" s="24"/>
      <c r="G39" s="24"/>
    </row>
    <row r="40" spans="1:7" x14ac:dyDescent="0.2">
      <c r="A40"/>
      <c r="G40"/>
    </row>
    <row r="41" spans="1:7" x14ac:dyDescent="0.2">
      <c r="A41" s="31"/>
      <c r="B41" s="288" t="s">
        <v>63</v>
      </c>
      <c r="C41" s="289"/>
      <c r="D41" s="289"/>
      <c r="E41" s="288" t="s">
        <v>64</v>
      </c>
      <c r="F41" s="289"/>
      <c r="G41" s="290"/>
    </row>
    <row r="42" spans="1:7" x14ac:dyDescent="0.2">
      <c r="A42" s="33" t="s">
        <v>57</v>
      </c>
      <c r="B42" s="47" t="s">
        <v>73</v>
      </c>
      <c r="C42" s="48"/>
      <c r="D42" s="48" t="s">
        <v>74</v>
      </c>
      <c r="E42" s="47" t="s">
        <v>73</v>
      </c>
      <c r="F42" s="48"/>
      <c r="G42" s="49" t="s">
        <v>74</v>
      </c>
    </row>
    <row r="43" spans="1:7" x14ac:dyDescent="0.2">
      <c r="A43" s="32" t="s">
        <v>49</v>
      </c>
      <c r="B43" s="50">
        <v>0</v>
      </c>
      <c r="C43" s="51"/>
      <c r="D43" s="51">
        <v>0</v>
      </c>
      <c r="E43" s="50">
        <v>0</v>
      </c>
      <c r="F43" s="51"/>
      <c r="G43" s="40">
        <v>0</v>
      </c>
    </row>
    <row r="44" spans="1:7" x14ac:dyDescent="0.2">
      <c r="A44" s="32" t="s">
        <v>58</v>
      </c>
      <c r="B44" s="50" t="e">
        <f>'130%Baseline'!#REF!</f>
        <v>#REF!</v>
      </c>
      <c r="C44" s="51"/>
      <c r="D44" s="51">
        <f>'130%Baseline'!$I115</f>
        <v>-1.6414084341571506E-2</v>
      </c>
      <c r="E44" s="50" t="e">
        <f>'200%Baseline'!#REF!</f>
        <v>#REF!</v>
      </c>
      <c r="F44" s="51"/>
      <c r="G44" s="40">
        <f>'200%Baseline'!$I100</f>
        <v>0</v>
      </c>
    </row>
    <row r="45" spans="1:7" x14ac:dyDescent="0.2">
      <c r="A45" s="32" t="s">
        <v>59</v>
      </c>
      <c r="B45" s="50" t="e">
        <f>'130%Baseline'!#REF!</f>
        <v>#REF!</v>
      </c>
      <c r="C45" s="51"/>
      <c r="D45" s="51" t="e">
        <f>'130%Baseline'!$I116</f>
        <v>#REF!</v>
      </c>
      <c r="E45" s="50" t="e">
        <f>'200%Baseline'!#REF!</f>
        <v>#REF!</v>
      </c>
      <c r="F45" s="51"/>
      <c r="G45" s="40">
        <f>'200%Baseline'!$I101</f>
        <v>0</v>
      </c>
    </row>
    <row r="46" spans="1:7" x14ac:dyDescent="0.2">
      <c r="A46" s="32" t="s">
        <v>60</v>
      </c>
      <c r="B46" s="50" t="e">
        <f>'130%Baseline'!#REF!</f>
        <v>#REF!</v>
      </c>
      <c r="C46" s="51"/>
      <c r="D46" s="51" t="e">
        <f>'130%Baseline'!$I117</f>
        <v>#REF!</v>
      </c>
      <c r="E46" s="50" t="e">
        <f>'200%Baseline'!#REF!</f>
        <v>#REF!</v>
      </c>
      <c r="F46" s="51"/>
      <c r="G46" s="40">
        <f>'200%Baseline'!$I102</f>
        <v>0</v>
      </c>
    </row>
    <row r="47" spans="1:7" x14ac:dyDescent="0.2">
      <c r="A47" s="33" t="s">
        <v>61</v>
      </c>
      <c r="B47" s="52" t="e">
        <f>'130%Baseline'!#REF!</f>
        <v>#REF!</v>
      </c>
      <c r="C47" s="53"/>
      <c r="D47" s="53">
        <f>'130%Baseline'!$I118</f>
        <v>-0.11800242875197528</v>
      </c>
      <c r="E47" s="52" t="e">
        <f>'200%Baseline'!#REF!</f>
        <v>#REF!</v>
      </c>
      <c r="F47" s="53"/>
      <c r="G47" s="54">
        <f>'200%Baseline'!$I103</f>
        <v>0</v>
      </c>
    </row>
    <row r="48" spans="1:7" x14ac:dyDescent="0.2">
      <c r="A48" s="34" t="s">
        <v>16</v>
      </c>
      <c r="B48" s="55" t="e">
        <f>'130%Baseline'!#REF!</f>
        <v>#REF!</v>
      </c>
      <c r="C48" s="56"/>
      <c r="D48" s="56" t="e">
        <f>'130%Baseline'!$I119</f>
        <v>#REF!</v>
      </c>
      <c r="E48" s="55" t="e">
        <f>'200%Baseline'!#REF!</f>
        <v>#REF!</v>
      </c>
      <c r="F48" s="56"/>
      <c r="G48" s="57">
        <f>'200%Baseline'!$I104</f>
        <v>0</v>
      </c>
    </row>
  </sheetData>
  <mergeCells count="11">
    <mergeCell ref="B20:D20"/>
    <mergeCell ref="E20:G20"/>
    <mergeCell ref="A1:G1"/>
    <mergeCell ref="B41:D41"/>
    <mergeCell ref="E41:G41"/>
    <mergeCell ref="A38:G38"/>
    <mergeCell ref="A2:G2"/>
    <mergeCell ref="B4:D4"/>
    <mergeCell ref="E4:G4"/>
    <mergeCell ref="A17:G17"/>
    <mergeCell ref="A18:G18"/>
  </mergeCells>
  <phoneticPr fontId="0" type="noConversion"/>
  <printOptions horizontalCentered="1"/>
  <pageMargins left="0.75" right="0.75" top="1" bottom="1" header="0.5" footer="0.5"/>
  <pageSetup scale="90" orientation="landscape" r:id="rId1"/>
  <headerFooter alignWithMargins="0">
    <oddFooter>&amp;L&amp;D  &amp;T&amp;R&amp;F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2" sqref="A22:IV42"/>
    </sheetView>
  </sheetViews>
  <sheetFormatPr defaultRowHeight="12.75" x14ac:dyDescent="0.2"/>
  <cols>
    <col min="1" max="1" width="16.28515625" style="15" customWidth="1"/>
    <col min="2" max="2" width="12.5703125" style="15" customWidth="1"/>
    <col min="3" max="5" width="16.28515625" style="15" customWidth="1"/>
    <col min="6" max="6" width="15" style="15" customWidth="1"/>
    <col min="7" max="7" width="13.7109375" style="15" customWidth="1"/>
    <col min="8" max="9" width="14.140625" customWidth="1"/>
  </cols>
  <sheetData>
    <row r="1" spans="1:6" ht="14.25" x14ac:dyDescent="0.2">
      <c r="A1" s="287" t="s">
        <v>54</v>
      </c>
      <c r="B1" s="287"/>
      <c r="C1" s="287"/>
      <c r="D1" s="287"/>
      <c r="E1" s="287"/>
      <c r="F1" s="287"/>
    </row>
    <row r="2" spans="1:6" x14ac:dyDescent="0.2">
      <c r="A2" s="292" t="s">
        <v>31</v>
      </c>
      <c r="B2" s="292"/>
      <c r="C2" s="292"/>
      <c r="D2" s="292"/>
      <c r="E2" s="292"/>
      <c r="F2" s="292"/>
    </row>
    <row r="4" spans="1:6" x14ac:dyDescent="0.2">
      <c r="B4" s="20" t="s">
        <v>23</v>
      </c>
      <c r="C4" s="1" t="s">
        <v>1</v>
      </c>
      <c r="D4" s="1" t="s">
        <v>52</v>
      </c>
      <c r="E4" s="1" t="s">
        <v>3</v>
      </c>
      <c r="F4" s="1" t="s">
        <v>16</v>
      </c>
    </row>
    <row r="5" spans="1:6" x14ac:dyDescent="0.2">
      <c r="C5" s="1"/>
      <c r="D5" s="1"/>
      <c r="E5" s="1"/>
      <c r="F5" s="1"/>
    </row>
    <row r="6" spans="1:6" x14ac:dyDescent="0.2">
      <c r="A6" s="19" t="s">
        <v>33</v>
      </c>
      <c r="B6" s="16" t="e">
        <f>#REF!</f>
        <v>#REF!</v>
      </c>
      <c r="C6" s="16" t="e">
        <f>#REF!</f>
        <v>#REF!</v>
      </c>
      <c r="D6" s="16" t="e">
        <f>F6-C6</f>
        <v>#REF!</v>
      </c>
      <c r="E6" s="16">
        <v>0</v>
      </c>
      <c r="F6" s="16" t="e">
        <f>#REF!</f>
        <v>#REF!</v>
      </c>
    </row>
    <row r="7" spans="1:6" x14ac:dyDescent="0.2">
      <c r="A7" s="15" t="s">
        <v>34</v>
      </c>
      <c r="C7" s="17" t="e">
        <f>C6/$F6</f>
        <v>#REF!</v>
      </c>
      <c r="D7" s="17" t="e">
        <f>D6/$F6</f>
        <v>#REF!</v>
      </c>
      <c r="E7" s="17" t="e">
        <f>E6/$F6</f>
        <v>#REF!</v>
      </c>
      <c r="F7" s="16"/>
    </row>
    <row r="8" spans="1:6" x14ac:dyDescent="0.2">
      <c r="C8" s="1"/>
      <c r="D8" s="1"/>
      <c r="E8" s="1"/>
      <c r="F8" s="1"/>
    </row>
    <row r="9" spans="1:6" x14ac:dyDescent="0.2">
      <c r="A9" s="19" t="s">
        <v>29</v>
      </c>
      <c r="B9" s="18" t="e">
        <f>B6</f>
        <v>#REF!</v>
      </c>
      <c r="C9" s="16" t="e">
        <f>C6</f>
        <v>#REF!</v>
      </c>
      <c r="D9" s="16" t="e">
        <f>#REF!+'130%Baseline'!D69</f>
        <v>#REF!</v>
      </c>
      <c r="E9" s="16">
        <f>'130%Baseline'!E69</f>
        <v>8855015465</v>
      </c>
      <c r="F9" s="16" t="e">
        <f>SUM(C9:E9)</f>
        <v>#REF!</v>
      </c>
    </row>
    <row r="10" spans="1:6" x14ac:dyDescent="0.2">
      <c r="A10" s="15" t="s">
        <v>34</v>
      </c>
      <c r="C10" s="17" t="e">
        <f>C9/$F9</f>
        <v>#REF!</v>
      </c>
      <c r="D10" s="17" t="e">
        <f>D9/$F9</f>
        <v>#REF!</v>
      </c>
      <c r="E10" s="65" t="e">
        <f>E9/$F9</f>
        <v>#REF!</v>
      </c>
      <c r="F10" s="16"/>
    </row>
    <row r="11" spans="1:6" x14ac:dyDescent="0.2">
      <c r="C11" s="16"/>
      <c r="D11" s="16"/>
      <c r="E11" s="16"/>
      <c r="F11" s="16"/>
    </row>
    <row r="12" spans="1:6" x14ac:dyDescent="0.2">
      <c r="C12" s="16"/>
      <c r="D12" s="16"/>
      <c r="E12" s="16"/>
      <c r="F12" s="16"/>
    </row>
    <row r="13" spans="1:6" x14ac:dyDescent="0.2">
      <c r="A13" s="19" t="s">
        <v>30</v>
      </c>
      <c r="B13" s="18" t="e">
        <f>B6</f>
        <v>#REF!</v>
      </c>
      <c r="C13" s="16" t="e">
        <f>C6</f>
        <v>#REF!</v>
      </c>
      <c r="D13" s="16" t="e">
        <f>#REF!+'200%Baseline'!D69</f>
        <v>#REF!</v>
      </c>
      <c r="E13" s="16">
        <f>'200%Baseline'!E69</f>
        <v>4630385545</v>
      </c>
      <c r="F13" s="16" t="e">
        <f>SUM(C13:E13)</f>
        <v>#REF!</v>
      </c>
    </row>
    <row r="14" spans="1:6" x14ac:dyDescent="0.2">
      <c r="A14" s="15" t="s">
        <v>34</v>
      </c>
      <c r="C14" s="17" t="e">
        <f>C13/$F13</f>
        <v>#REF!</v>
      </c>
      <c r="D14" s="17" t="e">
        <f>D13/$F13</f>
        <v>#REF!</v>
      </c>
      <c r="E14" s="17" t="e">
        <f>E13/$F13</f>
        <v>#REF!</v>
      </c>
      <c r="F14" s="16"/>
    </row>
    <row r="16" spans="1:6" x14ac:dyDescent="0.2">
      <c r="A16" s="15" t="s">
        <v>84</v>
      </c>
      <c r="C16" s="18" t="e">
        <f>C13</f>
        <v>#REF!</v>
      </c>
      <c r="D16" s="16" t="e">
        <f>F16-C16-E16</f>
        <v>#REF!</v>
      </c>
      <c r="E16" s="16">
        <v>1389154901</v>
      </c>
      <c r="F16" s="16" t="e">
        <f>F13</f>
        <v>#REF!</v>
      </c>
    </row>
    <row r="17" spans="1:5" x14ac:dyDescent="0.2">
      <c r="C17" s="17" t="e">
        <f>C16/$F16</f>
        <v>#REF!</v>
      </c>
      <c r="D17" s="17" t="e">
        <f>D16/$F16</f>
        <v>#REF!</v>
      </c>
      <c r="E17" s="17" t="e">
        <f>E16/$F16</f>
        <v>#REF!</v>
      </c>
    </row>
    <row r="18" spans="1:5" x14ac:dyDescent="0.2">
      <c r="B18" s="3"/>
    </row>
    <row r="19" spans="1:5" x14ac:dyDescent="0.2">
      <c r="A19" s="3" t="s">
        <v>53</v>
      </c>
    </row>
  </sheetData>
  <mergeCells count="2">
    <mergeCell ref="A2:F2"/>
    <mergeCell ref="A1:F1"/>
  </mergeCells>
  <phoneticPr fontId="0" type="noConversion"/>
  <printOptions horizontalCentered="1"/>
  <pageMargins left="0.75" right="0.75" top="1" bottom="1" header="0.5" footer="0.5"/>
  <pageSetup scale="110" orientation="landscape" r:id="rId1"/>
  <headerFooter alignWithMargins="0"/>
  <rowBreaks count="1" manualBreakCount="1">
    <brk id="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9" sqref="B9"/>
    </sheetView>
  </sheetViews>
  <sheetFormatPr defaultRowHeight="12" x14ac:dyDescent="0.2"/>
  <cols>
    <col min="1" max="1" width="17" style="15" customWidth="1"/>
    <col min="2" max="2" width="11.28515625" style="15" bestFit="1" customWidth="1"/>
    <col min="3" max="3" width="13.42578125" style="15" bestFit="1" customWidth="1"/>
    <col min="4" max="4" width="9.5703125" style="15" bestFit="1" customWidth="1"/>
    <col min="5" max="5" width="11.85546875" style="15" bestFit="1" customWidth="1"/>
    <col min="6" max="6" width="8" style="15" bestFit="1" customWidth="1"/>
    <col min="7" max="8" width="9.140625" style="15"/>
    <col min="9" max="9" width="6.7109375" style="15" customWidth="1"/>
    <col min="10" max="10" width="5.85546875" style="58" customWidth="1"/>
    <col min="11" max="16384" width="9.140625" style="15"/>
  </cols>
  <sheetData>
    <row r="2" spans="1:10" ht="12.75" x14ac:dyDescent="0.2">
      <c r="A2" s="280" t="s">
        <v>198</v>
      </c>
      <c r="B2" s="280"/>
      <c r="C2" s="280"/>
      <c r="D2" s="280"/>
      <c r="E2" s="280"/>
      <c r="F2" s="280"/>
      <c r="G2" s="280"/>
    </row>
    <row r="3" spans="1:10" x14ac:dyDescent="0.2">
      <c r="A3" s="58"/>
      <c r="B3" s="58"/>
      <c r="C3" s="58"/>
      <c r="D3" s="58"/>
    </row>
    <row r="4" spans="1:10" x14ac:dyDescent="0.2">
      <c r="A4" s="249"/>
      <c r="B4" s="250" t="s">
        <v>83</v>
      </c>
      <c r="C4" s="250" t="s">
        <v>199</v>
      </c>
      <c r="D4" s="250" t="s">
        <v>169</v>
      </c>
      <c r="E4" s="250" t="s">
        <v>147</v>
      </c>
      <c r="F4" s="251" t="s">
        <v>50</v>
      </c>
    </row>
    <row r="5" spans="1:10" x14ac:dyDescent="0.2">
      <c r="A5" s="59"/>
      <c r="B5" s="64" t="s">
        <v>189</v>
      </c>
      <c r="C5" s="64" t="s">
        <v>188</v>
      </c>
      <c r="D5" s="64" t="s">
        <v>35</v>
      </c>
      <c r="E5" s="64" t="s">
        <v>197</v>
      </c>
      <c r="F5" s="252" t="s">
        <v>144</v>
      </c>
    </row>
    <row r="6" spans="1:10" x14ac:dyDescent="0.2">
      <c r="A6" s="59" t="s">
        <v>1</v>
      </c>
      <c r="B6" s="253">
        <v>0.11589000000000001</v>
      </c>
      <c r="C6" s="253">
        <f>B6*0.9+0.01</f>
        <v>0.114301</v>
      </c>
      <c r="D6" s="254">
        <v>0</v>
      </c>
      <c r="E6" s="255">
        <f>C6+D6</f>
        <v>0.114301</v>
      </c>
      <c r="F6" s="256"/>
    </row>
    <row r="7" spans="1:10" x14ac:dyDescent="0.2">
      <c r="A7" s="59" t="s">
        <v>2</v>
      </c>
      <c r="B7" s="253">
        <v>0.13321</v>
      </c>
      <c r="C7" s="253">
        <f>B7*0.9+0.01</f>
        <v>0.129889</v>
      </c>
      <c r="D7" s="254">
        <v>0</v>
      </c>
      <c r="E7" s="255">
        <f>C7+D7</f>
        <v>0.129889</v>
      </c>
      <c r="F7" s="256"/>
    </row>
    <row r="8" spans="1:10" x14ac:dyDescent="0.2">
      <c r="A8" s="59" t="s">
        <v>3</v>
      </c>
      <c r="B8" s="257">
        <f>B7</f>
        <v>0.13321</v>
      </c>
      <c r="C8" s="257">
        <f>C7</f>
        <v>0.129889</v>
      </c>
      <c r="D8" s="276">
        <f>BillDet!D28</f>
        <v>6.5000000000000002E-2</v>
      </c>
      <c r="E8" s="255">
        <f>C8+D8</f>
        <v>0.19488900000000001</v>
      </c>
      <c r="F8" s="258">
        <f>(E8-$E7)/$E7</f>
        <v>0.50042728791506597</v>
      </c>
    </row>
    <row r="9" spans="1:10" x14ac:dyDescent="0.2">
      <c r="A9" s="259" t="s">
        <v>138</v>
      </c>
      <c r="B9" s="260">
        <f>B8</f>
        <v>0.13321</v>
      </c>
      <c r="C9" s="260">
        <f>C8</f>
        <v>0.129889</v>
      </c>
      <c r="D9" s="277">
        <f>BillDet!E28</f>
        <v>0.15899771956591605</v>
      </c>
      <c r="E9" s="261">
        <f>C9+D9</f>
        <v>0.28888671956591605</v>
      </c>
      <c r="F9" s="262">
        <f>(E9-$E7)/$E7</f>
        <v>1.2241045782623321</v>
      </c>
    </row>
    <row r="10" spans="1:10" x14ac:dyDescent="0.2">
      <c r="B10" s="67"/>
      <c r="C10" s="25"/>
    </row>
    <row r="11" spans="1:10" x14ac:dyDescent="0.2">
      <c r="A11" s="15" t="s">
        <v>168</v>
      </c>
      <c r="B11" s="67"/>
      <c r="C11" s="25"/>
      <c r="J11" s="248">
        <f>'GT200%Rev'!L13</f>
        <v>0.21305823806197505</v>
      </c>
    </row>
    <row r="12" spans="1:10" x14ac:dyDescent="0.2">
      <c r="A12" s="15" t="s">
        <v>167</v>
      </c>
      <c r="B12" s="67"/>
      <c r="C12" s="25"/>
      <c r="J12" s="248">
        <f>'GT200%Rev'!L19</f>
        <v>0.58261733341723576</v>
      </c>
    </row>
    <row r="13" spans="1:10" x14ac:dyDescent="0.2">
      <c r="B13" s="67"/>
      <c r="C13" s="25"/>
    </row>
    <row r="14" spans="1:10" x14ac:dyDescent="0.2">
      <c r="A14" s="3" t="s">
        <v>200</v>
      </c>
      <c r="B14" s="67"/>
      <c r="C14" s="25"/>
    </row>
    <row r="15" spans="1:10" x14ac:dyDescent="0.2">
      <c r="B15" s="1"/>
      <c r="C15" s="1"/>
      <c r="D15" s="1"/>
      <c r="E15" s="1"/>
    </row>
    <row r="16" spans="1:10" x14ac:dyDescent="0.2">
      <c r="B16" s="1"/>
      <c r="C16" s="1"/>
      <c r="D16" s="1"/>
      <c r="E16" s="1"/>
    </row>
    <row r="17" spans="1:6" x14ac:dyDescent="0.2">
      <c r="A17" s="249"/>
      <c r="B17" s="263" t="s">
        <v>116</v>
      </c>
      <c r="C17" s="264" t="str">
        <f>B17</f>
        <v>EL-1</v>
      </c>
      <c r="F17" s="66"/>
    </row>
    <row r="18" spans="1:6" x14ac:dyDescent="0.2">
      <c r="A18" s="59"/>
      <c r="B18" s="72" t="s">
        <v>44</v>
      </c>
      <c r="C18" s="265" t="s">
        <v>45</v>
      </c>
    </row>
    <row r="19" spans="1:6" x14ac:dyDescent="0.2">
      <c r="A19" s="35" t="s">
        <v>1</v>
      </c>
      <c r="B19" s="253">
        <v>9.8119999999999999E-2</v>
      </c>
      <c r="C19" s="266">
        <f>B19*0.9</f>
        <v>8.8307999999999998E-2</v>
      </c>
    </row>
    <row r="20" spans="1:6" x14ac:dyDescent="0.2">
      <c r="A20" s="267" t="s">
        <v>2</v>
      </c>
      <c r="B20" s="268">
        <v>0.11284</v>
      </c>
      <c r="C20" s="269">
        <f>B20*0.9</f>
        <v>0.10155599999999999</v>
      </c>
    </row>
  </sheetData>
  <mergeCells count="1">
    <mergeCell ref="A2:G2"/>
  </mergeCells>
  <phoneticPr fontId="0" type="noConversion"/>
  <printOptions horizontalCentered="1" headings="1"/>
  <pageMargins left="0.75" right="0.75" top="1.5" bottom="1" header="0.5" footer="0.5"/>
  <pageSetup scale="110" orientation="landscape" r:id="rId1"/>
  <headerFooter alignWithMargins="0">
    <oddHeader xml:space="preserve">&amp;CPacific Gas and Electric Company
Rate Design Workpapers
3 Cent Surcharge
</oddHeader>
    <oddFooter>&amp;L&amp;D  &amp;T&amp;R&amp;F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workbookViewId="0">
      <selection activeCell="A3" sqref="A3:I3"/>
    </sheetView>
  </sheetViews>
  <sheetFormatPr defaultRowHeight="12" x14ac:dyDescent="0.2"/>
  <cols>
    <col min="1" max="1" width="17.140625" style="15" customWidth="1"/>
    <col min="2" max="2" width="10" style="16" customWidth="1"/>
    <col min="3" max="3" width="8.85546875" style="16" customWidth="1"/>
    <col min="4" max="4" width="12.5703125" style="16" customWidth="1"/>
    <col min="5" max="5" width="12.140625" style="15" customWidth="1"/>
    <col min="6" max="6" width="13.140625" style="15" customWidth="1"/>
    <col min="7" max="8" width="11.7109375" style="15" customWidth="1"/>
    <col min="9" max="9" width="12.7109375" style="3" customWidth="1"/>
    <col min="10" max="10" width="15.140625" style="15" bestFit="1" customWidth="1"/>
    <col min="11" max="11" width="7.140625" style="15" customWidth="1"/>
    <col min="12" max="12" width="12.85546875" style="15" bestFit="1" customWidth="1"/>
    <col min="13" max="16384" width="9.140625" style="15"/>
  </cols>
  <sheetData>
    <row r="2" spans="1:10" s="3" customFormat="1" ht="12.75" x14ac:dyDescent="0.2">
      <c r="A2" s="280" t="s">
        <v>105</v>
      </c>
      <c r="B2" s="280"/>
      <c r="C2" s="280"/>
      <c r="D2" s="280"/>
      <c r="E2" s="280"/>
      <c r="F2" s="280"/>
      <c r="G2" s="280"/>
      <c r="H2" s="280"/>
      <c r="I2" s="280"/>
    </row>
    <row r="3" spans="1:10" x14ac:dyDescent="0.2">
      <c r="A3" s="281" t="s">
        <v>166</v>
      </c>
      <c r="B3" s="281"/>
      <c r="C3" s="281"/>
      <c r="D3" s="281"/>
      <c r="E3" s="281"/>
      <c r="F3" s="281"/>
      <c r="G3" s="281"/>
      <c r="H3" s="281"/>
      <c r="I3" s="281"/>
    </row>
    <row r="4" spans="1:10" s="3" customFormat="1" ht="12" customHeight="1" x14ac:dyDescent="0.2">
      <c r="A4" s="87"/>
      <c r="B4" s="88"/>
      <c r="C4" s="89" t="s">
        <v>50</v>
      </c>
      <c r="D4" s="118" t="s">
        <v>99</v>
      </c>
      <c r="E4" s="118" t="s">
        <v>100</v>
      </c>
      <c r="F4" s="118" t="s">
        <v>104</v>
      </c>
      <c r="G4" s="118" t="s">
        <v>122</v>
      </c>
      <c r="H4" s="118" t="s">
        <v>123</v>
      </c>
      <c r="I4" s="90"/>
    </row>
    <row r="5" spans="1:10" s="3" customFormat="1" ht="12" customHeight="1" x14ac:dyDescent="0.2">
      <c r="A5" s="84" t="s">
        <v>57</v>
      </c>
      <c r="B5" s="91" t="s">
        <v>23</v>
      </c>
      <c r="C5" s="92" t="s">
        <v>97</v>
      </c>
      <c r="D5" s="105" t="s">
        <v>77</v>
      </c>
      <c r="E5" s="105" t="s">
        <v>78</v>
      </c>
      <c r="F5" s="105" t="s">
        <v>79</v>
      </c>
      <c r="G5" s="105" t="s">
        <v>98</v>
      </c>
      <c r="H5" s="105" t="s">
        <v>130</v>
      </c>
      <c r="I5" s="93" t="s">
        <v>8</v>
      </c>
    </row>
    <row r="6" spans="1:10" s="3" customFormat="1" ht="12" customHeight="1" x14ac:dyDescent="0.2">
      <c r="A6" s="85" t="s">
        <v>92</v>
      </c>
      <c r="B6" s="94">
        <f>TierSum!B6/TierSum!B$10*E$62/12</f>
        <v>694603.89817994437</v>
      </c>
      <c r="C6" s="115">
        <f>B6/B$10</f>
        <v>0.1817389805717495</v>
      </c>
      <c r="D6" s="96">
        <f>TierSum!D6/TierSum!$I$10*$F$62</f>
        <v>1622685673.7342179</v>
      </c>
      <c r="E6" s="96">
        <f>TierSum!E6/TierSum!$I$10*$F$62</f>
        <v>0</v>
      </c>
      <c r="F6" s="96">
        <f>TierSum!F6/TierSum!$I$10*$F$62</f>
        <v>0</v>
      </c>
      <c r="G6" s="96">
        <f>TierSum!G6/TierSum!$I$10*$F$62</f>
        <v>0</v>
      </c>
      <c r="H6" s="96"/>
      <c r="I6" s="97">
        <f>SUM(D6:H6)</f>
        <v>1622685673.7342179</v>
      </c>
    </row>
    <row r="7" spans="1:10" s="3" customFormat="1" ht="12" customHeight="1" x14ac:dyDescent="0.2">
      <c r="A7" s="85" t="s">
        <v>91</v>
      </c>
      <c r="B7" s="94">
        <f>TierSum!B7/TierSum!B$10*E$62/12</f>
        <v>437099.23565687053</v>
      </c>
      <c r="C7" s="115">
        <f>B7/B$10</f>
        <v>0.11436441647551958</v>
      </c>
      <c r="D7" s="96">
        <f>TierSum!D7/TierSum!$I$10*$F$62</f>
        <v>1632917583.139538</v>
      </c>
      <c r="E7" s="96">
        <f>TierSum!E7/TierSum!$I$10*$F$62</f>
        <v>64483499.468651809</v>
      </c>
      <c r="F7" s="96">
        <f>TierSum!F7/TierSum!$I$10*$F$62</f>
        <v>0</v>
      </c>
      <c r="G7" s="96">
        <f>TierSum!G7/TierSum!$I$10*$F$62</f>
        <v>0</v>
      </c>
      <c r="H7" s="96"/>
      <c r="I7" s="97">
        <f>SUM(D7:H7)</f>
        <v>1697401082.6081898</v>
      </c>
    </row>
    <row r="8" spans="1:10" s="3" customFormat="1" ht="12" customHeight="1" x14ac:dyDescent="0.2">
      <c r="A8" s="85" t="s">
        <v>96</v>
      </c>
      <c r="B8" s="94">
        <f>TierSum!B8/TierSum!B$10*E$62/12</f>
        <v>952011.72410163062</v>
      </c>
      <c r="C8" s="115">
        <f>B8/B$10</f>
        <v>0.24908820794691536</v>
      </c>
      <c r="D8" s="96">
        <f>TierSum!D8/TierSum!$I$10*$F$62</f>
        <v>3998575279.4382291</v>
      </c>
      <c r="E8" s="96">
        <f>TierSum!E8/TierSum!$I$10*$F$62</f>
        <v>723651638.35911655</v>
      </c>
      <c r="F8" s="96">
        <f>TierSum!F8/TierSum!$I$10*$F$62</f>
        <v>411214883.64081329</v>
      </c>
      <c r="G8" s="96">
        <f>TierSum!G8/TierSum!$I$10*$F$62</f>
        <v>0</v>
      </c>
      <c r="H8" s="96"/>
      <c r="I8" s="97">
        <f>SUM(D8:H8)</f>
        <v>5133441801.438159</v>
      </c>
      <c r="J8" s="61"/>
    </row>
    <row r="9" spans="1:10" s="3" customFormat="1" ht="12" customHeight="1" x14ac:dyDescent="0.2">
      <c r="A9" s="84" t="s">
        <v>95</v>
      </c>
      <c r="B9" s="98">
        <f>TierSum!B9/TierSum!B$10*E$62/12</f>
        <v>1738271.4654948961</v>
      </c>
      <c r="C9" s="116">
        <f>B9/B$10</f>
        <v>0.4548083950058156</v>
      </c>
      <c r="D9" s="100">
        <f>TierSum!D9/TierSum!$I$10*$F$62</f>
        <v>7682934895.6301336</v>
      </c>
      <c r="E9" s="100">
        <f>TierSum!E9/TierSum!$I$10*$F$62</f>
        <v>2099922687.3715363</v>
      </c>
      <c r="F9" s="100">
        <f>TierSum!F9/TierSum!$I$10*$F$62</f>
        <v>3877529234.6245441</v>
      </c>
      <c r="G9" s="100">
        <f>TierSum!G9/TierSum!$I$10*$F$62</f>
        <v>2651385130.0015883</v>
      </c>
      <c r="H9" s="100">
        <f>TierSum!H9/TierSum!$I$10*$F$62</f>
        <v>2049272191.3267493</v>
      </c>
      <c r="I9" s="150">
        <f>SUM(D9:H9)</f>
        <v>18361044138.954552</v>
      </c>
      <c r="J9" s="61"/>
    </row>
    <row r="10" spans="1:10" s="3" customFormat="1" ht="12" customHeight="1" x14ac:dyDescent="0.2">
      <c r="A10" s="86" t="s">
        <v>106</v>
      </c>
      <c r="B10" s="101">
        <f t="shared" ref="B10:H10" si="0">SUM(B6:B9)</f>
        <v>3821986.3234333415</v>
      </c>
      <c r="C10" s="117">
        <f t="shared" si="0"/>
        <v>1</v>
      </c>
      <c r="D10" s="103">
        <f t="shared" si="0"/>
        <v>14937113431.94212</v>
      </c>
      <c r="E10" s="103">
        <f t="shared" si="0"/>
        <v>2888057825.1993046</v>
      </c>
      <c r="F10" s="103">
        <f t="shared" si="0"/>
        <v>4288744118.2653575</v>
      </c>
      <c r="G10" s="103">
        <f t="shared" si="0"/>
        <v>2651385130.0015883</v>
      </c>
      <c r="H10" s="103">
        <f t="shared" si="0"/>
        <v>2049272191.3267493</v>
      </c>
      <c r="I10" s="104">
        <f>SUM(I6:I9)</f>
        <v>26814572696.735119</v>
      </c>
      <c r="J10" s="61"/>
    </row>
    <row r="11" spans="1:10" s="3" customFormat="1" ht="12.75" x14ac:dyDescent="0.2">
      <c r="A11" s="106" t="s">
        <v>108</v>
      </c>
      <c r="B11" s="107"/>
      <c r="C11" s="108"/>
      <c r="D11" s="183">
        <f>D10/$I10</f>
        <v>0.55705207764734688</v>
      </c>
      <c r="E11" s="183">
        <f>E10/$I10</f>
        <v>0.10770478641828023</v>
      </c>
      <c r="F11" s="183">
        <f>F10/$I10</f>
        <v>0.15994079662464825</v>
      </c>
      <c r="G11" s="183">
        <f>G10/$I10</f>
        <v>9.8878515051795512E-2</v>
      </c>
      <c r="H11" s="183">
        <f>H10/$I10</f>
        <v>7.6423824257929124E-2</v>
      </c>
      <c r="I11" s="109">
        <f>SUM(D11:H11)</f>
        <v>1</v>
      </c>
    </row>
    <row r="12" spans="1:10" s="3" customFormat="1" ht="11.25" x14ac:dyDescent="0.2">
      <c r="F12" s="61"/>
      <c r="G12" s="61"/>
      <c r="H12" s="61"/>
      <c r="I12" s="61"/>
      <c r="J12" s="61"/>
    </row>
    <row r="13" spans="1:10" s="3" customFormat="1" ht="11.25" x14ac:dyDescent="0.2">
      <c r="F13" s="61"/>
      <c r="G13" s="61"/>
      <c r="H13" s="61"/>
      <c r="I13" s="61"/>
      <c r="J13" s="61"/>
    </row>
    <row r="14" spans="1:10" s="3" customFormat="1" ht="11.25" x14ac:dyDescent="0.2">
      <c r="B14" s="4"/>
    </row>
    <row r="15" spans="1:10" s="3" customFormat="1" ht="12.75" x14ac:dyDescent="0.2">
      <c r="A15" s="280" t="s">
        <v>107</v>
      </c>
      <c r="B15" s="280"/>
      <c r="C15" s="280"/>
      <c r="D15" s="280"/>
      <c r="E15" s="280"/>
      <c r="F15" s="280"/>
      <c r="G15" s="280"/>
      <c r="H15" s="280"/>
      <c r="I15" s="280"/>
    </row>
    <row r="16" spans="1:10" x14ac:dyDescent="0.2">
      <c r="A16" s="281" t="s">
        <v>166</v>
      </c>
      <c r="B16" s="281"/>
      <c r="C16" s="281"/>
      <c r="D16" s="281"/>
      <c r="E16" s="281"/>
      <c r="F16" s="281"/>
      <c r="G16" s="281"/>
      <c r="H16" s="281"/>
      <c r="I16" s="281"/>
    </row>
    <row r="17" spans="1:10" s="3" customFormat="1" ht="12" customHeight="1" x14ac:dyDescent="0.2">
      <c r="A17" s="87"/>
      <c r="B17" s="88"/>
      <c r="C17" s="89" t="s">
        <v>50</v>
      </c>
      <c r="D17" s="118" t="s">
        <v>99</v>
      </c>
      <c r="E17" s="118" t="s">
        <v>102</v>
      </c>
      <c r="F17" s="118" t="s">
        <v>110</v>
      </c>
      <c r="G17" s="118" t="s">
        <v>122</v>
      </c>
      <c r="H17" s="118" t="s">
        <v>123</v>
      </c>
      <c r="I17" s="90"/>
      <c r="J17" s="237" t="s">
        <v>83</v>
      </c>
    </row>
    <row r="18" spans="1:10" s="3" customFormat="1" ht="12" customHeight="1" x14ac:dyDescent="0.2">
      <c r="A18" s="84" t="s">
        <v>57</v>
      </c>
      <c r="B18" s="91" t="s">
        <v>23</v>
      </c>
      <c r="C18" s="92" t="s">
        <v>97</v>
      </c>
      <c r="D18" s="105" t="s">
        <v>77</v>
      </c>
      <c r="E18" s="105" t="s">
        <v>78</v>
      </c>
      <c r="F18" s="105" t="s">
        <v>79</v>
      </c>
      <c r="G18" s="105" t="s">
        <v>98</v>
      </c>
      <c r="H18" s="105" t="s">
        <v>130</v>
      </c>
      <c r="I18" s="93" t="s">
        <v>8</v>
      </c>
      <c r="J18" s="84" t="s">
        <v>143</v>
      </c>
    </row>
    <row r="19" spans="1:10" s="3" customFormat="1" ht="12" customHeight="1" x14ac:dyDescent="0.2">
      <c r="A19" s="85" t="s">
        <v>92</v>
      </c>
      <c r="B19" s="94">
        <f>TierSum!B18/TierSum!B$22*E$67/12</f>
        <v>85681.317036048757</v>
      </c>
      <c r="C19" s="115">
        <f>B19/B$23</f>
        <v>0.2741877249990361</v>
      </c>
      <c r="D19" s="96">
        <f>TierSum!D18/TierSum!$I$22*$F$67</f>
        <v>264237239.87136883</v>
      </c>
      <c r="E19" s="96">
        <f>TierSum!E18/TierSum!$I$22*$F$67</f>
        <v>0</v>
      </c>
      <c r="F19" s="96">
        <v>0</v>
      </c>
      <c r="G19" s="96">
        <f>TierSum!G18/TierSum!$I$22*$F$67</f>
        <v>0</v>
      </c>
      <c r="H19" s="96"/>
      <c r="I19" s="97">
        <f>SUM(D19:H19)</f>
        <v>264237239.87136883</v>
      </c>
      <c r="J19" s="238">
        <f>D19*Prices!C$19+(I19-D19)*Prices!C$20</f>
        <v>23334262.178560838</v>
      </c>
    </row>
    <row r="20" spans="1:10" s="3" customFormat="1" ht="12" customHeight="1" x14ac:dyDescent="0.2">
      <c r="A20" s="85" t="s">
        <v>91</v>
      </c>
      <c r="B20" s="94">
        <f>TierSum!B19/TierSum!B$22*E$67/12</f>
        <v>48272.691900557809</v>
      </c>
      <c r="C20" s="115">
        <f>B20/B$23</f>
        <v>0.15447684547407975</v>
      </c>
      <c r="D20" s="96">
        <f>TierSum!D19/TierSum!$I$22*$F$67</f>
        <v>278915929.54629391</v>
      </c>
      <c r="E20" s="96">
        <f>TierSum!E19/TierSum!$I$22*$F$67</f>
        <v>12725819.101821428</v>
      </c>
      <c r="F20" s="96">
        <v>0</v>
      </c>
      <c r="G20" s="96">
        <f>TierSum!G19/TierSum!$I$22*$F$67</f>
        <v>0</v>
      </c>
      <c r="H20" s="96"/>
      <c r="I20" s="97">
        <f>SUM(D20:H20)</f>
        <v>291641748.64811534</v>
      </c>
      <c r="J20" s="238">
        <f>D20*Prices!C$19+(I20-D20)*Prices!C$20</f>
        <v>25922891.1910787</v>
      </c>
    </row>
    <row r="21" spans="1:10" s="3" customFormat="1" ht="12" customHeight="1" x14ac:dyDescent="0.2">
      <c r="A21" s="85" t="s">
        <v>96</v>
      </c>
      <c r="B21" s="94">
        <f>TierSum!B20/TierSum!B$22*E$67/12</f>
        <v>84821.436776865696</v>
      </c>
      <c r="C21" s="115">
        <f>B21/B$23</f>
        <v>0.27143603279596468</v>
      </c>
      <c r="D21" s="96">
        <f>TierSum!D20/TierSum!$I$22*$F$67</f>
        <v>485692336.90437132</v>
      </c>
      <c r="E21" s="96">
        <f>TierSum!E20/TierSum!$I$22*$F$67</f>
        <v>127841557.76199709</v>
      </c>
      <c r="F21" s="96">
        <v>0</v>
      </c>
      <c r="G21" s="96">
        <f>TierSum!G20/TierSum!$I$22*$F$67</f>
        <v>0</v>
      </c>
      <c r="H21" s="96"/>
      <c r="I21" s="97">
        <f>SUM(D21:H21)</f>
        <v>613533894.66636837</v>
      </c>
      <c r="J21" s="238">
        <f>D21*Prices!C$19+(I21-D21)*Prices!C$20</f>
        <v>55873596.127428591</v>
      </c>
    </row>
    <row r="22" spans="1:10" s="27" customFormat="1" ht="12" customHeight="1" x14ac:dyDescent="0.2">
      <c r="A22" s="84" t="s">
        <v>95</v>
      </c>
      <c r="B22" s="98">
        <f>TierSum!B21/TierSum!B$22*E$67/12</f>
        <v>93715.994362300553</v>
      </c>
      <c r="C22" s="116">
        <f>B22/B$23</f>
        <v>0.29989939673091953</v>
      </c>
      <c r="D22" s="100">
        <f>TierSum!D21/TierSum!$I$22*$F$67</f>
        <v>441525651.17781752</v>
      </c>
      <c r="E22" s="100">
        <f>TierSum!E21/TierSum!$I$22*$F$67</f>
        <v>290173093.36283457</v>
      </c>
      <c r="F22" s="100">
        <v>0</v>
      </c>
      <c r="G22" s="100">
        <f>TierSum!G21/TierSum!$I$22*$F$67</f>
        <v>92746093.291221514</v>
      </c>
      <c r="H22" s="100">
        <f>TierSum!H21/TierSum!$I$22*$F$67</f>
        <v>39195898.653403044</v>
      </c>
      <c r="I22" s="150">
        <f>SUM(D22:H22)</f>
        <v>863640736.48527658</v>
      </c>
      <c r="J22" s="239">
        <f>D22*Prices!C$19+(I22-D22)*Prices!C$20</f>
        <v>81858566.807695016</v>
      </c>
    </row>
    <row r="23" spans="1:10" s="3" customFormat="1" ht="12" customHeight="1" x14ac:dyDescent="0.2">
      <c r="A23" s="86" t="s">
        <v>106</v>
      </c>
      <c r="B23" s="101">
        <f t="shared" ref="B23:H23" si="1">SUM(B19:B22)</f>
        <v>312491.44007577281</v>
      </c>
      <c r="C23" s="117">
        <f t="shared" si="1"/>
        <v>1</v>
      </c>
      <c r="D23" s="103">
        <f t="shared" si="1"/>
        <v>1470371157.4998517</v>
      </c>
      <c r="E23" s="103">
        <f t="shared" si="1"/>
        <v>430740470.2266531</v>
      </c>
      <c r="F23" s="103">
        <f t="shared" si="1"/>
        <v>0</v>
      </c>
      <c r="G23" s="103">
        <f t="shared" si="1"/>
        <v>92746093.291221514</v>
      </c>
      <c r="H23" s="103">
        <f t="shared" si="1"/>
        <v>39195898.653403044</v>
      </c>
      <c r="I23" s="104">
        <f>SUM(I19:I22)</f>
        <v>2033053619.6711292</v>
      </c>
      <c r="J23" s="240">
        <f>SUM(J19:J22)</f>
        <v>186989316.30476314</v>
      </c>
    </row>
    <row r="24" spans="1:10" s="3" customFormat="1" ht="12.75" x14ac:dyDescent="0.2">
      <c r="A24" s="106" t="s">
        <v>108</v>
      </c>
      <c r="B24" s="107"/>
      <c r="C24" s="108"/>
      <c r="D24" s="183">
        <f>D23/$I23</f>
        <v>0.72323284702038593</v>
      </c>
      <c r="E24" s="183">
        <f>E23/$I23</f>
        <v>0.21186872105042195</v>
      </c>
      <c r="F24" s="183">
        <f>F23/$I23</f>
        <v>0</v>
      </c>
      <c r="G24" s="183">
        <f>G23/$I23</f>
        <v>4.5619108317578122E-2</v>
      </c>
      <c r="H24" s="183">
        <f>H23/$I23</f>
        <v>1.9279323611614066E-2</v>
      </c>
      <c r="I24" s="109">
        <f>SUM(D24:H24)</f>
        <v>1</v>
      </c>
      <c r="J24" s="81"/>
    </row>
    <row r="25" spans="1:10" s="3" customFormat="1" ht="12.75" x14ac:dyDescent="0.2">
      <c r="A25" s="111"/>
      <c r="B25" s="112"/>
      <c r="C25" s="113"/>
      <c r="D25" s="114"/>
      <c r="E25" s="114"/>
      <c r="F25" s="114"/>
      <c r="G25" s="114"/>
      <c r="H25" s="114"/>
    </row>
    <row r="26" spans="1:10" s="3" customFormat="1" ht="12.75" x14ac:dyDescent="0.2">
      <c r="A26" s="111"/>
      <c r="B26" s="112"/>
      <c r="C26" s="113"/>
      <c r="D26" s="114"/>
      <c r="E26" s="114"/>
      <c r="F26" s="114"/>
      <c r="G26" s="114"/>
      <c r="H26" s="114"/>
    </row>
    <row r="27" spans="1:10" s="3" customFormat="1" ht="12.75" x14ac:dyDescent="0.2">
      <c r="A27" s="111"/>
      <c r="B27" s="112"/>
      <c r="C27" s="113"/>
      <c r="D27" s="180" t="s">
        <v>150</v>
      </c>
      <c r="E27" s="180" t="s">
        <v>151</v>
      </c>
      <c r="F27" s="180" t="s">
        <v>152</v>
      </c>
      <c r="G27" s="180" t="s">
        <v>153</v>
      </c>
      <c r="H27" s="180" t="s">
        <v>154</v>
      </c>
      <c r="I27" s="181" t="s">
        <v>149</v>
      </c>
    </row>
    <row r="28" spans="1:10" s="3" customFormat="1" ht="11.25" x14ac:dyDescent="0.2">
      <c r="A28" s="111" t="s">
        <v>148</v>
      </c>
      <c r="B28" s="124">
        <f>I28-J28</f>
        <v>0</v>
      </c>
      <c r="C28" s="113"/>
      <c r="D28" s="182">
        <v>6.5000000000000002E-2</v>
      </c>
      <c r="E28" s="182">
        <f>(I28-F28)/(G$10+H$10)</f>
        <v>0.15899771956591605</v>
      </c>
      <c r="F28" s="152">
        <f>F$10*D28</f>
        <v>278768367.68724823</v>
      </c>
      <c r="G28" s="152">
        <f>G$10*$E28</f>
        <v>421564189.3612324</v>
      </c>
      <c r="H28" s="152">
        <f>H$10*$E28</f>
        <v>325829605.19080073</v>
      </c>
      <c r="I28" s="136">
        <v>1026162162.2392814</v>
      </c>
      <c r="J28" s="153">
        <f>SUM(F28:H28)</f>
        <v>1026162162.2392814</v>
      </c>
    </row>
    <row r="30" spans="1:10" s="3" customFormat="1" ht="11.25" x14ac:dyDescent="0.2">
      <c r="A30" s="111"/>
      <c r="B30" s="124"/>
      <c r="C30" s="113"/>
      <c r="D30" s="154"/>
      <c r="E30" s="154"/>
      <c r="F30" s="152"/>
      <c r="G30" s="152"/>
      <c r="H30" s="152"/>
      <c r="I30" s="136"/>
      <c r="J30" s="153"/>
    </row>
    <row r="31" spans="1:10" s="3" customFormat="1" ht="12.75" x14ac:dyDescent="0.2">
      <c r="A31" s="280" t="s">
        <v>105</v>
      </c>
      <c r="B31" s="280"/>
      <c r="C31" s="280"/>
      <c r="D31" s="280"/>
      <c r="E31" s="280"/>
      <c r="F31" s="280"/>
      <c r="G31" s="280"/>
      <c r="H31" s="280"/>
      <c r="I31" s="280"/>
    </row>
    <row r="32" spans="1:10" x14ac:dyDescent="0.2">
      <c r="A32" s="281" t="s">
        <v>155</v>
      </c>
      <c r="B32" s="281"/>
      <c r="C32" s="281"/>
      <c r="D32" s="281"/>
      <c r="E32" s="281"/>
      <c r="F32" s="281"/>
      <c r="G32" s="281"/>
      <c r="H32" s="281"/>
      <c r="I32" s="281"/>
    </row>
    <row r="33" spans="1:15" s="3" customFormat="1" ht="12" customHeight="1" x14ac:dyDescent="0.2">
      <c r="A33" s="87"/>
      <c r="B33" s="88"/>
      <c r="C33" s="89" t="s">
        <v>50</v>
      </c>
      <c r="D33" s="118" t="s">
        <v>99</v>
      </c>
      <c r="E33" s="118" t="s">
        <v>100</v>
      </c>
      <c r="F33" s="118" t="s">
        <v>104</v>
      </c>
      <c r="G33" s="118" t="s">
        <v>122</v>
      </c>
      <c r="H33" s="118" t="s">
        <v>123</v>
      </c>
      <c r="I33" s="90" t="s">
        <v>142</v>
      </c>
      <c r="J33" s="88" t="s">
        <v>83</v>
      </c>
      <c r="K33" s="173" t="s">
        <v>50</v>
      </c>
    </row>
    <row r="34" spans="1:15" s="3" customFormat="1" ht="12" customHeight="1" x14ac:dyDescent="0.2">
      <c r="A34" s="84" t="s">
        <v>57</v>
      </c>
      <c r="B34" s="91" t="s">
        <v>23</v>
      </c>
      <c r="C34" s="92" t="s">
        <v>97</v>
      </c>
      <c r="D34" s="105" t="s">
        <v>77</v>
      </c>
      <c r="E34" s="105" t="s">
        <v>78</v>
      </c>
      <c r="F34" s="105" t="s">
        <v>79</v>
      </c>
      <c r="G34" s="105" t="s">
        <v>98</v>
      </c>
      <c r="H34" s="105" t="s">
        <v>130</v>
      </c>
      <c r="I34" s="93" t="s">
        <v>143</v>
      </c>
      <c r="J34" s="91" t="s">
        <v>143</v>
      </c>
      <c r="K34" s="174" t="s">
        <v>144</v>
      </c>
      <c r="M34" s="3">
        <v>0.78</v>
      </c>
      <c r="N34" s="3">
        <v>11.4</v>
      </c>
      <c r="O34" s="3">
        <f>M34*N34</f>
        <v>8.8920000000000012</v>
      </c>
    </row>
    <row r="35" spans="1:15" s="3" customFormat="1" ht="12" customHeight="1" x14ac:dyDescent="0.2">
      <c r="A35" s="85" t="s">
        <v>92</v>
      </c>
      <c r="B35" s="94">
        <f>B6</f>
        <v>694603.89817994437</v>
      </c>
      <c r="C35" s="115">
        <f>B35/B$10</f>
        <v>0.1817389805717495</v>
      </c>
      <c r="D35" s="278">
        <f>D6*Prices!E$6</f>
        <v>185474595.19349483</v>
      </c>
      <c r="E35" s="278">
        <f>E6*Prices!E$7</f>
        <v>0</v>
      </c>
      <c r="F35" s="278">
        <f>F6*Prices!E$8</f>
        <v>0</v>
      </c>
      <c r="G35" s="278">
        <f>G6*Prices!E$9</f>
        <v>0</v>
      </c>
      <c r="H35" s="278">
        <f>H6*Prices!E$9</f>
        <v>0</v>
      </c>
      <c r="I35" s="157">
        <f>SUM(D35:H35)</f>
        <v>185474595.19349483</v>
      </c>
      <c r="J35" s="169">
        <f>D6*Prices!E$6+(I6-D6)*Prices!E$7</f>
        <v>185474595.19349483</v>
      </c>
      <c r="K35" s="170">
        <f>L35/J35</f>
        <v>0</v>
      </c>
      <c r="L35" s="153">
        <f>I35-J35</f>
        <v>0</v>
      </c>
      <c r="M35" s="3">
        <v>0.14000000000000001</v>
      </c>
      <c r="N35" s="3">
        <v>13</v>
      </c>
      <c r="O35" s="3">
        <f>M35*N35</f>
        <v>1.8200000000000003</v>
      </c>
    </row>
    <row r="36" spans="1:15" s="3" customFormat="1" ht="12" customHeight="1" x14ac:dyDescent="0.2">
      <c r="A36" s="85" t="s">
        <v>91</v>
      </c>
      <c r="B36" s="94">
        <f>B7</f>
        <v>437099.23565687053</v>
      </c>
      <c r="C36" s="115">
        <f>B36/B$10</f>
        <v>0.11436441647551958</v>
      </c>
      <c r="D36" s="278">
        <f>D7*Prices!E$6</f>
        <v>186644112.67043233</v>
      </c>
      <c r="E36" s="278">
        <f>E7*Prices!E$7</f>
        <v>8375697.2624837151</v>
      </c>
      <c r="F36" s="278">
        <f>F7*Prices!E$8</f>
        <v>0</v>
      </c>
      <c r="G36" s="278">
        <f>G7*Prices!E$9</f>
        <v>0</v>
      </c>
      <c r="H36" s="278">
        <f>H7*Prices!E$9</f>
        <v>0</v>
      </c>
      <c r="I36" s="157">
        <f>SUM(D36:H36)</f>
        <v>195019809.93291605</v>
      </c>
      <c r="J36" s="169">
        <f>D7*Prices!E$6+(I7-D7)*Prices!E$7</f>
        <v>195019809.93291605</v>
      </c>
      <c r="K36" s="170">
        <f>L36/J36</f>
        <v>0</v>
      </c>
      <c r="L36" s="153">
        <f>I36-J36</f>
        <v>0</v>
      </c>
      <c r="M36" s="3">
        <v>0.08</v>
      </c>
      <c r="N36" s="3">
        <v>19</v>
      </c>
      <c r="O36" s="3">
        <f>M36*N36</f>
        <v>1.52</v>
      </c>
    </row>
    <row r="37" spans="1:15" s="3" customFormat="1" ht="12" customHeight="1" x14ac:dyDescent="0.2">
      <c r="A37" s="85" t="s">
        <v>96</v>
      </c>
      <c r="B37" s="94">
        <f>B8</f>
        <v>952011.72410163062</v>
      </c>
      <c r="C37" s="115">
        <f>B37/B$10</f>
        <v>0.24908820794691536</v>
      </c>
      <c r="D37" s="278">
        <f>D8*Prices!E$6</f>
        <v>457041153.01506901</v>
      </c>
      <c r="E37" s="278">
        <f>E8*Prices!E$7</f>
        <v>93994387.654827297</v>
      </c>
      <c r="F37" s="278">
        <f>F8*Prices!E$8</f>
        <v>80141257.457874462</v>
      </c>
      <c r="G37" s="278">
        <f>G8*Prices!E$9</f>
        <v>0</v>
      </c>
      <c r="H37" s="278">
        <f>H8*Prices!E$9</f>
        <v>0</v>
      </c>
      <c r="I37" s="157">
        <f>SUM(D37:H37)</f>
        <v>631176798.12777078</v>
      </c>
      <c r="J37" s="169">
        <f>D8*Prices!E$6+(I8-D8)*Prices!E$7</f>
        <v>604447830.69111788</v>
      </c>
      <c r="K37" s="170">
        <f>L37/J37</f>
        <v>4.4220470451670477E-2</v>
      </c>
      <c r="L37" s="153">
        <f>I37-J37</f>
        <v>26728967.436652899</v>
      </c>
      <c r="O37" s="3">
        <f>SUM(O34:O36)</f>
        <v>12.232000000000001</v>
      </c>
    </row>
    <row r="38" spans="1:15" s="3" customFormat="1" ht="12" customHeight="1" x14ac:dyDescent="0.2">
      <c r="A38" s="84" t="s">
        <v>95</v>
      </c>
      <c r="B38" s="98">
        <f>B9</f>
        <v>1738271.4654948961</v>
      </c>
      <c r="C38" s="116">
        <f>B38/B$10</f>
        <v>0.4548083950058156</v>
      </c>
      <c r="D38" s="279">
        <f>D9*Prices!E$6</f>
        <v>878167141.50541985</v>
      </c>
      <c r="E38" s="279">
        <f>E9*Prices!E$7</f>
        <v>272756857.94000149</v>
      </c>
      <c r="F38" s="279">
        <f>F9*Prices!E$8</f>
        <v>755687795.00674284</v>
      </c>
      <c r="G38" s="279">
        <f>G9*Prices!E$9</f>
        <v>765949952.51200867</v>
      </c>
      <c r="H38" s="279">
        <f>H9*Prices!E$9</f>
        <v>592007520.85004091</v>
      </c>
      <c r="I38" s="175">
        <f>SUM(D38:H38)</f>
        <v>3264569267.8142138</v>
      </c>
      <c r="J38" s="176">
        <f>D9*Prices!E$6+(I9-D9)*Prices!E$7</f>
        <v>2265136073.0115852</v>
      </c>
      <c r="K38" s="177">
        <f>L38/J38</f>
        <v>0.44122435146858252</v>
      </c>
      <c r="L38" s="153">
        <f>I38-J38</f>
        <v>999433194.80262852</v>
      </c>
    </row>
    <row r="39" spans="1:15" s="3" customFormat="1" ht="12" customHeight="1" x14ac:dyDescent="0.2">
      <c r="A39" s="86" t="s">
        <v>106</v>
      </c>
      <c r="B39" s="101">
        <f t="shared" ref="B39:J39" si="2">SUM(B35:B38)</f>
        <v>3821986.3234333415</v>
      </c>
      <c r="C39" s="117">
        <f t="shared" si="2"/>
        <v>1</v>
      </c>
      <c r="D39" s="156">
        <f t="shared" si="2"/>
        <v>1707327002.3844161</v>
      </c>
      <c r="E39" s="156">
        <f t="shared" si="2"/>
        <v>375126942.8573125</v>
      </c>
      <c r="F39" s="156">
        <f t="shared" si="2"/>
        <v>835829052.46461725</v>
      </c>
      <c r="G39" s="156">
        <f t="shared" si="2"/>
        <v>765949952.51200867</v>
      </c>
      <c r="H39" s="156">
        <f t="shared" si="2"/>
        <v>592007520.85004091</v>
      </c>
      <c r="I39" s="158">
        <f t="shared" si="2"/>
        <v>4276240471.0683956</v>
      </c>
      <c r="J39" s="171">
        <f t="shared" si="2"/>
        <v>3250078308.829114</v>
      </c>
      <c r="K39" s="172">
        <f>L39/J39</f>
        <v>0.31573459613315313</v>
      </c>
      <c r="L39" s="153">
        <f>I39-J39</f>
        <v>1026162162.2392817</v>
      </c>
    </row>
    <row r="40" spans="1:15" s="3" customFormat="1" ht="12" customHeight="1" x14ac:dyDescent="0.2">
      <c r="A40" s="83"/>
      <c r="B40" s="96"/>
      <c r="C40" s="115"/>
      <c r="D40" s="155"/>
      <c r="E40" s="155"/>
      <c r="F40" s="155"/>
      <c r="G40" s="155"/>
      <c r="H40" s="155"/>
      <c r="I40" s="155"/>
      <c r="J40" s="155"/>
      <c r="K40" s="247"/>
      <c r="L40" s="153"/>
    </row>
    <row r="41" spans="1:15" s="3" customFormat="1" ht="11.25" x14ac:dyDescent="0.2">
      <c r="A41" s="111"/>
      <c r="B41" s="124"/>
      <c r="C41" s="113"/>
      <c r="D41" s="154"/>
      <c r="E41" s="154"/>
      <c r="F41" s="152"/>
      <c r="G41" s="152"/>
      <c r="H41" s="152"/>
      <c r="I41" s="136"/>
      <c r="J41" s="153"/>
    </row>
    <row r="42" spans="1:15" s="3" customFormat="1" ht="12.75" x14ac:dyDescent="0.2">
      <c r="A42" s="280" t="s">
        <v>145</v>
      </c>
      <c r="B42" s="280"/>
      <c r="C42" s="280"/>
      <c r="D42" s="280"/>
      <c r="E42" s="280"/>
      <c r="F42" s="280"/>
      <c r="G42" s="280"/>
      <c r="H42" s="280"/>
      <c r="I42" s="280"/>
    </row>
    <row r="43" spans="1:15" x14ac:dyDescent="0.2">
      <c r="A43" s="281" t="s">
        <v>166</v>
      </c>
      <c r="B43" s="281"/>
      <c r="C43" s="281"/>
      <c r="D43" s="281"/>
      <c r="E43" s="281"/>
      <c r="F43" s="281"/>
      <c r="G43" s="281"/>
      <c r="H43" s="281"/>
      <c r="I43" s="281"/>
    </row>
    <row r="44" spans="1:15" s="3" customFormat="1" ht="12" customHeight="1" x14ac:dyDescent="0.2">
      <c r="A44" s="87"/>
      <c r="B44" s="88"/>
      <c r="C44" s="89" t="s">
        <v>50</v>
      </c>
      <c r="D44" s="118" t="s">
        <v>99</v>
      </c>
      <c r="E44" s="118" t="s">
        <v>100</v>
      </c>
      <c r="F44" s="118" t="s">
        <v>104</v>
      </c>
      <c r="G44" s="118" t="s">
        <v>122</v>
      </c>
      <c r="H44" s="118" t="s">
        <v>123</v>
      </c>
      <c r="I44" s="90"/>
      <c r="J44"/>
      <c r="K44"/>
      <c r="L44"/>
    </row>
    <row r="45" spans="1:15" s="3" customFormat="1" ht="12" customHeight="1" x14ac:dyDescent="0.2">
      <c r="A45" s="84" t="s">
        <v>57</v>
      </c>
      <c r="B45" s="91" t="s">
        <v>23</v>
      </c>
      <c r="C45" s="92" t="s">
        <v>97</v>
      </c>
      <c r="D45" s="105" t="s">
        <v>77</v>
      </c>
      <c r="E45" s="105" t="s">
        <v>78</v>
      </c>
      <c r="F45" s="105" t="s">
        <v>79</v>
      </c>
      <c r="G45" s="105" t="s">
        <v>98</v>
      </c>
      <c r="H45" s="105" t="s">
        <v>130</v>
      </c>
      <c r="I45" s="93" t="s">
        <v>8</v>
      </c>
      <c r="J45"/>
      <c r="K45"/>
      <c r="L45"/>
    </row>
    <row r="46" spans="1:15" s="3" customFormat="1" ht="12" customHeight="1" x14ac:dyDescent="0.2">
      <c r="A46" s="85" t="s">
        <v>92</v>
      </c>
      <c r="B46" s="94">
        <f>B6+B19</f>
        <v>780285.21521599311</v>
      </c>
      <c r="C46" s="115">
        <f>B46/B$50</f>
        <v>0.18872642685438717</v>
      </c>
      <c r="D46" s="96">
        <f>D6+D19</f>
        <v>1886922913.6055868</v>
      </c>
      <c r="E46" s="96">
        <f>E6+E19</f>
        <v>0</v>
      </c>
      <c r="F46" s="96">
        <f>F6+F19</f>
        <v>0</v>
      </c>
      <c r="G46" s="96">
        <f>G6+G19</f>
        <v>0</v>
      </c>
      <c r="H46" s="96">
        <f>H6+H19</f>
        <v>0</v>
      </c>
      <c r="I46" s="125">
        <f>SUM(D46:H46)</f>
        <v>1886922913.6055868</v>
      </c>
      <c r="J46"/>
      <c r="K46"/>
      <c r="L46"/>
    </row>
    <row r="47" spans="1:15" s="3" customFormat="1" ht="12" customHeight="1" x14ac:dyDescent="0.2">
      <c r="A47" s="85" t="s">
        <v>186</v>
      </c>
      <c r="B47" s="94">
        <f>B7+B20+B21+B22</f>
        <v>663909.3586965946</v>
      </c>
      <c r="C47" s="115">
        <f>B47/B$50</f>
        <v>0.16057877117063155</v>
      </c>
      <c r="D47" s="96">
        <f>D7+D20+D21+D22</f>
        <v>2839051500.7680206</v>
      </c>
      <c r="E47" s="96">
        <f>E7+E20+E21+E22</f>
        <v>495223969.69530487</v>
      </c>
      <c r="F47" s="96">
        <f>F7+F20+F21+F22</f>
        <v>0</v>
      </c>
      <c r="G47" s="96">
        <f>G7+G20+G21+G22</f>
        <v>92746093.291221514</v>
      </c>
      <c r="H47" s="96">
        <f>H7+H20+H21+H22</f>
        <v>39195898.653403044</v>
      </c>
      <c r="I47" s="125">
        <f>SUM(D47:H47)</f>
        <v>3466217462.4079504</v>
      </c>
      <c r="J47"/>
      <c r="K47"/>
      <c r="L47"/>
    </row>
    <row r="48" spans="1:15" s="3" customFormat="1" ht="12" customHeight="1" x14ac:dyDescent="0.2">
      <c r="A48" s="85" t="s">
        <v>96</v>
      </c>
      <c r="B48" s="94">
        <f>B8</f>
        <v>952011.72410163062</v>
      </c>
      <c r="C48" s="115">
        <f>B48/B$50</f>
        <v>0.2302616626709382</v>
      </c>
      <c r="D48" s="96">
        <f t="shared" ref="D48:H49" si="3">D8</f>
        <v>3998575279.4382291</v>
      </c>
      <c r="E48" s="96">
        <f t="shared" si="3"/>
        <v>723651638.35911655</v>
      </c>
      <c r="F48" s="96">
        <f t="shared" si="3"/>
        <v>411214883.64081329</v>
      </c>
      <c r="G48" s="96">
        <f t="shared" si="3"/>
        <v>0</v>
      </c>
      <c r="H48" s="96">
        <f t="shared" si="3"/>
        <v>0</v>
      </c>
      <c r="I48" s="125">
        <f>SUM(D48:H48)</f>
        <v>5133441801.438159</v>
      </c>
      <c r="J48"/>
      <c r="K48"/>
      <c r="L48"/>
    </row>
    <row r="49" spans="1:12" s="3" customFormat="1" ht="12" customHeight="1" x14ac:dyDescent="0.2">
      <c r="A49" s="84" t="s">
        <v>95</v>
      </c>
      <c r="B49" s="98">
        <f>B9</f>
        <v>1738271.4654948961</v>
      </c>
      <c r="C49" s="116">
        <f>B49/B$50</f>
        <v>0.42043313930404314</v>
      </c>
      <c r="D49" s="100">
        <f t="shared" si="3"/>
        <v>7682934895.6301336</v>
      </c>
      <c r="E49" s="100">
        <f t="shared" si="3"/>
        <v>2099922687.3715363</v>
      </c>
      <c r="F49" s="100">
        <f t="shared" si="3"/>
        <v>3877529234.6245441</v>
      </c>
      <c r="G49" s="100">
        <f t="shared" si="3"/>
        <v>2651385130.0015883</v>
      </c>
      <c r="H49" s="100">
        <f t="shared" si="3"/>
        <v>2049272191.3267493</v>
      </c>
      <c r="I49" s="178">
        <f>SUM(D49:H49)</f>
        <v>18361044138.954552</v>
      </c>
      <c r="J49"/>
      <c r="K49"/>
      <c r="L49"/>
    </row>
    <row r="50" spans="1:12" s="3" customFormat="1" ht="12" customHeight="1" x14ac:dyDescent="0.2">
      <c r="A50" s="86" t="s">
        <v>106</v>
      </c>
      <c r="B50" s="101">
        <f t="shared" ref="B50:I50" si="4">SUM(B46:B49)</f>
        <v>4134477.7635091143</v>
      </c>
      <c r="C50" s="117">
        <f t="shared" si="4"/>
        <v>1</v>
      </c>
      <c r="D50" s="133">
        <f t="shared" si="4"/>
        <v>16407484589.441971</v>
      </c>
      <c r="E50" s="133">
        <f t="shared" si="4"/>
        <v>3318798295.4259577</v>
      </c>
      <c r="F50" s="133">
        <f t="shared" si="4"/>
        <v>4288744118.2653575</v>
      </c>
      <c r="G50" s="133">
        <f t="shared" si="4"/>
        <v>2744131223.29281</v>
      </c>
      <c r="H50" s="133">
        <f t="shared" si="4"/>
        <v>2088468089.9801524</v>
      </c>
      <c r="I50" s="165">
        <f t="shared" si="4"/>
        <v>28847626316.40625</v>
      </c>
      <c r="J50"/>
      <c r="K50"/>
      <c r="L50"/>
    </row>
    <row r="51" spans="1:12" s="3" customFormat="1" ht="11.25" x14ac:dyDescent="0.2">
      <c r="A51" s="111"/>
      <c r="B51" s="124"/>
      <c r="C51" s="113"/>
      <c r="D51" s="154"/>
      <c r="E51" s="154"/>
      <c r="F51" s="152"/>
      <c r="G51" s="152"/>
      <c r="H51" s="152"/>
      <c r="I51" s="136"/>
      <c r="J51" s="153"/>
    </row>
    <row r="52" spans="1:12" s="3" customFormat="1" ht="11.25" x14ac:dyDescent="0.2">
      <c r="A52" s="236" t="s">
        <v>187</v>
      </c>
      <c r="B52" s="124"/>
      <c r="C52" s="113"/>
      <c r="D52" s="154"/>
      <c r="E52" s="154"/>
      <c r="F52" s="152"/>
      <c r="G52" s="152"/>
      <c r="H52" s="152"/>
      <c r="I52" s="136"/>
      <c r="J52" s="153"/>
    </row>
    <row r="53" spans="1:12" s="3" customFormat="1" ht="11.25" x14ac:dyDescent="0.2">
      <c r="A53" s="236"/>
      <c r="B53" s="124"/>
      <c r="C53" s="113"/>
      <c r="D53" s="154"/>
      <c r="E53" s="154"/>
      <c r="F53" s="152"/>
      <c r="G53" s="152"/>
      <c r="H53" s="152"/>
      <c r="I53" s="136"/>
      <c r="J53" s="153"/>
    </row>
    <row r="54" spans="1:12" s="3" customFormat="1" ht="11.25" x14ac:dyDescent="0.2">
      <c r="A54" s="236"/>
      <c r="B54" s="124"/>
      <c r="C54" s="113"/>
      <c r="D54" s="154"/>
      <c r="E54" s="154"/>
      <c r="F54" s="152"/>
      <c r="G54" s="152"/>
      <c r="H54" s="152"/>
      <c r="I54" s="136"/>
      <c r="J54" s="153"/>
    </row>
    <row r="55" spans="1:12" s="3" customFormat="1" ht="11.25" x14ac:dyDescent="0.2">
      <c r="A55" s="236"/>
      <c r="B55" s="124"/>
      <c r="C55" s="113"/>
      <c r="D55" s="154"/>
      <c r="E55" s="154"/>
      <c r="F55" s="152"/>
      <c r="G55" s="152"/>
      <c r="H55" s="152"/>
      <c r="I55" s="136"/>
      <c r="J55" s="153"/>
    </row>
    <row r="56" spans="1:12" s="3" customFormat="1" ht="11.25" x14ac:dyDescent="0.2">
      <c r="C56" s="62"/>
      <c r="D56" s="119"/>
      <c r="E56" s="120"/>
      <c r="F56" s="120"/>
      <c r="G56" s="135" t="s">
        <v>121</v>
      </c>
      <c r="H56" s="137"/>
    </row>
    <row r="57" spans="1:12" s="3" customFormat="1" ht="13.5" x14ac:dyDescent="0.35">
      <c r="D57" s="127" t="s">
        <v>166</v>
      </c>
      <c r="E57" s="122" t="s">
        <v>119</v>
      </c>
      <c r="F57" s="122" t="s">
        <v>111</v>
      </c>
      <c r="G57" s="123" t="s">
        <v>120</v>
      </c>
      <c r="H57" s="122"/>
    </row>
    <row r="58" spans="1:12" s="3" customFormat="1" ht="11.25" x14ac:dyDescent="0.2">
      <c r="D58" s="121"/>
      <c r="E58" s="124"/>
      <c r="F58" s="124"/>
      <c r="G58" s="125"/>
      <c r="H58" s="124"/>
    </row>
    <row r="59" spans="1:12" s="3" customFormat="1" ht="11.25" x14ac:dyDescent="0.2">
      <c r="D59" s="121" t="s">
        <v>112</v>
      </c>
      <c r="E59" s="124">
        <v>43357524.945844099</v>
      </c>
      <c r="F59" s="124">
        <v>23367450385.910564</v>
      </c>
      <c r="G59" s="126">
        <v>2581981586.0153246</v>
      </c>
      <c r="H59" s="138"/>
    </row>
    <row r="60" spans="1:12" s="3" customFormat="1" ht="11.25" x14ac:dyDescent="0.2">
      <c r="D60" s="121" t="s">
        <v>113</v>
      </c>
      <c r="E60" s="124">
        <f>E72-E65</f>
        <v>1139039.8400000001</v>
      </c>
      <c r="F60" s="124">
        <f>F72-F65</f>
        <v>1199011059.4666259</v>
      </c>
      <c r="G60" s="126">
        <f>G72-G65</f>
        <v>109415543.01585585</v>
      </c>
      <c r="H60" s="138"/>
    </row>
    <row r="61" spans="1:12" s="3" customFormat="1" ht="11.25" x14ac:dyDescent="0.2">
      <c r="D61" s="127" t="s">
        <v>114</v>
      </c>
      <c r="E61" s="128">
        <v>1367271.0953559962</v>
      </c>
      <c r="F61" s="128">
        <v>2248111251.3579297</v>
      </c>
      <c r="G61" s="129">
        <v>211472700.49981666</v>
      </c>
      <c r="H61" s="139"/>
    </row>
    <row r="62" spans="1:12" s="3" customFormat="1" ht="11.25" x14ac:dyDescent="0.2">
      <c r="D62" s="121" t="s">
        <v>38</v>
      </c>
      <c r="E62" s="124">
        <f>SUM(E59:E61)</f>
        <v>45863835.881200098</v>
      </c>
      <c r="F62" s="124">
        <f>SUM(F59:F61)</f>
        <v>26814572696.735119</v>
      </c>
      <c r="G62" s="126">
        <f>SUM(G59:G61)</f>
        <v>2902869829.5309973</v>
      </c>
      <c r="H62" s="138"/>
    </row>
    <row r="63" spans="1:12" s="3" customFormat="1" ht="11.25" x14ac:dyDescent="0.2">
      <c r="D63" s="121"/>
      <c r="E63" s="124"/>
      <c r="F63" s="124"/>
      <c r="G63" s="126"/>
      <c r="H63" s="138"/>
    </row>
    <row r="64" spans="1:12" s="3" customFormat="1" ht="11.25" x14ac:dyDescent="0.2">
      <c r="D64" s="121" t="s">
        <v>116</v>
      </c>
      <c r="E64" s="124">
        <v>3666381.3935986031</v>
      </c>
      <c r="F64" s="124">
        <v>1922395400.4817834</v>
      </c>
      <c r="G64" s="126">
        <v>168120011.16367021</v>
      </c>
      <c r="H64" s="138"/>
    </row>
    <row r="65" spans="2:8" s="3" customFormat="1" ht="11.25" x14ac:dyDescent="0.2">
      <c r="D65" s="121" t="s">
        <v>118</v>
      </c>
      <c r="E65" s="124">
        <f>7079+7221</f>
        <v>14300</v>
      </c>
      <c r="F65" s="124">
        <v>13845847</v>
      </c>
      <c r="G65" s="126">
        <v>1204837</v>
      </c>
      <c r="H65" s="138"/>
    </row>
    <row r="66" spans="2:8" s="3" customFormat="1" ht="11.25" x14ac:dyDescent="0.2">
      <c r="D66" s="127" t="s">
        <v>115</v>
      </c>
      <c r="E66" s="128">
        <v>69215.887310670543</v>
      </c>
      <c r="F66" s="128">
        <v>96812372.189345941</v>
      </c>
      <c r="G66" s="129">
        <v>7831339.5977828456</v>
      </c>
      <c r="H66" s="139"/>
    </row>
    <row r="67" spans="2:8" s="3" customFormat="1" ht="11.25" x14ac:dyDescent="0.2">
      <c r="D67" s="121" t="s">
        <v>39</v>
      </c>
      <c r="E67" s="124">
        <f>SUM(E64:E66)</f>
        <v>3749897.2809092738</v>
      </c>
      <c r="F67" s="124">
        <f>SUM(F64:F66)</f>
        <v>2033053619.6711292</v>
      </c>
      <c r="G67" s="126">
        <f>SUM(G64:G66)</f>
        <v>177156187.76145306</v>
      </c>
      <c r="H67" s="138"/>
    </row>
    <row r="68" spans="2:8" s="3" customFormat="1" ht="11.25" x14ac:dyDescent="0.2">
      <c r="D68" s="121"/>
      <c r="E68" s="124"/>
      <c r="F68" s="124"/>
      <c r="G68" s="126"/>
      <c r="H68" s="138"/>
    </row>
    <row r="69" spans="2:8" s="3" customFormat="1" ht="11.25" x14ac:dyDescent="0.2">
      <c r="D69" s="121" t="s">
        <v>106</v>
      </c>
      <c r="E69" s="124">
        <f>E62+E67</f>
        <v>49613733.162109375</v>
      </c>
      <c r="F69" s="124">
        <f>F62+F67</f>
        <v>28847626316.40625</v>
      </c>
      <c r="G69" s="126">
        <f>G62+G67</f>
        <v>3080026017.2924504</v>
      </c>
      <c r="H69" s="138"/>
    </row>
    <row r="70" spans="2:8" x14ac:dyDescent="0.2">
      <c r="B70" s="15"/>
      <c r="C70" s="15"/>
      <c r="D70" s="59"/>
      <c r="E70" s="60"/>
      <c r="F70" s="60"/>
      <c r="G70" s="68"/>
      <c r="H70" s="60"/>
    </row>
    <row r="71" spans="2:8" x14ac:dyDescent="0.2">
      <c r="B71" s="15"/>
      <c r="C71" s="15"/>
      <c r="D71" s="59"/>
      <c r="E71" s="60"/>
      <c r="F71" s="60"/>
      <c r="G71" s="68"/>
      <c r="H71" s="60"/>
    </row>
    <row r="72" spans="2:8" s="3" customFormat="1" ht="11.25" x14ac:dyDescent="0.2">
      <c r="D72" s="121" t="s">
        <v>117</v>
      </c>
      <c r="E72" s="124">
        <v>1153339.8400000001</v>
      </c>
      <c r="F72" s="124">
        <v>1212856906.4666259</v>
      </c>
      <c r="G72" s="126">
        <v>110620380.01585585</v>
      </c>
      <c r="H72" s="138"/>
    </row>
    <row r="73" spans="2:8" s="3" customFormat="1" ht="11.25" x14ac:dyDescent="0.2">
      <c r="D73" s="121"/>
      <c r="E73" s="130"/>
      <c r="F73" s="130"/>
      <c r="G73" s="131"/>
      <c r="H73" s="130"/>
    </row>
    <row r="74" spans="2:8" s="3" customFormat="1" ht="11.25" x14ac:dyDescent="0.2">
      <c r="D74" s="132" t="s">
        <v>16</v>
      </c>
      <c r="E74" s="133">
        <v>49613733.162109368</v>
      </c>
      <c r="F74" s="133">
        <v>28847626316.40625</v>
      </c>
      <c r="G74" s="134">
        <v>3080026017.29245</v>
      </c>
      <c r="H74" s="138"/>
    </row>
    <row r="75" spans="2:8" s="3" customFormat="1" ht="11.25" x14ac:dyDescent="0.2">
      <c r="B75" s="61"/>
      <c r="C75" s="61"/>
      <c r="D75" s="61"/>
    </row>
  </sheetData>
  <mergeCells count="8">
    <mergeCell ref="A43:I43"/>
    <mergeCell ref="A42:I42"/>
    <mergeCell ref="A31:I31"/>
    <mergeCell ref="A32:I32"/>
    <mergeCell ref="A2:I2"/>
    <mergeCell ref="A3:I3"/>
    <mergeCell ref="A15:I15"/>
    <mergeCell ref="A16:I16"/>
  </mergeCells>
  <phoneticPr fontId="0" type="noConversion"/>
  <printOptions headings="1"/>
  <pageMargins left="0.75" right="0.75" top="1" bottom="1" header="0.5" footer="0.5"/>
  <pageSetup scale="85" fitToHeight="2" orientation="landscape" r:id="rId1"/>
  <headerFooter alignWithMargins="0">
    <oddHeader>&amp;CPacific Gas and Electric Company
Rate Design Workpapers
3 Cent Surcharge</oddHeader>
    <oddFooter>&amp;L&amp;D  &amp;T&amp;R&amp;F  &amp;A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5"/>
  <sheetViews>
    <sheetView topLeftCell="A50" workbookViewId="0">
      <selection activeCell="E56" sqref="E56"/>
    </sheetView>
  </sheetViews>
  <sheetFormatPr defaultRowHeight="11.25" x14ac:dyDescent="0.2"/>
  <cols>
    <col min="1" max="1" width="18.7109375" style="3" customWidth="1"/>
    <col min="2" max="2" width="8.7109375" style="3" bestFit="1" customWidth="1"/>
    <col min="3" max="3" width="6.7109375" style="3" customWidth="1"/>
    <col min="4" max="4" width="12" style="3" customWidth="1"/>
    <col min="5" max="5" width="11.85546875" style="3" customWidth="1"/>
    <col min="6" max="6" width="11.42578125" style="3" customWidth="1"/>
    <col min="7" max="7" width="11.7109375" style="3" customWidth="1"/>
    <col min="8" max="8" width="11" style="3" customWidth="1"/>
    <col min="9" max="9" width="12.28515625" style="3" customWidth="1"/>
    <col min="10" max="10" width="12.7109375" style="3" customWidth="1"/>
    <col min="11" max="16384" width="9.140625" style="3"/>
  </cols>
  <sheetData>
    <row r="2" spans="1:10" ht="12.75" x14ac:dyDescent="0.2">
      <c r="A2" s="280" t="s">
        <v>105</v>
      </c>
      <c r="B2" s="280"/>
      <c r="C2" s="280"/>
      <c r="D2" s="280"/>
      <c r="E2" s="280"/>
      <c r="F2" s="280"/>
      <c r="G2" s="280"/>
      <c r="H2" s="280"/>
      <c r="I2" s="280"/>
    </row>
    <row r="3" spans="1:10" x14ac:dyDescent="0.2">
      <c r="A3" s="284" t="s">
        <v>170</v>
      </c>
      <c r="B3" s="284"/>
      <c r="C3" s="284"/>
      <c r="D3" s="284"/>
      <c r="E3" s="284"/>
      <c r="F3" s="284"/>
      <c r="G3" s="284"/>
      <c r="H3" s="284"/>
      <c r="I3" s="284"/>
    </row>
    <row r="4" spans="1:10" ht="12" customHeight="1" x14ac:dyDescent="0.2">
      <c r="A4" s="87"/>
      <c r="B4" s="88"/>
      <c r="C4" s="89" t="s">
        <v>50</v>
      </c>
      <c r="D4" s="89" t="s">
        <v>99</v>
      </c>
      <c r="E4" s="89" t="s">
        <v>100</v>
      </c>
      <c r="F4" s="89" t="s">
        <v>104</v>
      </c>
      <c r="G4" s="118" t="s">
        <v>122</v>
      </c>
      <c r="H4" s="118" t="s">
        <v>123</v>
      </c>
      <c r="I4" s="90"/>
    </row>
    <row r="5" spans="1:10" ht="12" customHeight="1" x14ac:dyDescent="0.2">
      <c r="A5" s="84" t="s">
        <v>57</v>
      </c>
      <c r="B5" s="91" t="s">
        <v>23</v>
      </c>
      <c r="C5" s="92" t="s">
        <v>97</v>
      </c>
      <c r="D5" s="105" t="s">
        <v>77</v>
      </c>
      <c r="E5" s="105" t="s">
        <v>78</v>
      </c>
      <c r="F5" s="105" t="s">
        <v>79</v>
      </c>
      <c r="G5" s="105" t="s">
        <v>98</v>
      </c>
      <c r="H5" s="105" t="s">
        <v>130</v>
      </c>
      <c r="I5" s="93" t="s">
        <v>8</v>
      </c>
    </row>
    <row r="6" spans="1:10" ht="12" customHeight="1" x14ac:dyDescent="0.2">
      <c r="A6" s="85" t="s">
        <v>92</v>
      </c>
      <c r="B6" s="94">
        <f>B29</f>
        <v>688603</v>
      </c>
      <c r="C6" s="95">
        <f>B6/B$10</f>
        <v>0.1817389805717495</v>
      </c>
      <c r="D6" s="96">
        <f>D29</f>
        <v>1598427576</v>
      </c>
      <c r="E6" s="96">
        <f>E29</f>
        <v>0</v>
      </c>
      <c r="F6" s="96"/>
      <c r="G6" s="96">
        <f>F29</f>
        <v>0</v>
      </c>
      <c r="H6" s="96"/>
      <c r="I6" s="97">
        <f>SUM(D6:H6)</f>
        <v>1598427576</v>
      </c>
    </row>
    <row r="7" spans="1:10" ht="12" customHeight="1" x14ac:dyDescent="0.2">
      <c r="A7" s="85" t="s">
        <v>91</v>
      </c>
      <c r="B7" s="94">
        <f>B30</f>
        <v>433323</v>
      </c>
      <c r="C7" s="95">
        <f>B7/B$10</f>
        <v>0.11436441647551958</v>
      </c>
      <c r="D7" s="96">
        <f>D30</f>
        <v>1608506525</v>
      </c>
      <c r="E7" s="96">
        <f>E30</f>
        <v>63519513</v>
      </c>
      <c r="F7" s="96"/>
      <c r="G7" s="96">
        <f>F30</f>
        <v>0</v>
      </c>
      <c r="H7" s="96"/>
      <c r="I7" s="97">
        <f>SUM(D7:H7)</f>
        <v>1672026038</v>
      </c>
    </row>
    <row r="8" spans="1:10" ht="12" customHeight="1" x14ac:dyDescent="0.2">
      <c r="A8" s="85" t="s">
        <v>96</v>
      </c>
      <c r="B8" s="94">
        <f>B38-B30</f>
        <v>943787</v>
      </c>
      <c r="C8" s="95">
        <f>B8/B$10</f>
        <v>0.24908820794691536</v>
      </c>
      <c r="D8" s="96">
        <f>D38-D30</f>
        <v>3938799174</v>
      </c>
      <c r="E8" s="96">
        <f>I8-D8-F8</f>
        <v>712833516</v>
      </c>
      <c r="F8" s="96">
        <f>E47</f>
        <v>405067488</v>
      </c>
      <c r="G8" s="96">
        <f>F38-F30</f>
        <v>0</v>
      </c>
      <c r="H8" s="96"/>
      <c r="I8" s="97">
        <f>G47</f>
        <v>5056700178</v>
      </c>
    </row>
    <row r="9" spans="1:10" ht="12" customHeight="1" x14ac:dyDescent="0.2">
      <c r="A9" s="84" t="s">
        <v>95</v>
      </c>
      <c r="B9" s="98">
        <f>B39</f>
        <v>1723254</v>
      </c>
      <c r="C9" s="99">
        <f>B9/B$10</f>
        <v>0.45480839500581555</v>
      </c>
      <c r="D9" s="100">
        <f>D39</f>
        <v>7568080005</v>
      </c>
      <c r="E9" s="100">
        <f>I9-D9-F9-G9-H9</f>
        <v>2068530206</v>
      </c>
      <c r="F9" s="100">
        <f>E48</f>
        <v>3819562689</v>
      </c>
      <c r="G9" s="100">
        <f>F39-H9</f>
        <v>2611748643</v>
      </c>
      <c r="H9" s="100">
        <v>2018636902</v>
      </c>
      <c r="I9" s="150">
        <f>G39</f>
        <v>18086558445</v>
      </c>
      <c r="J9" s="4"/>
    </row>
    <row r="10" spans="1:10" ht="12" customHeight="1" x14ac:dyDescent="0.2">
      <c r="A10" s="86" t="s">
        <v>106</v>
      </c>
      <c r="B10" s="101">
        <f t="shared" ref="B10:I10" si="0">SUM(B6:B9)</f>
        <v>3788967</v>
      </c>
      <c r="C10" s="102">
        <f t="shared" si="0"/>
        <v>1</v>
      </c>
      <c r="D10" s="103">
        <f t="shared" si="0"/>
        <v>14713813280</v>
      </c>
      <c r="E10" s="103">
        <f t="shared" si="0"/>
        <v>2844883235</v>
      </c>
      <c r="F10" s="103">
        <f t="shared" si="0"/>
        <v>4224630177</v>
      </c>
      <c r="G10" s="103">
        <f t="shared" si="0"/>
        <v>2611748643</v>
      </c>
      <c r="H10" s="103">
        <f t="shared" si="0"/>
        <v>2018636902</v>
      </c>
      <c r="I10" s="104">
        <f t="shared" si="0"/>
        <v>26413712237</v>
      </c>
    </row>
    <row r="11" spans="1:10" ht="12.75" x14ac:dyDescent="0.2">
      <c r="A11" s="106" t="s">
        <v>108</v>
      </c>
      <c r="B11" s="107"/>
      <c r="C11" s="108"/>
      <c r="D11" s="183">
        <f>D10/$I10</f>
        <v>0.55705207764734688</v>
      </c>
      <c r="E11" s="183">
        <f>E10/$I10</f>
        <v>0.10770478641828023</v>
      </c>
      <c r="F11" s="183">
        <f>F10/$I10</f>
        <v>0.15994079662464825</v>
      </c>
      <c r="G11" s="183">
        <f>G10/$I10</f>
        <v>9.8878515051795512E-2</v>
      </c>
      <c r="H11" s="183">
        <f>H10/$I10</f>
        <v>7.6423824257929124E-2</v>
      </c>
      <c r="I11" s="109">
        <f>SUM(D11:H11)</f>
        <v>1</v>
      </c>
    </row>
    <row r="13" spans="1:10" x14ac:dyDescent="0.2">
      <c r="B13" s="4"/>
    </row>
    <row r="14" spans="1:10" ht="12.75" x14ac:dyDescent="0.2">
      <c r="A14" s="280" t="s">
        <v>107</v>
      </c>
      <c r="B14" s="280"/>
      <c r="C14" s="280"/>
      <c r="D14" s="280"/>
      <c r="E14" s="280"/>
      <c r="F14" s="280"/>
      <c r="G14" s="280"/>
      <c r="H14" s="280"/>
      <c r="I14" s="280"/>
    </row>
    <row r="15" spans="1:10" x14ac:dyDescent="0.2">
      <c r="A15" s="284" t="s">
        <v>170</v>
      </c>
      <c r="B15" s="284"/>
      <c r="C15" s="284"/>
      <c r="D15" s="284"/>
      <c r="E15" s="284"/>
      <c r="F15" s="284"/>
      <c r="G15" s="284"/>
      <c r="H15" s="284"/>
      <c r="I15" s="284"/>
    </row>
    <row r="16" spans="1:10" ht="12" customHeight="1" x14ac:dyDescent="0.2">
      <c r="A16" s="87"/>
      <c r="B16" s="88"/>
      <c r="C16" s="89" t="s">
        <v>50</v>
      </c>
      <c r="D16" s="89" t="s">
        <v>99</v>
      </c>
      <c r="E16" s="89" t="s">
        <v>102</v>
      </c>
      <c r="F16" s="89" t="s">
        <v>110</v>
      </c>
      <c r="G16" s="118" t="s">
        <v>122</v>
      </c>
      <c r="H16" s="118" t="s">
        <v>123</v>
      </c>
      <c r="I16" s="90"/>
    </row>
    <row r="17" spans="1:10" ht="12" customHeight="1" x14ac:dyDescent="0.2">
      <c r="A17" s="110" t="s">
        <v>57</v>
      </c>
      <c r="B17" s="91" t="s">
        <v>23</v>
      </c>
      <c r="C17" s="92" t="s">
        <v>97</v>
      </c>
      <c r="D17" s="92" t="s">
        <v>77</v>
      </c>
      <c r="E17" s="92" t="s">
        <v>78</v>
      </c>
      <c r="F17" s="92" t="s">
        <v>79</v>
      </c>
      <c r="G17" s="105" t="s">
        <v>98</v>
      </c>
      <c r="H17" s="105" t="s">
        <v>130</v>
      </c>
      <c r="I17" s="93" t="s">
        <v>8</v>
      </c>
    </row>
    <row r="18" spans="1:10" ht="12" customHeight="1" x14ac:dyDescent="0.2">
      <c r="A18" s="85" t="s">
        <v>92</v>
      </c>
      <c r="B18" s="94">
        <f>B54</f>
        <v>78220</v>
      </c>
      <c r="C18" s="95">
        <f>B18/B$22</f>
        <v>0.27418772499903604</v>
      </c>
      <c r="D18" s="96">
        <f>D54</f>
        <v>252973794</v>
      </c>
      <c r="E18" s="96">
        <f>E54</f>
        <v>0</v>
      </c>
      <c r="F18" s="96"/>
      <c r="G18" s="96">
        <f>F54</f>
        <v>0</v>
      </c>
      <c r="H18" s="96"/>
      <c r="I18" s="97">
        <f>SUM(D18:H18)</f>
        <v>252973794</v>
      </c>
    </row>
    <row r="19" spans="1:10" ht="12" customHeight="1" x14ac:dyDescent="0.2">
      <c r="A19" s="85" t="s">
        <v>91</v>
      </c>
      <c r="B19" s="94">
        <f>B55</f>
        <v>44069</v>
      </c>
      <c r="C19" s="95">
        <f>B19/B$22</f>
        <v>0.15447684547407975</v>
      </c>
      <c r="D19" s="96">
        <f>D55</f>
        <v>267026786</v>
      </c>
      <c r="E19" s="96">
        <f>E55</f>
        <v>12183365</v>
      </c>
      <c r="F19" s="96"/>
      <c r="G19" s="96">
        <f>F55</f>
        <v>0</v>
      </c>
      <c r="H19" s="96"/>
      <c r="I19" s="97">
        <f>SUM(D19:H19)</f>
        <v>279210151</v>
      </c>
    </row>
    <row r="20" spans="1:10" ht="12" customHeight="1" x14ac:dyDescent="0.2">
      <c r="A20" s="85" t="s">
        <v>96</v>
      </c>
      <c r="B20" s="94">
        <f>B63-B55</f>
        <v>77435</v>
      </c>
      <c r="C20" s="95">
        <f>B20/B$22</f>
        <v>0.27143603279596468</v>
      </c>
      <c r="D20" s="96">
        <f>D63-D55</f>
        <v>464989088</v>
      </c>
      <c r="E20" s="96">
        <f>E63-E55</f>
        <v>122392150</v>
      </c>
      <c r="F20" s="96"/>
      <c r="G20" s="96">
        <v>0</v>
      </c>
      <c r="H20" s="96"/>
      <c r="I20" s="97">
        <f>SUM(D20:H20)</f>
        <v>587381238</v>
      </c>
    </row>
    <row r="21" spans="1:10" ht="12" customHeight="1" x14ac:dyDescent="0.2">
      <c r="A21" s="84" t="s">
        <v>95</v>
      </c>
      <c r="B21" s="98">
        <f>B64</f>
        <v>85555</v>
      </c>
      <c r="C21" s="95">
        <f>B21/B$22</f>
        <v>0.29989939673091953</v>
      </c>
      <c r="D21" s="100">
        <f>D64</f>
        <v>422705063</v>
      </c>
      <c r="E21" s="100">
        <f>E64</f>
        <v>277804099</v>
      </c>
      <c r="F21" s="100" t="s">
        <v>109</v>
      </c>
      <c r="G21" s="100">
        <f>F64-H21</f>
        <v>88792674</v>
      </c>
      <c r="H21" s="100">
        <v>37525124</v>
      </c>
      <c r="I21" s="97">
        <f>SUM(D21:H21)</f>
        <v>826826960</v>
      </c>
    </row>
    <row r="22" spans="1:10" ht="12" customHeight="1" x14ac:dyDescent="0.2">
      <c r="A22" s="86" t="s">
        <v>106</v>
      </c>
      <c r="B22" s="101">
        <f t="shared" ref="B22:I22" si="1">SUM(B18:B21)</f>
        <v>285279</v>
      </c>
      <c r="C22" s="102">
        <f t="shared" si="1"/>
        <v>1</v>
      </c>
      <c r="D22" s="103">
        <f t="shared" si="1"/>
        <v>1407694731</v>
      </c>
      <c r="E22" s="103">
        <f t="shared" si="1"/>
        <v>412379614</v>
      </c>
      <c r="F22" s="103">
        <f t="shared" si="1"/>
        <v>0</v>
      </c>
      <c r="G22" s="103">
        <f t="shared" si="1"/>
        <v>88792674</v>
      </c>
      <c r="H22" s="103">
        <f t="shared" si="1"/>
        <v>37525124</v>
      </c>
      <c r="I22" s="104">
        <f t="shared" si="1"/>
        <v>1946392143</v>
      </c>
    </row>
    <row r="23" spans="1:10" ht="12.75" x14ac:dyDescent="0.2">
      <c r="A23" s="106" t="s">
        <v>108</v>
      </c>
      <c r="B23" s="107"/>
      <c r="C23" s="108"/>
      <c r="D23" s="183">
        <f>D22/$I22</f>
        <v>0.72323284702038582</v>
      </c>
      <c r="E23" s="183">
        <f>E22/$I22</f>
        <v>0.21186872105042195</v>
      </c>
      <c r="F23" s="183">
        <f>F22/$I22</f>
        <v>0</v>
      </c>
      <c r="G23" s="183">
        <f>G22/$I22</f>
        <v>4.5619108317578122E-2</v>
      </c>
      <c r="H23" s="183">
        <f>H22/$I22</f>
        <v>1.9279323611614066E-2</v>
      </c>
      <c r="I23" s="109">
        <f>SUM(D23:H23)</f>
        <v>1</v>
      </c>
    </row>
    <row r="24" spans="1:10" ht="12.75" x14ac:dyDescent="0.2">
      <c r="A24" s="111"/>
      <c r="B24" s="112"/>
      <c r="C24" s="113"/>
      <c r="D24" s="244"/>
      <c r="E24" s="244"/>
      <c r="F24" s="244"/>
      <c r="G24" s="244"/>
      <c r="H24" s="244"/>
      <c r="I24" s="245"/>
    </row>
    <row r="25" spans="1:10" x14ac:dyDescent="0.2">
      <c r="J25" s="6"/>
    </row>
    <row r="26" spans="1:10" x14ac:dyDescent="0.2">
      <c r="A26" s="206" t="s">
        <v>63</v>
      </c>
      <c r="B26" s="201" t="s">
        <v>38</v>
      </c>
      <c r="C26" s="120" t="s">
        <v>50</v>
      </c>
      <c r="D26" s="89" t="s">
        <v>99</v>
      </c>
      <c r="E26" s="89" t="s">
        <v>100</v>
      </c>
      <c r="F26" s="89" t="s">
        <v>101</v>
      </c>
      <c r="G26" s="144"/>
      <c r="J26" s="3" t="s">
        <v>88</v>
      </c>
    </row>
    <row r="27" spans="1:10" x14ac:dyDescent="0.2">
      <c r="A27" s="80" t="s">
        <v>57</v>
      </c>
      <c r="B27" s="202" t="s">
        <v>23</v>
      </c>
      <c r="C27" s="202" t="s">
        <v>97</v>
      </c>
      <c r="D27" s="92" t="s">
        <v>77</v>
      </c>
      <c r="E27" s="92" t="s">
        <v>78</v>
      </c>
      <c r="F27" s="92" t="s">
        <v>79</v>
      </c>
      <c r="G27" s="93" t="s">
        <v>8</v>
      </c>
      <c r="H27" s="13"/>
      <c r="J27" s="13" t="s">
        <v>89</v>
      </c>
    </row>
    <row r="28" spans="1:10" x14ac:dyDescent="0.2">
      <c r="A28" s="80"/>
      <c r="B28" s="145"/>
      <c r="C28" s="145"/>
      <c r="D28" s="145"/>
      <c r="E28" s="145"/>
      <c r="F28" s="145"/>
      <c r="G28" s="146"/>
    </row>
    <row r="29" spans="1:10" x14ac:dyDescent="0.2">
      <c r="A29" s="79" t="s">
        <v>92</v>
      </c>
      <c r="B29" s="203">
        <f>'130%Baseline'!B24</f>
        <v>688603</v>
      </c>
      <c r="C29" s="95">
        <f>B29/B$32</f>
        <v>0.1817389805717495</v>
      </c>
      <c r="D29" s="203">
        <f>'130%Baseline'!C24</f>
        <v>1598427576</v>
      </c>
      <c r="E29" s="203">
        <f>'130%Baseline'!D24</f>
        <v>0</v>
      </c>
      <c r="F29" s="203">
        <f>'130%Baseline'!E24</f>
        <v>0</v>
      </c>
      <c r="G29" s="97">
        <f>SUM(D29:F29)</f>
        <v>1598427576</v>
      </c>
      <c r="H29" s="4"/>
      <c r="J29" s="6">
        <f>F29/G29</f>
        <v>0</v>
      </c>
    </row>
    <row r="30" spans="1:10" x14ac:dyDescent="0.2">
      <c r="A30" s="79" t="s">
        <v>91</v>
      </c>
      <c r="B30" s="203">
        <f>'130%Baseline'!B40</f>
        <v>433323</v>
      </c>
      <c r="C30" s="95">
        <f>B30/B$32</f>
        <v>0.11436441647551958</v>
      </c>
      <c r="D30" s="203">
        <f>'130%Baseline'!C40</f>
        <v>1608506525</v>
      </c>
      <c r="E30" s="203">
        <f>'130%Baseline'!D40</f>
        <v>63519513</v>
      </c>
      <c r="F30" s="203">
        <f>'130%Baseline'!E40</f>
        <v>0</v>
      </c>
      <c r="G30" s="97">
        <f>SUM(D30:F30)</f>
        <v>1672026038</v>
      </c>
      <c r="H30" s="4"/>
      <c r="J30" s="6"/>
    </row>
    <row r="31" spans="1:10" x14ac:dyDescent="0.2">
      <c r="A31" s="80" t="s">
        <v>93</v>
      </c>
      <c r="B31" s="204">
        <f>'130%Baseline'!B59</f>
        <v>2667041</v>
      </c>
      <c r="C31" s="95">
        <f>B31/B$32</f>
        <v>0.70389660295273093</v>
      </c>
      <c r="D31" s="204">
        <f>'130%Baseline'!C59</f>
        <v>11506879179</v>
      </c>
      <c r="E31" s="204">
        <f>'130%Baseline'!D59</f>
        <v>2781363979</v>
      </c>
      <c r="F31" s="204">
        <f>'130%Baseline'!E59</f>
        <v>8855015465</v>
      </c>
      <c r="G31" s="150">
        <f>SUM(D31:F31)</f>
        <v>23143258623</v>
      </c>
      <c r="H31" s="14"/>
      <c r="J31" s="6">
        <f>F31/G31</f>
        <v>0.38261748741812002</v>
      </c>
    </row>
    <row r="32" spans="1:10" x14ac:dyDescent="0.2">
      <c r="A32" s="81" t="s">
        <v>16</v>
      </c>
      <c r="B32" s="103">
        <f t="shared" ref="B32:G32" si="2">SUM(B29:B31)</f>
        <v>3788967</v>
      </c>
      <c r="C32" s="205">
        <f t="shared" si="2"/>
        <v>1</v>
      </c>
      <c r="D32" s="103">
        <f t="shared" si="2"/>
        <v>14713813280</v>
      </c>
      <c r="E32" s="103">
        <f t="shared" si="2"/>
        <v>2844883492</v>
      </c>
      <c r="F32" s="103">
        <f t="shared" si="2"/>
        <v>8855015465</v>
      </c>
      <c r="G32" s="104">
        <f t="shared" si="2"/>
        <v>26413712237</v>
      </c>
      <c r="H32" s="4"/>
      <c r="J32" s="6">
        <f>F32/G32</f>
        <v>0.33524312620457808</v>
      </c>
    </row>
    <row r="33" spans="1:10" x14ac:dyDescent="0.2">
      <c r="A33" s="145"/>
      <c r="B33" s="96"/>
      <c r="C33" s="246"/>
      <c r="D33" s="96"/>
      <c r="E33" s="96"/>
      <c r="F33" s="96"/>
      <c r="G33" s="96"/>
      <c r="H33" s="4"/>
      <c r="J33" s="6"/>
    </row>
    <row r="34" spans="1:10" x14ac:dyDescent="0.2">
      <c r="G34" s="6"/>
      <c r="H34" s="6"/>
      <c r="J34" s="6" t="e">
        <f>F34/G34</f>
        <v>#DIV/0!</v>
      </c>
    </row>
    <row r="35" spans="1:10" x14ac:dyDescent="0.2">
      <c r="A35" s="87" t="s">
        <v>64</v>
      </c>
      <c r="B35" s="120"/>
      <c r="C35" s="120"/>
      <c r="D35" s="89" t="s">
        <v>99</v>
      </c>
      <c r="E35" s="89" t="s">
        <v>102</v>
      </c>
      <c r="F35" s="89" t="s">
        <v>103</v>
      </c>
      <c r="G35" s="144"/>
      <c r="J35" s="6"/>
    </row>
    <row r="36" spans="1:10" x14ac:dyDescent="0.2">
      <c r="A36" s="80" t="s">
        <v>57</v>
      </c>
      <c r="B36" s="113" t="s">
        <v>38</v>
      </c>
      <c r="C36" s="145"/>
      <c r="D36" s="92" t="s">
        <v>77</v>
      </c>
      <c r="E36" s="92" t="s">
        <v>78</v>
      </c>
      <c r="F36" s="92" t="s">
        <v>79</v>
      </c>
      <c r="G36" s="93" t="s">
        <v>8</v>
      </c>
      <c r="H36" s="13"/>
      <c r="J36" s="6"/>
    </row>
    <row r="37" spans="1:10" x14ac:dyDescent="0.2">
      <c r="A37" s="79" t="s">
        <v>90</v>
      </c>
      <c r="B37" s="96">
        <v>688603</v>
      </c>
      <c r="C37" s="95">
        <f>B37/B$40</f>
        <v>0.1817389805717495</v>
      </c>
      <c r="D37" s="96">
        <v>1598427576</v>
      </c>
      <c r="E37" s="96">
        <v>0</v>
      </c>
      <c r="F37" s="96">
        <v>0</v>
      </c>
      <c r="G37" s="97">
        <f>SUM(D37:F37)</f>
        <v>1598427576</v>
      </c>
      <c r="H37" s="4"/>
      <c r="J37" s="6">
        <f>F37/G37</f>
        <v>0</v>
      </c>
    </row>
    <row r="38" spans="1:10" x14ac:dyDescent="0.2">
      <c r="A38" s="79" t="s">
        <v>94</v>
      </c>
      <c r="B38" s="96">
        <v>1377110</v>
      </c>
      <c r="C38" s="95">
        <f>B38/B$40</f>
        <v>0.36345262442243492</v>
      </c>
      <c r="D38" s="96">
        <v>5547305699</v>
      </c>
      <c r="E38" s="96">
        <v>1181420517</v>
      </c>
      <c r="F38" s="96">
        <v>0</v>
      </c>
      <c r="G38" s="97">
        <f>SUM(D38:F38)</f>
        <v>6728726216</v>
      </c>
      <c r="H38" s="4"/>
      <c r="J38" s="6"/>
    </row>
    <row r="39" spans="1:10" x14ac:dyDescent="0.2">
      <c r="A39" s="80" t="s">
        <v>95</v>
      </c>
      <c r="B39" s="100">
        <v>1723254</v>
      </c>
      <c r="C39" s="99">
        <f>B39/B$40</f>
        <v>0.45480839500581555</v>
      </c>
      <c r="D39" s="100">
        <v>7568080005</v>
      </c>
      <c r="E39" s="100">
        <v>5888092895</v>
      </c>
      <c r="F39" s="100">
        <v>4630385545</v>
      </c>
      <c r="G39" s="150">
        <f>SUM(D39:F39)</f>
        <v>18086558445</v>
      </c>
      <c r="H39" s="4"/>
      <c r="J39" s="6">
        <f>F39/G39</f>
        <v>0.25601252770562677</v>
      </c>
    </row>
    <row r="40" spans="1:10" x14ac:dyDescent="0.2">
      <c r="A40" s="81" t="s">
        <v>16</v>
      </c>
      <c r="B40" s="103">
        <f t="shared" ref="B40:G40" si="3">SUM(B37:B39)</f>
        <v>3788967</v>
      </c>
      <c r="C40" s="205">
        <f t="shared" si="3"/>
        <v>1</v>
      </c>
      <c r="D40" s="103">
        <f t="shared" si="3"/>
        <v>14713813280</v>
      </c>
      <c r="E40" s="103">
        <f t="shared" si="3"/>
        <v>7069513412</v>
      </c>
      <c r="F40" s="103">
        <f t="shared" si="3"/>
        <v>4630385545</v>
      </c>
      <c r="G40" s="104">
        <f t="shared" si="3"/>
        <v>26413712237</v>
      </c>
      <c r="H40" s="4"/>
      <c r="J40" s="6">
        <f>F40/G40</f>
        <v>0.17530233930972464</v>
      </c>
    </row>
    <row r="41" spans="1:10" x14ac:dyDescent="0.2">
      <c r="J41" s="6"/>
    </row>
    <row r="42" spans="1:10" x14ac:dyDescent="0.2">
      <c r="F42" s="4"/>
      <c r="G42" s="4"/>
    </row>
    <row r="43" spans="1:10" x14ac:dyDescent="0.2">
      <c r="A43" s="87" t="s">
        <v>127</v>
      </c>
      <c r="B43" s="201" t="s">
        <v>38</v>
      </c>
      <c r="C43" s="120" t="s">
        <v>50</v>
      </c>
      <c r="D43" s="89" t="s">
        <v>129</v>
      </c>
      <c r="E43" s="89" t="s">
        <v>104</v>
      </c>
      <c r="F43" s="89" t="s">
        <v>103</v>
      </c>
      <c r="G43" s="144"/>
    </row>
    <row r="44" spans="1:10" x14ac:dyDescent="0.2">
      <c r="A44" s="80" t="s">
        <v>57</v>
      </c>
      <c r="B44" s="202" t="s">
        <v>23</v>
      </c>
      <c r="C44" s="202" t="s">
        <v>97</v>
      </c>
      <c r="D44" s="92" t="s">
        <v>77</v>
      </c>
      <c r="E44" s="92" t="s">
        <v>78</v>
      </c>
      <c r="F44" s="92" t="s">
        <v>79</v>
      </c>
      <c r="G44" s="93" t="s">
        <v>8</v>
      </c>
    </row>
    <row r="45" spans="1:10" x14ac:dyDescent="0.2">
      <c r="A45" s="80"/>
      <c r="B45" s="145"/>
      <c r="C45" s="145"/>
      <c r="D45" s="145"/>
      <c r="E45" s="145"/>
      <c r="F45" s="145"/>
      <c r="G45" s="146"/>
    </row>
    <row r="46" spans="1:10" x14ac:dyDescent="0.2">
      <c r="A46" s="79" t="s">
        <v>128</v>
      </c>
      <c r="B46" s="203">
        <f>'130%-200%'!B24</f>
        <v>1114922</v>
      </c>
      <c r="C46" s="95">
        <f>B46/B$32</f>
        <v>0.2942548721063023</v>
      </c>
      <c r="D46" s="203">
        <f>'130%-200%'!C24</f>
        <v>3254925249</v>
      </c>
      <c r="E46" s="203">
        <v>0</v>
      </c>
      <c r="F46" s="203">
        <f>'130%Baseline'!E40</f>
        <v>0</v>
      </c>
      <c r="G46" s="97">
        <f>SUM(D46:F46)</f>
        <v>3254925249</v>
      </c>
    </row>
    <row r="47" spans="1:10" x14ac:dyDescent="0.2">
      <c r="A47" s="85" t="s">
        <v>96</v>
      </c>
      <c r="B47" s="203">
        <f>'130%-200%'!B40</f>
        <v>943787</v>
      </c>
      <c r="C47" s="95">
        <f>B47/B$32</f>
        <v>0.24908820794691536</v>
      </c>
      <c r="D47" s="203">
        <f>'130%-200%'!C40</f>
        <v>4651632690</v>
      </c>
      <c r="E47" s="203">
        <f>'130%-200%'!D40</f>
        <v>405067488</v>
      </c>
      <c r="F47" s="203">
        <v>0</v>
      </c>
      <c r="G47" s="97">
        <f>SUM(D47:F47)</f>
        <v>5056700178</v>
      </c>
    </row>
    <row r="48" spans="1:10" x14ac:dyDescent="0.2">
      <c r="A48" s="84" t="s">
        <v>95</v>
      </c>
      <c r="B48" s="204">
        <f>'130%-200%'!B59</f>
        <v>1723254</v>
      </c>
      <c r="C48" s="99">
        <f>B48/B$32</f>
        <v>0.45480839500581555</v>
      </c>
      <c r="D48" s="204">
        <f>'130%-200%'!C59</f>
        <v>9636610211</v>
      </c>
      <c r="E48" s="204">
        <f>'130%-200%'!D59</f>
        <v>3819562689</v>
      </c>
      <c r="F48" s="204">
        <f>'130%-200%'!E59</f>
        <v>4630385545</v>
      </c>
      <c r="G48" s="150">
        <f>SUM(D48:F48)</f>
        <v>18086558445</v>
      </c>
    </row>
    <row r="49" spans="1:10" x14ac:dyDescent="0.2">
      <c r="A49" s="81" t="s">
        <v>16</v>
      </c>
      <c r="B49" s="103">
        <f t="shared" ref="B49:G49" si="4">SUM(B46:B48)</f>
        <v>3781963</v>
      </c>
      <c r="C49" s="205">
        <f t="shared" si="4"/>
        <v>0.99815147505903323</v>
      </c>
      <c r="D49" s="103">
        <f t="shared" si="4"/>
        <v>17543168150</v>
      </c>
      <c r="E49" s="103">
        <f t="shared" si="4"/>
        <v>4224630177</v>
      </c>
      <c r="F49" s="103">
        <f t="shared" si="4"/>
        <v>4630385545</v>
      </c>
      <c r="G49" s="104">
        <f t="shared" si="4"/>
        <v>26398183872</v>
      </c>
    </row>
    <row r="50" spans="1:10" x14ac:dyDescent="0.2">
      <c r="A50" s="145"/>
      <c r="B50" s="96"/>
      <c r="C50" s="246"/>
      <c r="D50" s="96"/>
      <c r="E50" s="96"/>
      <c r="F50" s="96"/>
      <c r="G50" s="96"/>
    </row>
    <row r="51" spans="1:10" x14ac:dyDescent="0.2">
      <c r="A51" s="145"/>
      <c r="B51" s="4"/>
      <c r="C51" s="82"/>
      <c r="D51" s="4"/>
      <c r="E51" s="4"/>
      <c r="F51" s="4"/>
      <c r="G51" s="4"/>
    </row>
    <row r="52" spans="1:10" x14ac:dyDescent="0.2">
      <c r="A52" s="87" t="s">
        <v>63</v>
      </c>
      <c r="B52" s="201" t="s">
        <v>39</v>
      </c>
      <c r="C52" s="120" t="s">
        <v>50</v>
      </c>
      <c r="D52" s="89" t="s">
        <v>99</v>
      </c>
      <c r="E52" s="89" t="s">
        <v>100</v>
      </c>
      <c r="F52" s="89" t="s">
        <v>101</v>
      </c>
      <c r="G52" s="144"/>
      <c r="I52" s="6"/>
      <c r="J52" s="6"/>
    </row>
    <row r="53" spans="1:10" x14ac:dyDescent="0.2">
      <c r="A53" s="80" t="s">
        <v>57</v>
      </c>
      <c r="B53" s="202" t="s">
        <v>23</v>
      </c>
      <c r="C53" s="202" t="s">
        <v>97</v>
      </c>
      <c r="D53" s="92" t="s">
        <v>77</v>
      </c>
      <c r="E53" s="92" t="s">
        <v>78</v>
      </c>
      <c r="F53" s="92" t="s">
        <v>79</v>
      </c>
      <c r="G53" s="93" t="s">
        <v>8</v>
      </c>
      <c r="H53" s="13"/>
      <c r="J53" s="6"/>
    </row>
    <row r="54" spans="1:10" x14ac:dyDescent="0.2">
      <c r="A54" s="79" t="s">
        <v>90</v>
      </c>
      <c r="B54" s="203">
        <f>'CARE130%'!B24</f>
        <v>78220</v>
      </c>
      <c r="C54" s="95">
        <f>B54/B$57</f>
        <v>0.27418772499903604</v>
      </c>
      <c r="D54" s="203">
        <f>'CARE130%'!C24</f>
        <v>252973794</v>
      </c>
      <c r="E54" s="203">
        <f>'CARE130%'!D24</f>
        <v>0</v>
      </c>
      <c r="F54" s="203">
        <f>'CARE130%'!E24</f>
        <v>0</v>
      </c>
      <c r="G54" s="97">
        <f>SUM(D54:F54)</f>
        <v>252973794</v>
      </c>
      <c r="H54" s="4"/>
      <c r="J54" s="6">
        <f>F54/G54</f>
        <v>0</v>
      </c>
    </row>
    <row r="55" spans="1:10" x14ac:dyDescent="0.2">
      <c r="A55" s="79" t="s">
        <v>91</v>
      </c>
      <c r="B55" s="203">
        <f>'CARE130%'!B40</f>
        <v>44069</v>
      </c>
      <c r="C55" s="95">
        <f>B55/B$57</f>
        <v>0.15447684547407975</v>
      </c>
      <c r="D55" s="203">
        <f>'CARE130%'!C40</f>
        <v>267026786</v>
      </c>
      <c r="E55" s="203">
        <f>'CARE130%'!D40</f>
        <v>12183365</v>
      </c>
      <c r="F55" s="203">
        <f>'CARE130%'!E40</f>
        <v>0</v>
      </c>
      <c r="G55" s="97">
        <f>SUM(D55:F55)</f>
        <v>279210151</v>
      </c>
      <c r="H55" s="4"/>
      <c r="J55" s="6"/>
    </row>
    <row r="56" spans="1:10" x14ac:dyDescent="0.2">
      <c r="A56" s="80" t="s">
        <v>93</v>
      </c>
      <c r="B56" s="204">
        <f>'CARE130%'!B59</f>
        <v>162990</v>
      </c>
      <c r="C56" s="99">
        <f>B56/B$57</f>
        <v>0.57133542952688421</v>
      </c>
      <c r="D56" s="204">
        <f>'CARE130%'!C59</f>
        <v>887694151</v>
      </c>
      <c r="E56" s="204">
        <f>'CARE130%'!D59</f>
        <v>187513132</v>
      </c>
      <c r="F56" s="204">
        <f>'CARE130%'!E59</f>
        <v>339000915</v>
      </c>
      <c r="G56" s="150">
        <f>SUM(D56:F56)</f>
        <v>1414208198</v>
      </c>
      <c r="H56" s="14"/>
      <c r="J56" s="6">
        <f>F56/G56</f>
        <v>0.23971075509208722</v>
      </c>
    </row>
    <row r="57" spans="1:10" x14ac:dyDescent="0.2">
      <c r="A57" s="81" t="s">
        <v>16</v>
      </c>
      <c r="B57" s="103">
        <f t="shared" ref="B57:G57" si="5">SUM(B54:B56)</f>
        <v>285279</v>
      </c>
      <c r="C57" s="205">
        <f t="shared" si="5"/>
        <v>1</v>
      </c>
      <c r="D57" s="103">
        <f t="shared" si="5"/>
        <v>1407694731</v>
      </c>
      <c r="E57" s="103">
        <f t="shared" si="5"/>
        <v>199696497</v>
      </c>
      <c r="F57" s="103">
        <f t="shared" si="5"/>
        <v>339000915</v>
      </c>
      <c r="G57" s="104">
        <f t="shared" si="5"/>
        <v>1946392143</v>
      </c>
      <c r="H57" s="4"/>
      <c r="J57" s="6">
        <f>F57/G57</f>
        <v>0.17416886736785395</v>
      </c>
    </row>
    <row r="58" spans="1:10" x14ac:dyDescent="0.2">
      <c r="B58" s="4"/>
      <c r="J58" s="6"/>
    </row>
    <row r="59" spans="1:10" x14ac:dyDescent="0.2">
      <c r="J59" s="6"/>
    </row>
    <row r="60" spans="1:10" x14ac:dyDescent="0.2">
      <c r="A60" s="87" t="s">
        <v>64</v>
      </c>
      <c r="B60" s="201" t="s">
        <v>39</v>
      </c>
      <c r="C60" s="120"/>
      <c r="D60" s="89" t="s">
        <v>99</v>
      </c>
      <c r="E60" s="89" t="s">
        <v>102</v>
      </c>
      <c r="F60" s="89" t="s">
        <v>103</v>
      </c>
      <c r="G60" s="144"/>
      <c r="J60" s="6"/>
    </row>
    <row r="61" spans="1:10" x14ac:dyDescent="0.2">
      <c r="A61" s="80" t="s">
        <v>57</v>
      </c>
      <c r="B61" s="202" t="s">
        <v>23</v>
      </c>
      <c r="C61" s="145"/>
      <c r="D61" s="92" t="s">
        <v>77</v>
      </c>
      <c r="E61" s="92" t="s">
        <v>78</v>
      </c>
      <c r="F61" s="92" t="s">
        <v>79</v>
      </c>
      <c r="G61" s="93" t="s">
        <v>8</v>
      </c>
      <c r="H61" s="13"/>
      <c r="J61" s="6"/>
    </row>
    <row r="62" spans="1:10" x14ac:dyDescent="0.2">
      <c r="A62" s="79" t="s">
        <v>90</v>
      </c>
      <c r="B62" s="96">
        <v>78220</v>
      </c>
      <c r="C62" s="95">
        <f>B62/B$65</f>
        <v>0.27418772499903604</v>
      </c>
      <c r="D62" s="96">
        <v>252973794</v>
      </c>
      <c r="E62" s="96">
        <v>0</v>
      </c>
      <c r="F62" s="96">
        <v>0</v>
      </c>
      <c r="G62" s="97">
        <f>SUM(D62:F62)</f>
        <v>252973794</v>
      </c>
      <c r="H62" s="4"/>
      <c r="J62" s="6">
        <f>F62/G62</f>
        <v>0</v>
      </c>
    </row>
    <row r="63" spans="1:10" x14ac:dyDescent="0.2">
      <c r="A63" s="79" t="s">
        <v>94</v>
      </c>
      <c r="B63" s="96">
        <v>121504</v>
      </c>
      <c r="C63" s="95">
        <f>B63/B$65</f>
        <v>0.42591287827004443</v>
      </c>
      <c r="D63" s="96">
        <v>732015874</v>
      </c>
      <c r="E63" s="96">
        <v>134575515</v>
      </c>
      <c r="F63" s="96">
        <v>0</v>
      </c>
      <c r="G63" s="97">
        <f>SUM(D63:F63)</f>
        <v>866591389</v>
      </c>
      <c r="H63" s="4"/>
      <c r="J63" s="6">
        <f>F63/G63</f>
        <v>0</v>
      </c>
    </row>
    <row r="64" spans="1:10" x14ac:dyDescent="0.2">
      <c r="A64" s="80" t="s">
        <v>95</v>
      </c>
      <c r="B64" s="100">
        <v>85555</v>
      </c>
      <c r="C64" s="99">
        <f>B64/B$65</f>
        <v>0.29989939673091953</v>
      </c>
      <c r="D64" s="100">
        <v>422705063</v>
      </c>
      <c r="E64" s="100">
        <v>277804099</v>
      </c>
      <c r="F64" s="100">
        <v>126317798</v>
      </c>
      <c r="G64" s="150">
        <f>SUM(D64:F64)</f>
        <v>826826960</v>
      </c>
      <c r="H64" s="4"/>
      <c r="J64" s="6">
        <f>F64/G64</f>
        <v>0.15277416449990938</v>
      </c>
    </row>
    <row r="65" spans="1:10" x14ac:dyDescent="0.2">
      <c r="A65" s="81" t="s">
        <v>16</v>
      </c>
      <c r="B65" s="103">
        <f t="shared" ref="B65:G65" si="6">SUM(B62:B64)</f>
        <v>285279</v>
      </c>
      <c r="C65" s="205">
        <f t="shared" si="6"/>
        <v>1</v>
      </c>
      <c r="D65" s="103">
        <f t="shared" si="6"/>
        <v>1407694731</v>
      </c>
      <c r="E65" s="103">
        <f t="shared" si="6"/>
        <v>412379614</v>
      </c>
      <c r="F65" s="103">
        <f t="shared" si="6"/>
        <v>126317798</v>
      </c>
      <c r="G65" s="104">
        <f t="shared" si="6"/>
        <v>1946392143</v>
      </c>
      <c r="H65" s="4"/>
      <c r="J65" s="6">
        <f>F65/G65</f>
        <v>6.4898431929192188E-2</v>
      </c>
    </row>
  </sheetData>
  <mergeCells count="4">
    <mergeCell ref="A2:I2"/>
    <mergeCell ref="A14:I14"/>
    <mergeCell ref="A3:I3"/>
    <mergeCell ref="A15:I15"/>
  </mergeCells>
  <phoneticPr fontId="0" type="noConversion"/>
  <printOptions horizontalCentered="1" headings="1"/>
  <pageMargins left="0.75" right="0.75" top="1" bottom="1" header="0.5" footer="0.5"/>
  <pageSetup scale="84" orientation="portrait" r:id="rId1"/>
  <headerFooter alignWithMargins="0">
    <oddHeader>&amp;CPacific Gas and Electric Company
Rate Design Workpapers
3 Cent Surcharge</oddHeader>
    <oddFooter>&amp;L&amp;D &amp;T&amp;R&amp;F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42"/>
  <sheetViews>
    <sheetView topLeftCell="A24" workbookViewId="0">
      <selection activeCell="J14" sqref="J14"/>
    </sheetView>
  </sheetViews>
  <sheetFormatPr defaultRowHeight="12.75" x14ac:dyDescent="0.2"/>
  <cols>
    <col min="1" max="1" width="8.140625" style="3" customWidth="1"/>
    <col min="2" max="2" width="9.140625" style="3"/>
    <col min="3" max="3" width="12.5703125" customWidth="1"/>
    <col min="4" max="4" width="13" style="61" customWidth="1"/>
    <col min="5" max="5" width="12.85546875" style="61" customWidth="1"/>
    <col min="6" max="7" width="12.85546875" style="61" bestFit="1" customWidth="1"/>
    <col min="8" max="8" width="13.28515625" style="61" customWidth="1"/>
    <col min="9" max="9" width="9" bestFit="1" customWidth="1"/>
    <col min="10" max="10" width="12.7109375" customWidth="1"/>
    <col min="11" max="11" width="11.42578125" customWidth="1"/>
    <col min="12" max="12" width="6.7109375" customWidth="1"/>
    <col min="13" max="13" width="9" bestFit="1" customWidth="1"/>
    <col min="14" max="14" width="7.140625" customWidth="1"/>
    <col min="15" max="16" width="12" bestFit="1" customWidth="1"/>
    <col min="17" max="17" width="4" bestFit="1" customWidth="1"/>
    <col min="18" max="18" width="7.7109375" bestFit="1" customWidth="1"/>
    <col min="19" max="19" width="4.140625" bestFit="1" customWidth="1"/>
  </cols>
  <sheetData>
    <row r="2" spans="1:14" s="241" customFormat="1" ht="14.25" x14ac:dyDescent="0.2">
      <c r="A2" s="287" t="s">
        <v>185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</row>
    <row r="3" spans="1:14" s="3" customFormat="1" ht="13.5" customHeight="1" x14ac:dyDescent="0.2">
      <c r="A3" s="283" t="s">
        <v>170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</row>
    <row r="5" spans="1:14" x14ac:dyDescent="0.2">
      <c r="A5" s="215" t="s">
        <v>36</v>
      </c>
      <c r="B5" s="120"/>
      <c r="C5" s="213" t="s">
        <v>181</v>
      </c>
      <c r="D5" s="214" t="s">
        <v>182</v>
      </c>
      <c r="E5" s="214" t="s">
        <v>183</v>
      </c>
      <c r="F5" s="213" t="s">
        <v>184</v>
      </c>
      <c r="G5" s="216" t="s">
        <v>147</v>
      </c>
      <c r="H5" s="217"/>
      <c r="I5" s="89" t="s">
        <v>50</v>
      </c>
      <c r="J5" s="160" t="s">
        <v>147</v>
      </c>
      <c r="K5" s="218"/>
      <c r="L5" s="213" t="s">
        <v>50</v>
      </c>
      <c r="M5" s="89" t="s">
        <v>16</v>
      </c>
      <c r="N5" s="90" t="s">
        <v>50</v>
      </c>
    </row>
    <row r="6" spans="1:14" ht="15" x14ac:dyDescent="0.35">
      <c r="A6" s="219" t="s">
        <v>176</v>
      </c>
      <c r="B6" s="220" t="s">
        <v>6</v>
      </c>
      <c r="C6" s="162" t="s">
        <v>177</v>
      </c>
      <c r="D6" s="162" t="s">
        <v>178</v>
      </c>
      <c r="E6" s="162" t="s">
        <v>179</v>
      </c>
      <c r="F6" s="162" t="s">
        <v>180</v>
      </c>
      <c r="G6" s="211" t="s">
        <v>146</v>
      </c>
      <c r="H6" s="211" t="s">
        <v>141</v>
      </c>
      <c r="I6" s="179" t="s">
        <v>81</v>
      </c>
      <c r="J6" s="167" t="s">
        <v>146</v>
      </c>
      <c r="K6" s="167" t="s">
        <v>141</v>
      </c>
      <c r="L6" s="208" t="s">
        <v>144</v>
      </c>
      <c r="M6" s="92" t="s">
        <v>23</v>
      </c>
      <c r="N6" s="93" t="s">
        <v>97</v>
      </c>
    </row>
    <row r="7" spans="1:14" x14ac:dyDescent="0.2">
      <c r="A7" s="149"/>
      <c r="B7" s="96"/>
      <c r="C7" s="221"/>
      <c r="D7" s="124"/>
      <c r="E7" s="124"/>
      <c r="F7" s="124"/>
      <c r="G7" s="124"/>
      <c r="H7" s="124"/>
      <c r="I7" s="221"/>
      <c r="J7" s="221"/>
      <c r="K7" s="221"/>
      <c r="L7" s="221"/>
      <c r="M7" s="221"/>
      <c r="N7" s="222"/>
    </row>
    <row r="8" spans="1:14" s="3" customFormat="1" ht="11.25" x14ac:dyDescent="0.2">
      <c r="A8" s="149">
        <v>1</v>
      </c>
      <c r="B8" s="124">
        <v>233028</v>
      </c>
      <c r="C8" s="155">
        <f>C26*Prices!E$6</f>
        <v>113769374.6189</v>
      </c>
      <c r="D8" s="155">
        <f>D26*Prices!E$7</f>
        <v>28631619.569938</v>
      </c>
      <c r="E8" s="155">
        <f>E26*Prices!E$8</f>
        <v>46226288.257434003</v>
      </c>
      <c r="F8" s="155">
        <f>F26*Prices!E$9</f>
        <v>8397626.3845576458</v>
      </c>
      <c r="G8" s="155">
        <f>SUM(C8:F8)</f>
        <v>197024908.83082965</v>
      </c>
      <c r="H8" s="155">
        <f>C26*Prices!E$6+(G26-C26)*Prices!E$7</f>
        <v>176985477.155597</v>
      </c>
      <c r="I8" s="95">
        <f>(G8-H8)/H8</f>
        <v>0.11322641833270285</v>
      </c>
      <c r="J8" s="145"/>
      <c r="K8" s="145"/>
      <c r="L8" s="145"/>
      <c r="M8" s="145"/>
      <c r="N8" s="146"/>
    </row>
    <row r="9" spans="1:14" s="3" customFormat="1" ht="11.25" x14ac:dyDescent="0.2">
      <c r="A9" s="149">
        <v>2</v>
      </c>
      <c r="B9" s="124">
        <v>168234</v>
      </c>
      <c r="C9" s="155">
        <f>C27*Prices!E$6</f>
        <v>85393934.539903</v>
      </c>
      <c r="D9" s="155">
        <f>D27*Prices!E$7</f>
        <v>23176195.193753</v>
      </c>
      <c r="E9" s="155">
        <f>E27*Prices!E$8</f>
        <v>44649097.379349001</v>
      </c>
      <c r="F9" s="155">
        <f>F27*Prices!E$9</f>
        <v>13620079.767842818</v>
      </c>
      <c r="G9" s="155">
        <f t="shared" ref="G9:G19" si="0">SUM(C9:F9)</f>
        <v>166839306.88084784</v>
      </c>
      <c r="H9" s="155">
        <f>C27*Prices!E$6+(G27-C27)*Prices!E$7</f>
        <v>144451566.574981</v>
      </c>
      <c r="I9" s="95">
        <f t="shared" ref="I9:I20" si="1">(G9-H9)/H9</f>
        <v>0.15498440644633613</v>
      </c>
      <c r="J9" s="145"/>
      <c r="K9" s="145"/>
      <c r="L9" s="145"/>
      <c r="M9" s="145"/>
      <c r="N9" s="146"/>
    </row>
    <row r="10" spans="1:14" s="3" customFormat="1" ht="11.25" x14ac:dyDescent="0.2">
      <c r="A10" s="149">
        <v>3</v>
      </c>
      <c r="B10" s="124">
        <v>145948</v>
      </c>
      <c r="C10" s="155">
        <f>C28*Prices!E$6</f>
        <v>75936528.295265004</v>
      </c>
      <c r="D10" s="155">
        <f>D28*Prices!E$7</f>
        <v>21793686.292445</v>
      </c>
      <c r="E10" s="155">
        <f>E28*Prices!E$8</f>
        <v>46857380.350791</v>
      </c>
      <c r="F10" s="155">
        <f>F28*Prices!E$9</f>
        <v>22058475.579585925</v>
      </c>
      <c r="G10" s="155">
        <f t="shared" si="0"/>
        <v>166646070.51808691</v>
      </c>
      <c r="H10" s="155">
        <f>C28*Prices!E$6+(G28-C28)*Prices!E$7</f>
        <v>138877485.14481601</v>
      </c>
      <c r="I10" s="95">
        <f t="shared" si="1"/>
        <v>0.19995023199271578</v>
      </c>
      <c r="J10" s="145"/>
      <c r="K10" s="145"/>
      <c r="L10" s="145"/>
      <c r="M10" s="145"/>
      <c r="N10" s="146"/>
    </row>
    <row r="11" spans="1:14" s="3" customFormat="1" ht="11.25" x14ac:dyDescent="0.2">
      <c r="A11" s="149">
        <v>4</v>
      </c>
      <c r="B11" s="124">
        <v>135662</v>
      </c>
      <c r="C11" s="155">
        <f>C29*Prices!E$6</f>
        <v>71071413.101699993</v>
      </c>
      <c r="D11" s="155">
        <f>D29*Prices!E$7</f>
        <v>21474866.727939002</v>
      </c>
      <c r="E11" s="155">
        <f>E29*Prices!E$8</f>
        <v>50319327.351645</v>
      </c>
      <c r="F11" s="155">
        <f>F29*Prices!E$9</f>
        <v>33349855.389777467</v>
      </c>
      <c r="G11" s="155">
        <f t="shared" si="0"/>
        <v>176215462.57106143</v>
      </c>
      <c r="H11" s="155">
        <f>C29*Prices!E$6+(G29-C29)*Prices!E$7</f>
        <v>141077678.33947</v>
      </c>
      <c r="I11" s="95">
        <f t="shared" si="1"/>
        <v>0.24906692997201643</v>
      </c>
      <c r="J11" s="145"/>
      <c r="K11" s="145"/>
      <c r="L11" s="145"/>
      <c r="M11" s="145"/>
      <c r="N11" s="146"/>
    </row>
    <row r="12" spans="1:14" s="3" customFormat="1" ht="11.25" x14ac:dyDescent="0.2">
      <c r="A12" s="149">
        <v>5</v>
      </c>
      <c r="B12" s="124">
        <v>116748</v>
      </c>
      <c r="C12" s="155">
        <f>C30*Prices!E$6</f>
        <v>63120219.371758997</v>
      </c>
      <c r="D12" s="155">
        <f>D30*Prices!E$7</f>
        <v>19828919.814389002</v>
      </c>
      <c r="E12" s="155">
        <f>E30*Prices!E$8</f>
        <v>49607348.332839005</v>
      </c>
      <c r="F12" s="155">
        <f>F30*Prices!E$9</f>
        <v>40278477.205459572</v>
      </c>
      <c r="G12" s="155">
        <f t="shared" si="0"/>
        <v>172834964.72444656</v>
      </c>
      <c r="H12" s="155">
        <f>C30*Prices!E$6+(G30-C30)*Prices!E$7</f>
        <v>134121261.20749199</v>
      </c>
      <c r="I12" s="95">
        <f t="shared" si="1"/>
        <v>0.28864702858007446</v>
      </c>
      <c r="J12" s="285" t="s">
        <v>190</v>
      </c>
      <c r="K12" s="285"/>
      <c r="L12" s="285"/>
      <c r="M12" s="285"/>
      <c r="N12" s="286"/>
    </row>
    <row r="13" spans="1:14" s="3" customFormat="1" ht="11.25" x14ac:dyDescent="0.2">
      <c r="A13" s="149">
        <v>6</v>
      </c>
      <c r="B13" s="124">
        <v>95884</v>
      </c>
      <c r="C13" s="155">
        <f>C31*Prices!E$6</f>
        <v>52178425.588266999</v>
      </c>
      <c r="D13" s="155">
        <f>D31*Prices!E$7</f>
        <v>17024379.776519999</v>
      </c>
      <c r="E13" s="155">
        <f>E31*Prices!E$8</f>
        <v>45828652.917621002</v>
      </c>
      <c r="F13" s="155">
        <f>F31*Prices!E$9</f>
        <v>40975460.904967159</v>
      </c>
      <c r="G13" s="155">
        <f t="shared" si="0"/>
        <v>156006919.18737516</v>
      </c>
      <c r="H13" s="155">
        <f>C31*Prices!E$6+(G31-C31)*Prices!E$7</f>
        <v>118169891.71631899</v>
      </c>
      <c r="I13" s="95">
        <f t="shared" si="1"/>
        <v>0.32019177576880997</v>
      </c>
      <c r="J13" s="138">
        <f>SUM(G8:G13)</f>
        <v>1035567632.7126476</v>
      </c>
      <c r="K13" s="138">
        <f>SUM(H8:H13)</f>
        <v>853683360.13867497</v>
      </c>
      <c r="L13" s="223">
        <f>(J13-K13)/K13</f>
        <v>0.21305823806197505</v>
      </c>
      <c r="M13" s="224">
        <f>SUM(B8:B13)</f>
        <v>895504</v>
      </c>
      <c r="N13" s="148">
        <f>M13/M20</f>
        <v>0.51965873864212708</v>
      </c>
    </row>
    <row r="14" spans="1:14" s="3" customFormat="1" ht="11.25" x14ac:dyDescent="0.2">
      <c r="A14" s="149">
        <v>7</v>
      </c>
      <c r="B14" s="124">
        <v>76416</v>
      </c>
      <c r="C14" s="155">
        <f>C32*Prices!E$6</f>
        <v>39213244.298602</v>
      </c>
      <c r="D14" s="155">
        <f>D32*Prices!E$7</f>
        <v>13036361.960156001</v>
      </c>
      <c r="E14" s="155">
        <f>E32*Prices!E$8</f>
        <v>38742425.148918003</v>
      </c>
      <c r="F14" s="155">
        <f>F32*Prices!E$9</f>
        <v>37559589.800046124</v>
      </c>
      <c r="G14" s="155">
        <f t="shared" si="0"/>
        <v>128551621.20772213</v>
      </c>
      <c r="H14" s="155">
        <f>C32*Prices!E$6+(G32-C32)*Prices!E$7</f>
        <v>94958045.049225003</v>
      </c>
      <c r="I14" s="95">
        <f t="shared" si="1"/>
        <v>0.35377282821147654</v>
      </c>
      <c r="J14" s="145"/>
      <c r="K14" s="145"/>
      <c r="L14" s="145"/>
      <c r="M14" s="145"/>
      <c r="N14" s="146"/>
    </row>
    <row r="15" spans="1:14" s="3" customFormat="1" ht="11.25" x14ac:dyDescent="0.2">
      <c r="A15" s="149">
        <v>8</v>
      </c>
      <c r="B15" s="124">
        <v>69422</v>
      </c>
      <c r="C15" s="155">
        <f>C33*Prices!E$6</f>
        <v>35186984.372639</v>
      </c>
      <c r="D15" s="155">
        <f>D33*Prices!E$7</f>
        <v>11786228.783753</v>
      </c>
      <c r="E15" s="155">
        <f>E33*Prices!E$8</f>
        <v>36870308.747133002</v>
      </c>
      <c r="F15" s="155">
        <f>F33*Prices!E$9</f>
        <v>39614950.921378516</v>
      </c>
      <c r="G15" s="155">
        <f t="shared" si="0"/>
        <v>123458472.82490352</v>
      </c>
      <c r="H15" s="155">
        <f>C33*Prices!E$6+(G33-C33)*Prices!E$7</f>
        <v>89358059.481159002</v>
      </c>
      <c r="I15" s="95">
        <f t="shared" si="1"/>
        <v>0.38161541937842253</v>
      </c>
      <c r="J15" s="145"/>
      <c r="K15" s="145"/>
      <c r="L15" s="145"/>
      <c r="M15" s="145"/>
      <c r="N15" s="146"/>
    </row>
    <row r="16" spans="1:14" s="3" customFormat="1" ht="11.25" x14ac:dyDescent="0.2">
      <c r="A16" s="149">
        <v>9</v>
      </c>
      <c r="B16" s="124">
        <v>70688</v>
      </c>
      <c r="C16" s="155">
        <f>C34*Prices!E$6</f>
        <v>35693951.941912003</v>
      </c>
      <c r="D16" s="155">
        <f>D34*Prices!E$7</f>
        <v>12028185.493397001</v>
      </c>
      <c r="E16" s="155">
        <f>E34*Prices!E$8</f>
        <v>39043322.266467005</v>
      </c>
      <c r="F16" s="155">
        <f>F34*Prices!E$9</f>
        <v>46925311.114935659</v>
      </c>
      <c r="G16" s="155">
        <f t="shared" si="0"/>
        <v>133690770.81671166</v>
      </c>
      <c r="H16" s="155">
        <f>C34*Prices!E$6+(G34-C34)*Prices!E$7</f>
        <v>94842124.792997003</v>
      </c>
      <c r="I16" s="95">
        <f t="shared" si="1"/>
        <v>0.4096138304419682</v>
      </c>
      <c r="J16" s="145"/>
      <c r="K16" s="145"/>
      <c r="L16" s="145"/>
      <c r="M16" s="145"/>
      <c r="N16" s="146"/>
    </row>
    <row r="17" spans="1:20" s="3" customFormat="1" ht="11.25" x14ac:dyDescent="0.2">
      <c r="A17" s="149">
        <v>10</v>
      </c>
      <c r="B17" s="124">
        <v>79232</v>
      </c>
      <c r="C17" s="155">
        <f>C35*Prices!E$6</f>
        <v>39925358.045364</v>
      </c>
      <c r="D17" s="155">
        <f>D35*Prices!E$7</f>
        <v>13512013.010265</v>
      </c>
      <c r="E17" s="155">
        <f>E35*Prices!E$8</f>
        <v>45206566.255176</v>
      </c>
      <c r="F17" s="155">
        <f>F35*Prices!E$9</f>
        <v>63875785.896227635</v>
      </c>
      <c r="G17" s="155">
        <f t="shared" si="0"/>
        <v>162519723.20703262</v>
      </c>
      <c r="H17" s="155">
        <f>C35*Prices!E$6+(G35-C35)*Prices!E$7</f>
        <v>112286275.62415501</v>
      </c>
      <c r="I17" s="95">
        <f t="shared" si="1"/>
        <v>0.44736943409735275</v>
      </c>
      <c r="J17" s="145"/>
      <c r="K17" s="145"/>
      <c r="L17" s="145"/>
      <c r="M17" s="145"/>
      <c r="N17" s="146"/>
    </row>
    <row r="18" spans="1:20" s="3" customFormat="1" ht="11.25" x14ac:dyDescent="0.2">
      <c r="A18" s="149">
        <v>11</v>
      </c>
      <c r="B18" s="124">
        <v>110285</v>
      </c>
      <c r="C18" s="155">
        <f>C36*Prices!E$6</f>
        <v>54794213.917453997</v>
      </c>
      <c r="D18" s="155">
        <f>D36*Prices!E$7</f>
        <v>18606734.074781999</v>
      </c>
      <c r="E18" s="155">
        <f>E36*Prices!E$8</f>
        <v>63851047.493085004</v>
      </c>
      <c r="F18" s="155">
        <f>F36*Prices!E$9</f>
        <v>117272420.10526086</v>
      </c>
      <c r="G18" s="155">
        <f t="shared" si="0"/>
        <v>254524415.59058183</v>
      </c>
      <c r="H18" s="155">
        <f>C36*Prices!E$6+(G36-C36)*Prices!E$7</f>
        <v>168684116.07977</v>
      </c>
      <c r="I18" s="95">
        <f t="shared" si="1"/>
        <v>0.50888193568989226</v>
      </c>
      <c r="J18" s="285" t="s">
        <v>191</v>
      </c>
      <c r="K18" s="285"/>
      <c r="L18" s="285"/>
      <c r="M18" s="285"/>
      <c r="N18" s="286"/>
      <c r="O18" s="138">
        <f>SUM(G14:G18)</f>
        <v>802745003.64695191</v>
      </c>
      <c r="P18" s="138">
        <f>SUM(H14:H18)</f>
        <v>560128621.02730596</v>
      </c>
      <c r="Q18" s="223">
        <f>(O18-P18)/P18</f>
        <v>0.43314405568969944</v>
      </c>
      <c r="R18" s="224">
        <f>SUM(B14:B18)</f>
        <v>406043</v>
      </c>
      <c r="S18" s="148">
        <f>R18/M20</f>
        <v>0.23562574060469321</v>
      </c>
      <c r="T18" s="3" t="s">
        <v>192</v>
      </c>
    </row>
    <row r="19" spans="1:20" s="3" customFormat="1" ht="13.5" x14ac:dyDescent="0.35">
      <c r="A19" s="91">
        <v>12</v>
      </c>
      <c r="B19" s="167">
        <v>421707</v>
      </c>
      <c r="C19" s="225">
        <f>C37*Prices!E$6</f>
        <v>198755464.55974001</v>
      </c>
      <c r="D19" s="225">
        <f>D37*Prices!E$7</f>
        <v>67780129.229797006</v>
      </c>
      <c r="E19" s="225">
        <f>E37*Prices!E$8</f>
        <v>237188988.396063</v>
      </c>
      <c r="F19" s="225">
        <f>F37*Prices!E$9</f>
        <v>873728857.35044694</v>
      </c>
      <c r="G19" s="225">
        <f t="shared" si="0"/>
        <v>1377453439.536047</v>
      </c>
      <c r="H19" s="225">
        <f>C37*Prices!E$6+(G37-C37)*Prices!E$7</f>
        <v>817461777.57868409</v>
      </c>
      <c r="I19" s="226">
        <f t="shared" si="1"/>
        <v>0.68503712016487694</v>
      </c>
      <c r="J19" s="138">
        <f>SUM(G14:G19)</f>
        <v>2180198443.1829987</v>
      </c>
      <c r="K19" s="138">
        <f>SUM(H14:H19)</f>
        <v>1377590398.6059899</v>
      </c>
      <c r="L19" s="223">
        <f>(J19-K19)/K19</f>
        <v>0.58261733341723576</v>
      </c>
      <c r="M19" s="227">
        <f>SUM(B14:B19)</f>
        <v>827750</v>
      </c>
      <c r="N19" s="148">
        <f>M19/M20</f>
        <v>0.48034126135787297</v>
      </c>
      <c r="O19" s="138">
        <f>G19</f>
        <v>1377453439.536047</v>
      </c>
      <c r="P19" s="138">
        <f>H19</f>
        <v>817461777.57868409</v>
      </c>
      <c r="Q19" s="223">
        <f>(O19-P19)/P19</f>
        <v>0.68503712016487694</v>
      </c>
      <c r="R19" s="227">
        <f>B19</f>
        <v>421707</v>
      </c>
      <c r="S19" s="148">
        <f>R19/M20</f>
        <v>0.24471552075317973</v>
      </c>
      <c r="T19" s="3" t="s">
        <v>27</v>
      </c>
    </row>
    <row r="20" spans="1:20" s="3" customFormat="1" ht="11.25" x14ac:dyDescent="0.2">
      <c r="A20" s="151" t="s">
        <v>25</v>
      </c>
      <c r="B20" s="103">
        <f t="shared" ref="B20:H20" si="2">SUM(B8:B19)</f>
        <v>1723254</v>
      </c>
      <c r="C20" s="156">
        <f t="shared" si="2"/>
        <v>865039112.65150499</v>
      </c>
      <c r="D20" s="156">
        <f t="shared" si="2"/>
        <v>268679319.92713398</v>
      </c>
      <c r="E20" s="156">
        <f t="shared" si="2"/>
        <v>744390752.89652109</v>
      </c>
      <c r="F20" s="156">
        <f t="shared" si="2"/>
        <v>1337656890.4204865</v>
      </c>
      <c r="G20" s="156">
        <f t="shared" si="2"/>
        <v>3215766075.8956461</v>
      </c>
      <c r="H20" s="156">
        <f t="shared" si="2"/>
        <v>2231273758.7446651</v>
      </c>
      <c r="I20" s="102">
        <f t="shared" si="1"/>
        <v>0.44122435146858235</v>
      </c>
      <c r="J20" s="187">
        <f>SUM(J13:J19)</f>
        <v>3215766075.8956461</v>
      </c>
      <c r="K20" s="187">
        <f>SUM(K13:K19)</f>
        <v>2231273758.7446651</v>
      </c>
      <c r="L20" s="228"/>
      <c r="M20" s="229">
        <f>SUM(M13:M19)</f>
        <v>1723254</v>
      </c>
      <c r="N20" s="230"/>
    </row>
    <row r="21" spans="1:20" s="3" customFormat="1" ht="11.25" x14ac:dyDescent="0.2">
      <c r="D21" s="61"/>
      <c r="E21" s="61"/>
      <c r="F21" s="61"/>
      <c r="G21" s="61"/>
      <c r="H21" s="61"/>
    </row>
    <row r="22" spans="1:20" s="3" customFormat="1" ht="11.25" x14ac:dyDescent="0.2">
      <c r="D22" s="61"/>
      <c r="E22" s="61"/>
      <c r="F22" s="61"/>
      <c r="G22" s="61"/>
      <c r="H22" s="61"/>
    </row>
    <row r="23" spans="1:20" x14ac:dyDescent="0.2">
      <c r="A23" s="215" t="s">
        <v>36</v>
      </c>
      <c r="B23" s="231"/>
      <c r="C23" s="213" t="s">
        <v>181</v>
      </c>
      <c r="D23" s="214" t="s">
        <v>182</v>
      </c>
      <c r="E23" s="214" t="s">
        <v>183</v>
      </c>
      <c r="F23" s="213" t="s">
        <v>184</v>
      </c>
      <c r="G23" s="212"/>
      <c r="H23" s="213" t="s">
        <v>171</v>
      </c>
      <c r="I23" s="232" t="s">
        <v>173</v>
      </c>
      <c r="O23" s="159" t="s">
        <v>124</v>
      </c>
      <c r="P23" s="160" t="s">
        <v>139</v>
      </c>
    </row>
    <row r="24" spans="1:20" ht="15" x14ac:dyDescent="0.35">
      <c r="A24" s="219" t="s">
        <v>176</v>
      </c>
      <c r="B24" s="220" t="s">
        <v>6</v>
      </c>
      <c r="C24" s="162" t="s">
        <v>7</v>
      </c>
      <c r="D24" s="162" t="s">
        <v>10</v>
      </c>
      <c r="E24" s="162" t="s">
        <v>12</v>
      </c>
      <c r="F24" s="162" t="s">
        <v>140</v>
      </c>
      <c r="G24" s="211" t="s">
        <v>8</v>
      </c>
      <c r="H24" s="122" t="s">
        <v>172</v>
      </c>
      <c r="I24" s="233" t="s">
        <v>174</v>
      </c>
      <c r="O24" s="161" t="s">
        <v>7</v>
      </c>
      <c r="P24" s="162" t="s">
        <v>10</v>
      </c>
    </row>
    <row r="25" spans="1:20" x14ac:dyDescent="0.2">
      <c r="A25" s="149"/>
      <c r="B25" s="96"/>
      <c r="C25" s="124"/>
      <c r="D25" s="124"/>
      <c r="E25" s="124"/>
      <c r="F25" s="124"/>
      <c r="G25" s="124"/>
      <c r="H25" s="124"/>
      <c r="I25" s="222"/>
      <c r="O25" s="163"/>
      <c r="P25" s="124"/>
    </row>
    <row r="26" spans="1:20" x14ac:dyDescent="0.2">
      <c r="A26" s="149">
        <v>1</v>
      </c>
      <c r="B26" s="124">
        <v>233028</v>
      </c>
      <c r="C26" s="124">
        <v>995348900</v>
      </c>
      <c r="D26" s="124">
        <f t="shared" ref="D26:D37" si="3">O26-C26</f>
        <v>220431442</v>
      </c>
      <c r="E26" s="124">
        <v>237192906</v>
      </c>
      <c r="F26" s="124">
        <v>29068925</v>
      </c>
      <c r="G26" s="124">
        <f>SUM(C26:F26)</f>
        <v>1482042173</v>
      </c>
      <c r="H26" s="95">
        <f>E26/G26</f>
        <v>0.16004463997125404</v>
      </c>
      <c r="I26" s="148">
        <f t="shared" ref="I26:I38" si="4">F26/G26</f>
        <v>1.9614101089416164E-2</v>
      </c>
      <c r="O26" s="163">
        <v>1215780342</v>
      </c>
      <c r="P26" s="124">
        <v>457624348</v>
      </c>
    </row>
    <row r="27" spans="1:20" x14ac:dyDescent="0.2">
      <c r="A27" s="149">
        <v>2</v>
      </c>
      <c r="B27" s="124">
        <v>168234</v>
      </c>
      <c r="C27" s="124">
        <v>747097003</v>
      </c>
      <c r="D27" s="124">
        <f t="shared" si="3"/>
        <v>178430777</v>
      </c>
      <c r="E27" s="124">
        <v>229100141</v>
      </c>
      <c r="F27" s="124">
        <v>47146784</v>
      </c>
      <c r="G27" s="124">
        <f t="shared" ref="G27:G37" si="5">SUM(C27:F27)</f>
        <v>1201774705</v>
      </c>
      <c r="H27" s="95">
        <f t="shared" ref="H27:H37" si="6">E27/G27</f>
        <v>0.19063485031497646</v>
      </c>
      <c r="I27" s="148">
        <f t="shared" si="4"/>
        <v>3.9230967172004173E-2</v>
      </c>
      <c r="O27" s="163">
        <v>925527780</v>
      </c>
      <c r="P27" s="124">
        <v>407530918</v>
      </c>
    </row>
    <row r="28" spans="1:20" x14ac:dyDescent="0.2">
      <c r="A28" s="149">
        <v>3</v>
      </c>
      <c r="B28" s="124">
        <v>145948</v>
      </c>
      <c r="C28" s="124">
        <v>664355765</v>
      </c>
      <c r="D28" s="124">
        <f t="shared" si="3"/>
        <v>167787005</v>
      </c>
      <c r="E28" s="124">
        <v>240431119</v>
      </c>
      <c r="F28" s="124">
        <v>76356835</v>
      </c>
      <c r="G28" s="124">
        <f t="shared" si="5"/>
        <v>1148930724</v>
      </c>
      <c r="H28" s="95">
        <f t="shared" si="6"/>
        <v>0.20926511405573658</v>
      </c>
      <c r="I28" s="148">
        <f t="shared" si="4"/>
        <v>6.6459041789886014E-2</v>
      </c>
      <c r="O28" s="163">
        <v>832142770</v>
      </c>
      <c r="P28" s="124">
        <v>408218124</v>
      </c>
    </row>
    <row r="29" spans="1:20" x14ac:dyDescent="0.2">
      <c r="A29" s="149">
        <v>4</v>
      </c>
      <c r="B29" s="124">
        <v>135662</v>
      </c>
      <c r="C29" s="124">
        <v>621791700</v>
      </c>
      <c r="D29" s="124">
        <f t="shared" si="3"/>
        <v>165332451</v>
      </c>
      <c r="E29" s="124">
        <v>258194805</v>
      </c>
      <c r="F29" s="124">
        <v>115442674</v>
      </c>
      <c r="G29" s="124">
        <f t="shared" si="5"/>
        <v>1160761630</v>
      </c>
      <c r="H29" s="95">
        <f t="shared" si="6"/>
        <v>0.22243568216499368</v>
      </c>
      <c r="I29" s="148">
        <f t="shared" si="4"/>
        <v>9.9454247122210612E-2</v>
      </c>
      <c r="O29" s="163">
        <v>787124151</v>
      </c>
      <c r="P29" s="124">
        <v>423527256</v>
      </c>
    </row>
    <row r="30" spans="1:20" x14ac:dyDescent="0.2">
      <c r="A30" s="149">
        <v>5</v>
      </c>
      <c r="B30" s="124">
        <v>116748</v>
      </c>
      <c r="C30" s="124">
        <v>552228059</v>
      </c>
      <c r="D30" s="124">
        <f t="shared" si="3"/>
        <v>152660501</v>
      </c>
      <c r="E30" s="124">
        <v>254541551</v>
      </c>
      <c r="F30" s="124">
        <v>139426545</v>
      </c>
      <c r="G30" s="124">
        <f t="shared" si="5"/>
        <v>1098856656</v>
      </c>
      <c r="H30" s="95">
        <f t="shared" si="6"/>
        <v>0.23164217972394027</v>
      </c>
      <c r="I30" s="148">
        <f t="shared" si="4"/>
        <v>0.12688328749587152</v>
      </c>
      <c r="J30" s="285" t="s">
        <v>190</v>
      </c>
      <c r="K30" s="285"/>
      <c r="L30" s="285"/>
      <c r="M30" s="285"/>
      <c r="N30" s="286"/>
      <c r="O30" s="163">
        <v>704888560</v>
      </c>
      <c r="P30" s="124">
        <v>407202052</v>
      </c>
    </row>
    <row r="31" spans="1:20" x14ac:dyDescent="0.2">
      <c r="A31" s="149">
        <v>6</v>
      </c>
      <c r="B31" s="124">
        <v>95884</v>
      </c>
      <c r="C31" s="124">
        <v>456500167</v>
      </c>
      <c r="D31" s="124">
        <f t="shared" si="3"/>
        <v>131068680</v>
      </c>
      <c r="E31" s="124">
        <v>235152589</v>
      </c>
      <c r="F31" s="124">
        <v>141839199</v>
      </c>
      <c r="G31" s="124">
        <f t="shared" si="5"/>
        <v>964560635</v>
      </c>
      <c r="H31" s="95">
        <f t="shared" si="6"/>
        <v>0.24379243820166888</v>
      </c>
      <c r="I31" s="148">
        <f t="shared" si="4"/>
        <v>0.14705057811114175</v>
      </c>
      <c r="J31" s="124">
        <f>SUM(G26:G31)</f>
        <v>7056926523</v>
      </c>
      <c r="K31" s="138"/>
      <c r="L31" s="223"/>
      <c r="M31" s="224"/>
      <c r="N31" s="148"/>
      <c r="O31" s="163">
        <v>587568847</v>
      </c>
      <c r="P31" s="124">
        <v>366221269</v>
      </c>
    </row>
    <row r="32" spans="1:20" x14ac:dyDescent="0.2">
      <c r="A32" s="149">
        <v>7</v>
      </c>
      <c r="B32" s="124">
        <v>76416</v>
      </c>
      <c r="C32" s="124">
        <v>343070002</v>
      </c>
      <c r="D32" s="124">
        <f t="shared" si="3"/>
        <v>100365404</v>
      </c>
      <c r="E32" s="124">
        <v>198792262</v>
      </c>
      <c r="F32" s="124">
        <v>130014941</v>
      </c>
      <c r="G32" s="124">
        <f t="shared" si="5"/>
        <v>772242609</v>
      </c>
      <c r="H32" s="95">
        <f t="shared" si="6"/>
        <v>0.25742203251051121</v>
      </c>
      <c r="I32" s="148">
        <f t="shared" si="4"/>
        <v>0.16836022706434217</v>
      </c>
      <c r="J32" s="145"/>
      <c r="K32" s="145"/>
      <c r="L32" s="145"/>
      <c r="M32" s="145"/>
      <c r="N32" s="146"/>
      <c r="O32" s="163">
        <v>443435406</v>
      </c>
      <c r="P32" s="124">
        <v>299157666</v>
      </c>
    </row>
    <row r="33" spans="1:16" x14ac:dyDescent="0.2">
      <c r="A33" s="149">
        <v>8</v>
      </c>
      <c r="B33" s="124">
        <v>69422</v>
      </c>
      <c r="C33" s="124">
        <v>307844939</v>
      </c>
      <c r="D33" s="124">
        <f t="shared" si="3"/>
        <v>90740777</v>
      </c>
      <c r="E33" s="124">
        <v>189186197</v>
      </c>
      <c r="F33" s="124">
        <v>137129706</v>
      </c>
      <c r="G33" s="124">
        <f t="shared" si="5"/>
        <v>724901619</v>
      </c>
      <c r="H33" s="95">
        <f t="shared" si="6"/>
        <v>0.26098189332365113</v>
      </c>
      <c r="I33" s="148">
        <f t="shared" si="4"/>
        <v>0.18917009205907154</v>
      </c>
      <c r="J33" s="145"/>
      <c r="K33" s="145"/>
      <c r="L33" s="145"/>
      <c r="M33" s="145"/>
      <c r="N33" s="146"/>
      <c r="O33" s="163">
        <v>398585716</v>
      </c>
      <c r="P33" s="124">
        <v>279926974</v>
      </c>
    </row>
    <row r="34" spans="1:16" x14ac:dyDescent="0.2">
      <c r="A34" s="149">
        <v>9</v>
      </c>
      <c r="B34" s="124">
        <v>70688</v>
      </c>
      <c r="C34" s="124">
        <v>312280312</v>
      </c>
      <c r="D34" s="124">
        <f t="shared" si="3"/>
        <v>92603573</v>
      </c>
      <c r="E34" s="124">
        <v>200336203</v>
      </c>
      <c r="F34" s="124">
        <v>162434989</v>
      </c>
      <c r="G34" s="124">
        <f t="shared" si="5"/>
        <v>767655077</v>
      </c>
      <c r="H34" s="95">
        <f t="shared" si="6"/>
        <v>0.26097163817754571</v>
      </c>
      <c r="I34" s="148">
        <f t="shared" si="4"/>
        <v>0.21159892491663934</v>
      </c>
      <c r="J34" s="145"/>
      <c r="K34" s="145"/>
      <c r="L34" s="145"/>
      <c r="M34" s="145"/>
      <c r="N34" s="146"/>
      <c r="O34" s="163">
        <v>404883885</v>
      </c>
      <c r="P34" s="124">
        <v>292939776</v>
      </c>
    </row>
    <row r="35" spans="1:16" x14ac:dyDescent="0.2">
      <c r="A35" s="149">
        <v>10</v>
      </c>
      <c r="B35" s="124">
        <v>79232</v>
      </c>
      <c r="C35" s="124">
        <v>349300164</v>
      </c>
      <c r="D35" s="124">
        <f t="shared" si="3"/>
        <v>104027385</v>
      </c>
      <c r="E35" s="124">
        <v>231960584</v>
      </c>
      <c r="F35" s="124">
        <v>221110150</v>
      </c>
      <c r="G35" s="124">
        <f t="shared" si="5"/>
        <v>906398283</v>
      </c>
      <c r="H35" s="95">
        <f t="shared" si="6"/>
        <v>0.25591463305982454</v>
      </c>
      <c r="I35" s="148">
        <f t="shared" si="4"/>
        <v>0.2439436990857583</v>
      </c>
      <c r="J35" s="145"/>
      <c r="K35" s="145"/>
      <c r="L35" s="145"/>
      <c r="M35" s="145"/>
      <c r="N35" s="146"/>
      <c r="O35" s="163">
        <v>453327549</v>
      </c>
      <c r="P35" s="124">
        <v>335987969</v>
      </c>
    </row>
    <row r="36" spans="1:16" x14ac:dyDescent="0.2">
      <c r="A36" s="149">
        <v>11</v>
      </c>
      <c r="B36" s="124">
        <v>110285</v>
      </c>
      <c r="C36" s="124">
        <v>479385254</v>
      </c>
      <c r="D36" s="124">
        <f t="shared" si="3"/>
        <v>143251038</v>
      </c>
      <c r="E36" s="124">
        <v>327627765</v>
      </c>
      <c r="F36" s="124">
        <v>405946041</v>
      </c>
      <c r="G36" s="124">
        <f t="shared" si="5"/>
        <v>1356210098</v>
      </c>
      <c r="H36" s="95">
        <f t="shared" si="6"/>
        <v>0.24157596635149078</v>
      </c>
      <c r="I36" s="148">
        <f t="shared" si="4"/>
        <v>0.29932385962812674</v>
      </c>
      <c r="J36" s="285" t="s">
        <v>205</v>
      </c>
      <c r="K36" s="285"/>
      <c r="L36" s="285"/>
      <c r="M36" s="285"/>
      <c r="N36" s="286"/>
      <c r="O36" s="163">
        <v>622636292</v>
      </c>
      <c r="P36" s="124">
        <v>470878803</v>
      </c>
    </row>
    <row r="37" spans="1:16" s="168" customFormat="1" ht="15" x14ac:dyDescent="0.35">
      <c r="A37" s="234">
        <v>12</v>
      </c>
      <c r="B37" s="167">
        <v>421707</v>
      </c>
      <c r="C37" s="167">
        <v>1738877740</v>
      </c>
      <c r="D37" s="167">
        <f t="shared" si="3"/>
        <v>521831173</v>
      </c>
      <c r="E37" s="167">
        <v>1217046567</v>
      </c>
      <c r="F37" s="167">
        <v>3024468756</v>
      </c>
      <c r="G37" s="167">
        <f t="shared" si="5"/>
        <v>6502224236</v>
      </c>
      <c r="H37" s="99">
        <f t="shared" si="6"/>
        <v>0.18717388432434245</v>
      </c>
      <c r="I37" s="235">
        <f t="shared" si="4"/>
        <v>0.46514371793805975</v>
      </c>
      <c r="J37" s="124">
        <f>SUM(G32:G37)</f>
        <v>11029631922</v>
      </c>
      <c r="K37" s="138"/>
      <c r="L37" s="223"/>
      <c r="M37" s="227"/>
      <c r="N37" s="148"/>
      <c r="O37" s="166">
        <v>2260708913</v>
      </c>
      <c r="P37" s="167">
        <v>1738877740</v>
      </c>
    </row>
    <row r="38" spans="1:16" x14ac:dyDescent="0.2">
      <c r="A38" s="151" t="s">
        <v>25</v>
      </c>
      <c r="B38" s="103">
        <f t="shared" ref="B38:G38" si="7">SUM(B26:B37)</f>
        <v>1723254</v>
      </c>
      <c r="C38" s="133">
        <f t="shared" si="7"/>
        <v>7568080005</v>
      </c>
      <c r="D38" s="133">
        <f t="shared" si="7"/>
        <v>2068530206</v>
      </c>
      <c r="E38" s="133">
        <f t="shared" si="7"/>
        <v>3819562689</v>
      </c>
      <c r="F38" s="133">
        <f t="shared" si="7"/>
        <v>4630385545</v>
      </c>
      <c r="G38" s="133">
        <f t="shared" si="7"/>
        <v>18086558445</v>
      </c>
      <c r="H38" s="102">
        <f>E38/G38</f>
        <v>0.21118239274846187</v>
      </c>
      <c r="I38" s="196">
        <f t="shared" si="4"/>
        <v>0.25601252770562677</v>
      </c>
      <c r="J38" s="229">
        <f>SUM(J31:J37)</f>
        <v>18086558445</v>
      </c>
      <c r="K38" s="228"/>
      <c r="L38" s="228"/>
      <c r="M38" s="229"/>
      <c r="N38" s="230"/>
      <c r="O38" s="164">
        <f>SUM(O26:O37)</f>
        <v>9636610211</v>
      </c>
      <c r="P38" s="133">
        <f>SUM(P26:P37)</f>
        <v>5888092895</v>
      </c>
    </row>
    <row r="39" spans="1:16" x14ac:dyDescent="0.2">
      <c r="A39" s="10"/>
      <c r="B39" s="4"/>
      <c r="C39" s="124"/>
      <c r="D39" s="124"/>
      <c r="E39" s="124"/>
      <c r="F39" s="124"/>
      <c r="G39" s="124"/>
      <c r="H39" s="124"/>
    </row>
    <row r="40" spans="1:16" s="3" customFormat="1" ht="11.25" x14ac:dyDescent="0.2">
      <c r="D40" s="61"/>
      <c r="E40" s="61"/>
      <c r="F40" s="61"/>
      <c r="G40" s="61"/>
      <c r="H40" s="61"/>
    </row>
    <row r="41" spans="1:16" s="3" customFormat="1" ht="11.25" x14ac:dyDescent="0.2">
      <c r="D41" s="61"/>
      <c r="E41" s="61"/>
      <c r="F41" s="61"/>
      <c r="G41" s="61"/>
      <c r="H41" s="61"/>
    </row>
    <row r="42" spans="1:16" s="3" customFormat="1" ht="11.25" x14ac:dyDescent="0.2">
      <c r="D42" s="61"/>
      <c r="E42" s="61"/>
      <c r="F42" s="61"/>
      <c r="G42" s="61"/>
      <c r="H42" s="61"/>
    </row>
  </sheetData>
  <mergeCells count="6">
    <mergeCell ref="J30:N30"/>
    <mergeCell ref="J36:N36"/>
    <mergeCell ref="A3:N3"/>
    <mergeCell ref="A2:N2"/>
    <mergeCell ref="J12:N12"/>
    <mergeCell ref="J18:N18"/>
  </mergeCells>
  <phoneticPr fontId="0" type="noConversion"/>
  <printOptions headings="1"/>
  <pageMargins left="0.75" right="0.75" top="1" bottom="1" header="0.5" footer="0.5"/>
  <pageSetup scale="80" orientation="landscape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5"/>
  <sheetViews>
    <sheetView topLeftCell="A89" workbookViewId="0">
      <selection activeCell="G91" sqref="G91"/>
    </sheetView>
  </sheetViews>
  <sheetFormatPr defaultRowHeight="12.75" x14ac:dyDescent="0.2"/>
  <cols>
    <col min="1" max="1" width="13.7109375" style="10" customWidth="1"/>
    <col min="2" max="2" width="10.140625" style="4" customWidth="1"/>
    <col min="3" max="3" width="13.7109375" style="4" customWidth="1"/>
    <col min="4" max="4" width="12.7109375" style="4" customWidth="1"/>
    <col min="5" max="5" width="14.7109375" style="4" customWidth="1"/>
    <col min="6" max="6" width="13.85546875" style="3" customWidth="1"/>
    <col min="7" max="7" width="10.28515625" style="3" customWidth="1"/>
    <col min="8" max="8" width="11.42578125" style="3" customWidth="1"/>
    <col min="9" max="9" width="14.5703125" style="3" bestFit="1" customWidth="1"/>
    <col min="10" max="11" width="11.7109375" style="3" bestFit="1" customWidth="1"/>
  </cols>
  <sheetData>
    <row r="1" spans="1:11" x14ac:dyDescent="0.2">
      <c r="A1" s="22" t="s">
        <v>0</v>
      </c>
      <c r="B1" s="2"/>
      <c r="C1" s="2"/>
      <c r="D1" s="2"/>
      <c r="E1" s="2"/>
    </row>
    <row r="2" spans="1:11" x14ac:dyDescent="0.2">
      <c r="A2" s="88"/>
      <c r="B2" s="231"/>
      <c r="C2" s="275" t="s">
        <v>201</v>
      </c>
      <c r="D2" s="275" t="s">
        <v>182</v>
      </c>
      <c r="E2" s="275" t="s">
        <v>202</v>
      </c>
      <c r="F2" s="144"/>
    </row>
    <row r="3" spans="1:11" x14ac:dyDescent="0.2">
      <c r="A3" s="121"/>
      <c r="B3" s="145"/>
      <c r="C3" s="140" t="s">
        <v>1</v>
      </c>
      <c r="D3" s="140" t="s">
        <v>2</v>
      </c>
      <c r="E3" s="140" t="s">
        <v>3</v>
      </c>
      <c r="F3" s="146"/>
    </row>
    <row r="4" spans="1:11" x14ac:dyDescent="0.2">
      <c r="A4" s="147" t="s">
        <v>4</v>
      </c>
      <c r="B4" s="271" t="s">
        <v>23</v>
      </c>
      <c r="C4" s="273">
        <f>C70</f>
        <v>0.72323284702038582</v>
      </c>
      <c r="D4" s="273">
        <f>D70</f>
        <v>0.1025982856117602</v>
      </c>
      <c r="E4" s="273">
        <f>E70</f>
        <v>0.17416886736785395</v>
      </c>
      <c r="F4" s="146"/>
    </row>
    <row r="5" spans="1:11" x14ac:dyDescent="0.2">
      <c r="A5" s="149" t="s">
        <v>133</v>
      </c>
      <c r="B5" s="96">
        <f>B24</f>
        <v>78220</v>
      </c>
      <c r="C5" s="96">
        <f>C24</f>
        <v>252973794</v>
      </c>
      <c r="D5" s="95"/>
      <c r="E5" s="96"/>
      <c r="F5" s="97">
        <f>SUM(B5:E5)</f>
        <v>253052014</v>
      </c>
    </row>
    <row r="6" spans="1:11" x14ac:dyDescent="0.2">
      <c r="A6" s="149" t="s">
        <v>134</v>
      </c>
      <c r="B6" s="124">
        <f>B40</f>
        <v>44069</v>
      </c>
      <c r="C6" s="124">
        <f>C40</f>
        <v>267026786</v>
      </c>
      <c r="D6" s="124">
        <f>D40</f>
        <v>12183365</v>
      </c>
      <c r="E6" s="96"/>
      <c r="F6" s="97">
        <f>SUM(B6:E6)</f>
        <v>279254220</v>
      </c>
      <c r="G6" s="4"/>
    </row>
    <row r="7" spans="1:11" x14ac:dyDescent="0.2">
      <c r="A7" s="91" t="s">
        <v>101</v>
      </c>
      <c r="B7" s="100">
        <f>B59</f>
        <v>162990</v>
      </c>
      <c r="C7" s="100">
        <f>C59</f>
        <v>887694151</v>
      </c>
      <c r="D7" s="100">
        <f>D59</f>
        <v>187513132</v>
      </c>
      <c r="E7" s="100">
        <f>E59</f>
        <v>339000915</v>
      </c>
      <c r="F7" s="150">
        <f>SUM(B7:E7)</f>
        <v>1414371188</v>
      </c>
    </row>
    <row r="8" spans="1:11" x14ac:dyDescent="0.2">
      <c r="A8" s="151" t="s">
        <v>16</v>
      </c>
      <c r="B8" s="103">
        <f>SUM(B5:B7)</f>
        <v>285279</v>
      </c>
      <c r="C8" s="103">
        <f>SUM(C5:C7)</f>
        <v>1407694731</v>
      </c>
      <c r="D8" s="103">
        <f>SUM(D5:D7)</f>
        <v>199696497</v>
      </c>
      <c r="E8" s="103">
        <f>SUM(E5:E7)</f>
        <v>339000915</v>
      </c>
      <c r="F8" s="104">
        <f>SUM(F5:F7)</f>
        <v>1946677422</v>
      </c>
    </row>
    <row r="9" spans="1:11" x14ac:dyDescent="0.2">
      <c r="A9" s="5"/>
    </row>
    <row r="10" spans="1:11" x14ac:dyDescent="0.2">
      <c r="A10" s="210" t="s">
        <v>175</v>
      </c>
      <c r="C10" s="270" t="s">
        <v>201</v>
      </c>
      <c r="G10" s="3" t="s">
        <v>22</v>
      </c>
      <c r="H10" s="3" t="s">
        <v>22</v>
      </c>
    </row>
    <row r="11" spans="1:11" x14ac:dyDescent="0.2">
      <c r="A11" s="7" t="s">
        <v>5</v>
      </c>
      <c r="B11" s="8" t="s">
        <v>6</v>
      </c>
      <c r="C11" s="8" t="s">
        <v>7</v>
      </c>
      <c r="D11" s="9"/>
      <c r="E11" s="9"/>
      <c r="F11" s="9" t="s">
        <v>8</v>
      </c>
      <c r="G11" s="9" t="s">
        <v>23</v>
      </c>
      <c r="H11" s="9" t="s">
        <v>24</v>
      </c>
      <c r="I11" s="9"/>
      <c r="J11" s="9"/>
      <c r="K11" s="9"/>
    </row>
    <row r="12" spans="1:11" x14ac:dyDescent="0.2">
      <c r="A12" s="10">
        <v>1</v>
      </c>
      <c r="B12">
        <v>85</v>
      </c>
      <c r="C12">
        <v>13261</v>
      </c>
    </row>
    <row r="13" spans="1:11" x14ac:dyDescent="0.2">
      <c r="A13" s="10">
        <v>2</v>
      </c>
      <c r="B13">
        <v>95</v>
      </c>
      <c r="C13">
        <v>42956</v>
      </c>
    </row>
    <row r="14" spans="1:11" x14ac:dyDescent="0.2">
      <c r="A14" s="10">
        <v>3</v>
      </c>
      <c r="B14">
        <v>140</v>
      </c>
      <c r="C14">
        <v>170406</v>
      </c>
    </row>
    <row r="15" spans="1:11" x14ac:dyDescent="0.2">
      <c r="A15" s="10">
        <v>4</v>
      </c>
      <c r="B15">
        <v>137</v>
      </c>
      <c r="C15">
        <v>120023</v>
      </c>
    </row>
    <row r="16" spans="1:11" x14ac:dyDescent="0.2">
      <c r="A16" s="10">
        <v>5</v>
      </c>
      <c r="B16">
        <v>168</v>
      </c>
      <c r="C16">
        <v>182537</v>
      </c>
    </row>
    <row r="17" spans="1:11" x14ac:dyDescent="0.2">
      <c r="A17" s="10">
        <v>6</v>
      </c>
      <c r="B17">
        <v>210</v>
      </c>
      <c r="C17">
        <v>237504</v>
      </c>
    </row>
    <row r="18" spans="1:11" x14ac:dyDescent="0.2">
      <c r="A18" s="10">
        <v>7</v>
      </c>
      <c r="B18">
        <v>239</v>
      </c>
      <c r="C18">
        <v>1342598</v>
      </c>
    </row>
    <row r="19" spans="1:11" x14ac:dyDescent="0.2">
      <c r="A19" s="10">
        <v>8</v>
      </c>
      <c r="B19">
        <v>288</v>
      </c>
      <c r="C19">
        <v>578274</v>
      </c>
    </row>
    <row r="20" spans="1:11" x14ac:dyDescent="0.2">
      <c r="A20" s="10">
        <v>9</v>
      </c>
      <c r="B20">
        <v>336</v>
      </c>
      <c r="C20">
        <v>621758</v>
      </c>
    </row>
    <row r="21" spans="1:11" x14ac:dyDescent="0.2">
      <c r="A21" s="10">
        <v>10</v>
      </c>
      <c r="B21">
        <v>479</v>
      </c>
      <c r="C21">
        <v>1190620</v>
      </c>
    </row>
    <row r="22" spans="1:11" x14ac:dyDescent="0.2">
      <c r="A22" s="10">
        <v>11</v>
      </c>
      <c r="B22">
        <v>1279</v>
      </c>
      <c r="C22">
        <v>3763611</v>
      </c>
    </row>
    <row r="23" spans="1:11" x14ac:dyDescent="0.2">
      <c r="A23" s="10">
        <v>12</v>
      </c>
      <c r="B23">
        <v>74764</v>
      </c>
      <c r="C23">
        <v>244710246</v>
      </c>
      <c r="H23" s="11"/>
    </row>
    <row r="24" spans="1:11" x14ac:dyDescent="0.2">
      <c r="B24" s="4">
        <f>SUM(B12:B23)</f>
        <v>78220</v>
      </c>
      <c r="C24" s="4">
        <f>SUM(C12:C23)</f>
        <v>252973794</v>
      </c>
      <c r="D24" s="3"/>
      <c r="E24" s="3"/>
      <c r="F24" s="4">
        <f>SUM(C24:E24)</f>
        <v>252973794</v>
      </c>
      <c r="G24" s="71">
        <f>B24/B$69</f>
        <v>0.27418772499903604</v>
      </c>
      <c r="H24" s="12">
        <f>F24/F$69</f>
        <v>0.12997062021124281</v>
      </c>
    </row>
    <row r="25" spans="1:11" x14ac:dyDescent="0.2">
      <c r="D25" s="3"/>
      <c r="E25" s="3"/>
    </row>
    <row r="26" spans="1:11" x14ac:dyDescent="0.2">
      <c r="A26" s="210" t="s">
        <v>175</v>
      </c>
      <c r="C26" s="270" t="s">
        <v>201</v>
      </c>
      <c r="D26" s="270" t="s">
        <v>182</v>
      </c>
      <c r="E26" s="3"/>
    </row>
    <row r="27" spans="1:11" x14ac:dyDescent="0.2">
      <c r="A27" s="7" t="s">
        <v>9</v>
      </c>
      <c r="B27" s="8" t="s">
        <v>6</v>
      </c>
      <c r="C27" s="8" t="s">
        <v>7</v>
      </c>
      <c r="D27" s="8" t="s">
        <v>10</v>
      </c>
      <c r="F27" s="9" t="s">
        <v>16</v>
      </c>
      <c r="G27" s="9"/>
      <c r="H27" s="9"/>
      <c r="I27" s="9"/>
      <c r="J27" s="9"/>
      <c r="K27" s="9"/>
    </row>
    <row r="28" spans="1:11" x14ac:dyDescent="0.2">
      <c r="A28" s="10">
        <v>1</v>
      </c>
      <c r="B28">
        <v>13555</v>
      </c>
      <c r="C28">
        <v>58936457</v>
      </c>
      <c r="D28">
        <v>576152</v>
      </c>
      <c r="F28" s="4">
        <f t="shared" ref="F28:F39" si="0">SUM(C28:D28)</f>
        <v>59512609</v>
      </c>
      <c r="I28" s="6">
        <f t="shared" ref="I28:I39" si="1">D28/F28</f>
        <v>9.6811752951378761E-3</v>
      </c>
    </row>
    <row r="29" spans="1:11" x14ac:dyDescent="0.2">
      <c r="A29" s="10">
        <v>2</v>
      </c>
      <c r="B29">
        <v>8992</v>
      </c>
      <c r="C29">
        <v>40759812</v>
      </c>
      <c r="D29">
        <v>876009</v>
      </c>
      <c r="F29" s="4">
        <f t="shared" si="0"/>
        <v>41635821</v>
      </c>
      <c r="I29" s="6">
        <f t="shared" si="1"/>
        <v>2.103979167361681E-2</v>
      </c>
    </row>
    <row r="30" spans="1:11" x14ac:dyDescent="0.2">
      <c r="A30" s="10">
        <v>3</v>
      </c>
      <c r="B30">
        <v>6153</v>
      </c>
      <c r="C30">
        <v>32468547</v>
      </c>
      <c r="D30">
        <v>992326</v>
      </c>
      <c r="F30" s="4">
        <f t="shared" si="0"/>
        <v>33460873</v>
      </c>
      <c r="I30" s="6">
        <f t="shared" si="1"/>
        <v>2.965630932582064E-2</v>
      </c>
    </row>
    <row r="31" spans="1:11" x14ac:dyDescent="0.2">
      <c r="A31" s="10">
        <v>4</v>
      </c>
      <c r="B31">
        <v>4332</v>
      </c>
      <c r="C31">
        <v>25387233</v>
      </c>
      <c r="D31">
        <v>947339</v>
      </c>
      <c r="F31" s="4">
        <f t="shared" si="0"/>
        <v>26334572</v>
      </c>
      <c r="I31" s="6">
        <f t="shared" si="1"/>
        <v>3.5973206627394588E-2</v>
      </c>
    </row>
    <row r="32" spans="1:11" x14ac:dyDescent="0.2">
      <c r="A32" s="10">
        <v>5</v>
      </c>
      <c r="B32">
        <v>3263</v>
      </c>
      <c r="C32">
        <v>20024330</v>
      </c>
      <c r="D32">
        <v>857621</v>
      </c>
      <c r="F32" s="4">
        <f t="shared" si="0"/>
        <v>20881951</v>
      </c>
      <c r="I32" s="6">
        <f t="shared" si="1"/>
        <v>4.1069965157949084E-2</v>
      </c>
    </row>
    <row r="33" spans="1:11" x14ac:dyDescent="0.2">
      <c r="A33" s="10">
        <v>6</v>
      </c>
      <c r="B33">
        <v>2320</v>
      </c>
      <c r="C33">
        <v>17939304</v>
      </c>
      <c r="D33">
        <v>990492</v>
      </c>
      <c r="F33" s="4">
        <f t="shared" si="0"/>
        <v>18929796</v>
      </c>
      <c r="I33" s="6">
        <f t="shared" si="1"/>
        <v>5.2324494146688112E-2</v>
      </c>
    </row>
    <row r="34" spans="1:11" x14ac:dyDescent="0.2">
      <c r="A34" s="10">
        <v>7</v>
      </c>
      <c r="B34">
        <v>1495</v>
      </c>
      <c r="C34">
        <v>12875830</v>
      </c>
      <c r="D34">
        <v>784879</v>
      </c>
      <c r="F34" s="4">
        <f t="shared" si="0"/>
        <v>13660709</v>
      </c>
      <c r="I34" s="6">
        <f t="shared" si="1"/>
        <v>5.745521700228004E-2</v>
      </c>
    </row>
    <row r="35" spans="1:11" x14ac:dyDescent="0.2">
      <c r="A35" s="10">
        <v>8</v>
      </c>
      <c r="B35">
        <v>1162</v>
      </c>
      <c r="C35">
        <v>8618029</v>
      </c>
      <c r="D35">
        <v>553556</v>
      </c>
      <c r="F35" s="4">
        <f t="shared" si="0"/>
        <v>9171585</v>
      </c>
      <c r="I35" s="6">
        <f t="shared" si="1"/>
        <v>6.0355543780055462E-2</v>
      </c>
    </row>
    <row r="36" spans="1:11" x14ac:dyDescent="0.2">
      <c r="A36" s="10">
        <v>9</v>
      </c>
      <c r="B36">
        <v>848</v>
      </c>
      <c r="C36">
        <v>7837966</v>
      </c>
      <c r="D36">
        <v>619011</v>
      </c>
      <c r="F36" s="4">
        <f t="shared" si="0"/>
        <v>8456977</v>
      </c>
      <c r="I36" s="6">
        <f t="shared" si="1"/>
        <v>7.3195303711952861E-2</v>
      </c>
    </row>
    <row r="37" spans="1:11" x14ac:dyDescent="0.2">
      <c r="A37" s="10">
        <v>10</v>
      </c>
      <c r="B37">
        <v>685</v>
      </c>
      <c r="C37">
        <v>15865115</v>
      </c>
      <c r="D37">
        <v>1321830</v>
      </c>
      <c r="F37" s="4">
        <f t="shared" si="0"/>
        <v>17186945</v>
      </c>
      <c r="I37" s="6">
        <f t="shared" si="1"/>
        <v>7.6908956187385247E-2</v>
      </c>
    </row>
    <row r="38" spans="1:11" x14ac:dyDescent="0.2">
      <c r="A38" s="10">
        <v>11</v>
      </c>
      <c r="B38">
        <v>622</v>
      </c>
      <c r="C38">
        <v>10292535</v>
      </c>
      <c r="D38">
        <v>1133690</v>
      </c>
      <c r="F38" s="4">
        <f t="shared" si="0"/>
        <v>11426225</v>
      </c>
      <c r="I38" s="6">
        <f t="shared" si="1"/>
        <v>9.9218245746079736E-2</v>
      </c>
    </row>
    <row r="39" spans="1:11" x14ac:dyDescent="0.2">
      <c r="A39" s="10">
        <v>12</v>
      </c>
      <c r="B39">
        <v>642</v>
      </c>
      <c r="C39">
        <v>16021628</v>
      </c>
      <c r="D39">
        <v>2530460</v>
      </c>
      <c r="F39" s="4">
        <f t="shared" si="0"/>
        <v>18552088</v>
      </c>
      <c r="I39" s="6">
        <f t="shared" si="1"/>
        <v>0.13639758500498703</v>
      </c>
    </row>
    <row r="40" spans="1:11" x14ac:dyDescent="0.2">
      <c r="B40" s="4">
        <f>SUM(B28:B39)</f>
        <v>44069</v>
      </c>
      <c r="C40" s="4">
        <f>SUM(C28:C39)</f>
        <v>267026786</v>
      </c>
      <c r="D40" s="4">
        <f>SUM(D28:D39)</f>
        <v>12183365</v>
      </c>
      <c r="F40" s="4">
        <f>SUM(F28:F39)</f>
        <v>279210151</v>
      </c>
      <c r="G40" s="71">
        <f>B40/B$69</f>
        <v>0.15447684547407975</v>
      </c>
      <c r="H40" s="12">
        <f>F40/F$69</f>
        <v>0.14345010177119277</v>
      </c>
    </row>
    <row r="41" spans="1:11" x14ac:dyDescent="0.2">
      <c r="C41" s="6">
        <f>C40/$F40</f>
        <v>0.95636489233516442</v>
      </c>
      <c r="D41" s="6">
        <f>D40/$F40</f>
        <v>4.3635107664835582E-2</v>
      </c>
      <c r="E41" s="6"/>
    </row>
    <row r="42" spans="1:11" x14ac:dyDescent="0.2">
      <c r="D42" s="6"/>
      <c r="F42" s="4"/>
      <c r="G42" s="6"/>
    </row>
    <row r="43" spans="1:11" x14ac:dyDescent="0.2">
      <c r="D43" s="6"/>
      <c r="E43" s="6"/>
      <c r="G43" s="6"/>
    </row>
    <row r="44" spans="1:11" x14ac:dyDescent="0.2">
      <c r="A44" s="210" t="s">
        <v>175</v>
      </c>
      <c r="C44" s="270" t="s">
        <v>201</v>
      </c>
      <c r="D44" s="270" t="s">
        <v>182</v>
      </c>
      <c r="E44" s="270" t="s">
        <v>202</v>
      </c>
    </row>
    <row r="45" spans="1:11" x14ac:dyDescent="0.2">
      <c r="A45" s="7" t="s">
        <v>11</v>
      </c>
      <c r="B45" s="8" t="s">
        <v>6</v>
      </c>
      <c r="C45" s="8" t="s">
        <v>7</v>
      </c>
      <c r="D45" s="8" t="s">
        <v>10</v>
      </c>
      <c r="E45" s="8" t="s">
        <v>12</v>
      </c>
      <c r="F45" s="9"/>
      <c r="G45" s="9"/>
      <c r="H45" s="9"/>
      <c r="I45" s="9"/>
      <c r="J45" s="9"/>
      <c r="K45" s="9"/>
    </row>
    <row r="47" spans="1:11" x14ac:dyDescent="0.2">
      <c r="A47" s="10">
        <v>1</v>
      </c>
      <c r="B47">
        <v>18636</v>
      </c>
      <c r="C47">
        <v>96255892</v>
      </c>
      <c r="D47">
        <v>8509220</v>
      </c>
      <c r="E47">
        <v>1899832</v>
      </c>
      <c r="F47" s="4">
        <f t="shared" ref="F47:F58" si="2">SUM(C47:E47)</f>
        <v>106664944</v>
      </c>
      <c r="I47" s="6">
        <f t="shared" ref="I47:I59" si="3">E47/F47</f>
        <v>1.7811212651084315E-2</v>
      </c>
    </row>
    <row r="48" spans="1:11" x14ac:dyDescent="0.2">
      <c r="A48" s="10">
        <v>2</v>
      </c>
      <c r="B48">
        <v>15019</v>
      </c>
      <c r="C48">
        <v>78421467</v>
      </c>
      <c r="D48">
        <v>9201375</v>
      </c>
      <c r="E48">
        <v>3744001</v>
      </c>
      <c r="F48" s="4">
        <f t="shared" si="2"/>
        <v>91366843</v>
      </c>
      <c r="I48" s="6">
        <f t="shared" si="3"/>
        <v>4.0977677208350077E-2</v>
      </c>
    </row>
    <row r="49" spans="1:10" x14ac:dyDescent="0.2">
      <c r="A49" s="10">
        <v>3</v>
      </c>
      <c r="B49">
        <v>14171</v>
      </c>
      <c r="C49">
        <v>80502189</v>
      </c>
      <c r="D49">
        <v>11486465</v>
      </c>
      <c r="E49">
        <v>7661923</v>
      </c>
      <c r="F49" s="4">
        <f t="shared" si="2"/>
        <v>99650577</v>
      </c>
      <c r="I49" s="6">
        <f t="shared" si="3"/>
        <v>7.6887893985802008E-2</v>
      </c>
    </row>
    <row r="50" spans="1:10" x14ac:dyDescent="0.2">
      <c r="A50" s="10">
        <v>4</v>
      </c>
      <c r="B50">
        <v>13781</v>
      </c>
      <c r="C50">
        <v>83003336</v>
      </c>
      <c r="D50">
        <v>13655463</v>
      </c>
      <c r="E50">
        <v>12217757</v>
      </c>
      <c r="F50" s="4">
        <f t="shared" si="2"/>
        <v>108876556</v>
      </c>
      <c r="G50" s="4"/>
      <c r="I50" s="6">
        <f t="shared" si="3"/>
        <v>0.11221660060591925</v>
      </c>
    </row>
    <row r="51" spans="1:10" x14ac:dyDescent="0.2">
      <c r="A51" s="10">
        <v>5</v>
      </c>
      <c r="B51">
        <v>12032</v>
      </c>
      <c r="C51">
        <v>66624471</v>
      </c>
      <c r="D51">
        <v>12274023</v>
      </c>
      <c r="E51">
        <v>13679409</v>
      </c>
      <c r="F51" s="4">
        <f t="shared" si="2"/>
        <v>92577903</v>
      </c>
      <c r="I51" s="6">
        <f t="shared" si="3"/>
        <v>0.14776105913740561</v>
      </c>
    </row>
    <row r="52" spans="1:10" x14ac:dyDescent="0.2">
      <c r="A52" s="10">
        <v>6</v>
      </c>
      <c r="B52">
        <v>9943</v>
      </c>
      <c r="C52">
        <v>56525714</v>
      </c>
      <c r="D52">
        <v>11856184</v>
      </c>
      <c r="E52">
        <v>13100550</v>
      </c>
      <c r="F52" s="4">
        <f t="shared" si="2"/>
        <v>81482448</v>
      </c>
      <c r="I52" s="6">
        <f t="shared" si="3"/>
        <v>0.16077757015842234</v>
      </c>
    </row>
    <row r="53" spans="1:10" x14ac:dyDescent="0.2">
      <c r="A53" s="10">
        <v>7</v>
      </c>
      <c r="B53">
        <v>7707</v>
      </c>
      <c r="C53">
        <v>44098516</v>
      </c>
      <c r="D53">
        <v>10432137</v>
      </c>
      <c r="E53">
        <v>12399225</v>
      </c>
      <c r="F53" s="4">
        <f t="shared" si="2"/>
        <v>66929878</v>
      </c>
      <c r="I53" s="12">
        <f t="shared" si="3"/>
        <v>0.18525694907138482</v>
      </c>
    </row>
    <row r="54" spans="1:10" x14ac:dyDescent="0.2">
      <c r="A54" s="10">
        <v>8</v>
      </c>
      <c r="B54">
        <v>7194</v>
      </c>
      <c r="C54">
        <v>40471734</v>
      </c>
      <c r="D54">
        <v>10292645</v>
      </c>
      <c r="E54">
        <v>13188621</v>
      </c>
      <c r="F54" s="4">
        <f t="shared" si="2"/>
        <v>63953000</v>
      </c>
      <c r="I54" s="6">
        <f t="shared" si="3"/>
        <v>0.20622364861695308</v>
      </c>
    </row>
    <row r="55" spans="1:10" x14ac:dyDescent="0.2">
      <c r="A55" s="10">
        <v>9</v>
      </c>
      <c r="B55">
        <v>7345</v>
      </c>
      <c r="C55">
        <v>39856422</v>
      </c>
      <c r="D55">
        <v>10669908</v>
      </c>
      <c r="E55">
        <v>15134082</v>
      </c>
      <c r="F55" s="4">
        <f t="shared" si="2"/>
        <v>65660412</v>
      </c>
      <c r="I55" s="6">
        <f t="shared" si="3"/>
        <v>0.23049020770689041</v>
      </c>
    </row>
    <row r="56" spans="1:10" x14ac:dyDescent="0.2">
      <c r="A56" s="10">
        <v>10</v>
      </c>
      <c r="B56">
        <v>8146</v>
      </c>
      <c r="C56">
        <v>46774875</v>
      </c>
      <c r="D56">
        <v>13156441</v>
      </c>
      <c r="E56">
        <v>20443259</v>
      </c>
      <c r="F56" s="4">
        <f t="shared" si="2"/>
        <v>80374575</v>
      </c>
      <c r="I56" s="6">
        <f t="shared" si="3"/>
        <v>0.25434982393375022</v>
      </c>
    </row>
    <row r="57" spans="1:10" x14ac:dyDescent="0.2">
      <c r="A57" s="10">
        <v>11</v>
      </c>
      <c r="B57">
        <v>11072</v>
      </c>
      <c r="C57">
        <v>65527337</v>
      </c>
      <c r="D57">
        <v>19081708</v>
      </c>
      <c r="E57">
        <v>37143019</v>
      </c>
      <c r="F57" s="4">
        <f t="shared" si="2"/>
        <v>121752064</v>
      </c>
      <c r="I57" s="6">
        <f t="shared" si="3"/>
        <v>0.30507095961839298</v>
      </c>
    </row>
    <row r="58" spans="1:10" x14ac:dyDescent="0.2">
      <c r="A58" s="13">
        <v>12</v>
      </c>
      <c r="B58">
        <v>37944</v>
      </c>
      <c r="C58">
        <v>189632198</v>
      </c>
      <c r="D58">
        <v>56897563</v>
      </c>
      <c r="E58">
        <v>188389237</v>
      </c>
      <c r="F58" s="14">
        <f t="shared" si="2"/>
        <v>434918998</v>
      </c>
      <c r="I58" s="6">
        <f t="shared" si="3"/>
        <v>0.43315936499973268</v>
      </c>
      <c r="J58" s="6"/>
    </row>
    <row r="59" spans="1:10" x14ac:dyDescent="0.2">
      <c r="A59" s="10" t="s">
        <v>25</v>
      </c>
      <c r="B59" s="4">
        <f>SUM(B47:B58)</f>
        <v>162990</v>
      </c>
      <c r="C59" s="4">
        <f>SUM(C47:C58)</f>
        <v>887694151</v>
      </c>
      <c r="D59" s="4">
        <f>SUM(D47:D58)</f>
        <v>187513132</v>
      </c>
      <c r="E59" s="4">
        <f>SUM(E47:E58)</f>
        <v>339000915</v>
      </c>
      <c r="F59" s="4">
        <f>SUM(F47:F58)</f>
        <v>1414208198</v>
      </c>
      <c r="G59" s="6">
        <f>B59/B$69</f>
        <v>0.57133542952688421</v>
      </c>
      <c r="H59" s="12">
        <f>F59/F$69</f>
        <v>0.72657927801756439</v>
      </c>
      <c r="I59" s="6">
        <f t="shared" si="3"/>
        <v>0.23971075509208722</v>
      </c>
    </row>
    <row r="60" spans="1:10" x14ac:dyDescent="0.2">
      <c r="C60" s="12">
        <f>C59/$F59</f>
        <v>0.62769693476207666</v>
      </c>
      <c r="D60" s="12">
        <f>D59/$F59</f>
        <v>0.13259231014583611</v>
      </c>
      <c r="E60" s="12">
        <f>E59/$F59</f>
        <v>0.23971075509208722</v>
      </c>
      <c r="F60" s="4">
        <f>F59/B59</f>
        <v>8676.656224308239</v>
      </c>
      <c r="G60" s="6"/>
      <c r="H60" s="12"/>
    </row>
    <row r="61" spans="1:10" x14ac:dyDescent="0.2">
      <c r="C61" s="12"/>
      <c r="D61" s="12"/>
      <c r="E61" s="12"/>
      <c r="F61" s="4"/>
      <c r="G61" s="6"/>
      <c r="H61" s="12"/>
    </row>
    <row r="62" spans="1:10" x14ac:dyDescent="0.2">
      <c r="A62" s="10" t="s">
        <v>26</v>
      </c>
      <c r="B62" s="4">
        <f>SUM(B47:B49)</f>
        <v>47826</v>
      </c>
      <c r="C62" s="4">
        <f>SUM(C47:C49)</f>
        <v>255179548</v>
      </c>
      <c r="D62" s="4">
        <f>SUM(D47:D49)</f>
        <v>29197060</v>
      </c>
      <c r="E62" s="4">
        <f>SUM(E47:E49)</f>
        <v>13305756</v>
      </c>
      <c r="F62" s="4">
        <f>SUM(F47:F49)</f>
        <v>297682364</v>
      </c>
      <c r="G62" s="6">
        <f>B62/B69</f>
        <v>0.16764640930457553</v>
      </c>
    </row>
    <row r="63" spans="1:10" x14ac:dyDescent="0.2">
      <c r="A63" s="10" t="s">
        <v>32</v>
      </c>
      <c r="B63" s="6"/>
      <c r="C63" s="6">
        <f>C62/$F62</f>
        <v>0.8572209134969111</v>
      </c>
      <c r="D63" s="6">
        <f>D62/$F62</f>
        <v>9.8081255495538866E-2</v>
      </c>
      <c r="E63" s="6">
        <f>E62/$F62</f>
        <v>4.4697831007550044E-2</v>
      </c>
      <c r="F63" s="4">
        <f>F62/B62</f>
        <v>6224.2789277798684</v>
      </c>
    </row>
    <row r="64" spans="1:10" x14ac:dyDescent="0.2">
      <c r="F64" s="4"/>
      <c r="G64" s="6"/>
    </row>
    <row r="65" spans="1:7" x14ac:dyDescent="0.2">
      <c r="A65" s="5" t="s">
        <v>14</v>
      </c>
      <c r="B65" s="4">
        <f>B58</f>
        <v>37944</v>
      </c>
      <c r="C65" s="4">
        <f>C58</f>
        <v>189632198</v>
      </c>
      <c r="D65" s="4">
        <f>D58</f>
        <v>56897563</v>
      </c>
      <c r="E65" s="4">
        <f>E58</f>
        <v>188389237</v>
      </c>
      <c r="F65" s="4">
        <f>SUM(C65:E65)</f>
        <v>434918998</v>
      </c>
      <c r="G65" s="6">
        <f>B65/B69</f>
        <v>0.13300663560935086</v>
      </c>
    </row>
    <row r="66" spans="1:7" x14ac:dyDescent="0.2">
      <c r="A66" s="10" t="s">
        <v>32</v>
      </c>
      <c r="B66" s="3"/>
      <c r="C66" s="6">
        <f>C65/$F65</f>
        <v>0.43601727878532454</v>
      </c>
      <c r="D66" s="6">
        <f>D65/$F65</f>
        <v>0.13082335621494282</v>
      </c>
      <c r="E66" s="6">
        <f>E65/$F65</f>
        <v>0.43315936499973268</v>
      </c>
      <c r="F66" s="4">
        <f>F65/B65</f>
        <v>11462.12834703774</v>
      </c>
    </row>
    <row r="67" spans="1:7" x14ac:dyDescent="0.2">
      <c r="B67" s="6"/>
      <c r="C67" s="6"/>
      <c r="D67" s="6"/>
      <c r="E67" s="6"/>
    </row>
    <row r="68" spans="1:7" x14ac:dyDescent="0.2">
      <c r="F68" s="4"/>
      <c r="G68" s="6"/>
    </row>
    <row r="69" spans="1:7" x14ac:dyDescent="0.2">
      <c r="A69" s="10" t="s">
        <v>85</v>
      </c>
      <c r="B69" s="4">
        <f>B24+B40+B59</f>
        <v>285279</v>
      </c>
      <c r="C69" s="4">
        <f>C24+C40+C59</f>
        <v>1407694731</v>
      </c>
      <c r="D69" s="4">
        <f>D24+D40+D59</f>
        <v>199696497</v>
      </c>
      <c r="E69" s="4">
        <f>E24+E40+E59</f>
        <v>339000915</v>
      </c>
      <c r="F69" s="4">
        <f>SUM(C69:E69)</f>
        <v>1946392143</v>
      </c>
    </row>
    <row r="70" spans="1:7" x14ac:dyDescent="0.2">
      <c r="C70" s="6">
        <f>C69/$F69</f>
        <v>0.72323284702038582</v>
      </c>
      <c r="D70" s="6">
        <f>D69/$F69</f>
        <v>0.1025982856117602</v>
      </c>
      <c r="E70" s="6">
        <f>E69/$F69</f>
        <v>0.17416886736785395</v>
      </c>
      <c r="F70" s="4">
        <f>F69/B69</f>
        <v>6822.7669860031756</v>
      </c>
    </row>
    <row r="71" spans="1:7" x14ac:dyDescent="0.2">
      <c r="F71" s="4"/>
    </row>
    <row r="73" spans="1:7" x14ac:dyDescent="0.2">
      <c r="F73" s="4"/>
      <c r="G73" s="6"/>
    </row>
    <row r="74" spans="1:7" x14ac:dyDescent="0.2">
      <c r="C74" s="6"/>
      <c r="D74" s="6"/>
      <c r="E74" s="6"/>
      <c r="F74" s="4"/>
    </row>
    <row r="75" spans="1:7" x14ac:dyDescent="0.2">
      <c r="C75" s="6"/>
      <c r="D75" s="6"/>
      <c r="E75" s="6"/>
      <c r="F75" s="4"/>
    </row>
    <row r="76" spans="1:7" x14ac:dyDescent="0.2">
      <c r="A76" s="9" t="s">
        <v>15</v>
      </c>
      <c r="B76" s="3"/>
      <c r="F76" s="4"/>
    </row>
    <row r="77" spans="1:7" x14ac:dyDescent="0.2">
      <c r="A77" s="10" t="s">
        <v>36</v>
      </c>
      <c r="B77" s="7" t="s">
        <v>28</v>
      </c>
      <c r="C77" s="4" t="s">
        <v>18</v>
      </c>
      <c r="D77" s="7" t="s">
        <v>9</v>
      </c>
      <c r="E77" s="4" t="s">
        <v>17</v>
      </c>
      <c r="F77" s="7" t="s">
        <v>11</v>
      </c>
    </row>
    <row r="78" spans="1:7" x14ac:dyDescent="0.2">
      <c r="A78" s="10">
        <v>1</v>
      </c>
      <c r="B78" s="3">
        <f t="shared" ref="B78:B89" si="4">A12*B12</f>
        <v>85</v>
      </c>
      <c r="C78" s="3">
        <f t="shared" ref="C78:C89" si="5">(12-A28)*B28</f>
        <v>149105</v>
      </c>
      <c r="D78" s="3">
        <f t="shared" ref="D78:D89" si="6">A28*B28</f>
        <v>13555</v>
      </c>
      <c r="E78" s="3">
        <f t="shared" ref="E78:E89" si="7">(12-A47)*B47</f>
        <v>204996</v>
      </c>
      <c r="F78" s="3">
        <f t="shared" ref="F78:F89" si="8">A47*B47</f>
        <v>18636</v>
      </c>
    </row>
    <row r="79" spans="1:7" x14ac:dyDescent="0.2">
      <c r="A79" s="10">
        <v>2</v>
      </c>
      <c r="B79" s="3">
        <f t="shared" si="4"/>
        <v>190</v>
      </c>
      <c r="C79" s="3">
        <f t="shared" si="5"/>
        <v>89920</v>
      </c>
      <c r="D79" s="3">
        <f t="shared" si="6"/>
        <v>17984</v>
      </c>
      <c r="E79" s="3">
        <f t="shared" si="7"/>
        <v>150190</v>
      </c>
      <c r="F79" s="3">
        <f t="shared" si="8"/>
        <v>30038</v>
      </c>
    </row>
    <row r="80" spans="1:7" x14ac:dyDescent="0.2">
      <c r="A80" s="10">
        <v>3</v>
      </c>
      <c r="B80" s="3">
        <f t="shared" si="4"/>
        <v>420</v>
      </c>
      <c r="C80" s="3">
        <f t="shared" si="5"/>
        <v>55377</v>
      </c>
      <c r="D80" s="3">
        <f t="shared" si="6"/>
        <v>18459</v>
      </c>
      <c r="E80" s="3">
        <f t="shared" si="7"/>
        <v>127539</v>
      </c>
      <c r="F80" s="3">
        <f t="shared" si="8"/>
        <v>42513</v>
      </c>
    </row>
    <row r="81" spans="1:7" x14ac:dyDescent="0.2">
      <c r="A81" s="10">
        <v>4</v>
      </c>
      <c r="B81" s="3">
        <f t="shared" si="4"/>
        <v>548</v>
      </c>
      <c r="C81" s="3">
        <f t="shared" si="5"/>
        <v>34656</v>
      </c>
      <c r="D81" s="3">
        <f t="shared" si="6"/>
        <v>17328</v>
      </c>
      <c r="E81" s="3">
        <f t="shared" si="7"/>
        <v>110248</v>
      </c>
      <c r="F81" s="3">
        <f t="shared" si="8"/>
        <v>55124</v>
      </c>
    </row>
    <row r="82" spans="1:7" x14ac:dyDescent="0.2">
      <c r="A82" s="10">
        <v>5</v>
      </c>
      <c r="B82" s="3">
        <f t="shared" si="4"/>
        <v>840</v>
      </c>
      <c r="C82" s="3">
        <f t="shared" si="5"/>
        <v>22841</v>
      </c>
      <c r="D82" s="3">
        <f t="shared" si="6"/>
        <v>16315</v>
      </c>
      <c r="E82" s="3">
        <f t="shared" si="7"/>
        <v>84224</v>
      </c>
      <c r="F82" s="3">
        <f t="shared" si="8"/>
        <v>60160</v>
      </c>
    </row>
    <row r="83" spans="1:7" x14ac:dyDescent="0.2">
      <c r="A83" s="10">
        <v>6</v>
      </c>
      <c r="B83" s="3">
        <f t="shared" si="4"/>
        <v>1260</v>
      </c>
      <c r="C83" s="3">
        <f t="shared" si="5"/>
        <v>13920</v>
      </c>
      <c r="D83" s="3">
        <f t="shared" si="6"/>
        <v>13920</v>
      </c>
      <c r="E83" s="3">
        <f t="shared" si="7"/>
        <v>59658</v>
      </c>
      <c r="F83" s="3">
        <f t="shared" si="8"/>
        <v>59658</v>
      </c>
    </row>
    <row r="84" spans="1:7" x14ac:dyDescent="0.2">
      <c r="A84" s="10">
        <v>7</v>
      </c>
      <c r="B84" s="3">
        <f t="shared" si="4"/>
        <v>1673</v>
      </c>
      <c r="C84" s="3">
        <f t="shared" si="5"/>
        <v>7475</v>
      </c>
      <c r="D84" s="3">
        <f t="shared" si="6"/>
        <v>10465</v>
      </c>
      <c r="E84" s="3">
        <f t="shared" si="7"/>
        <v>38535</v>
      </c>
      <c r="F84" s="3">
        <f t="shared" si="8"/>
        <v>53949</v>
      </c>
    </row>
    <row r="85" spans="1:7" x14ac:dyDescent="0.2">
      <c r="A85" s="10">
        <v>8</v>
      </c>
      <c r="B85" s="3">
        <f t="shared" si="4"/>
        <v>2304</v>
      </c>
      <c r="C85" s="3">
        <f t="shared" si="5"/>
        <v>4648</v>
      </c>
      <c r="D85" s="3">
        <f t="shared" si="6"/>
        <v>9296</v>
      </c>
      <c r="E85" s="3">
        <f t="shared" si="7"/>
        <v>28776</v>
      </c>
      <c r="F85" s="3">
        <f t="shared" si="8"/>
        <v>57552</v>
      </c>
    </row>
    <row r="86" spans="1:7" x14ac:dyDescent="0.2">
      <c r="A86" s="10">
        <v>9</v>
      </c>
      <c r="B86" s="3">
        <f t="shared" si="4"/>
        <v>3024</v>
      </c>
      <c r="C86" s="3">
        <f t="shared" si="5"/>
        <v>2544</v>
      </c>
      <c r="D86" s="3">
        <f t="shared" si="6"/>
        <v>7632</v>
      </c>
      <c r="E86" s="3">
        <f t="shared" si="7"/>
        <v>22035</v>
      </c>
      <c r="F86" s="3">
        <f t="shared" si="8"/>
        <v>66105</v>
      </c>
    </row>
    <row r="87" spans="1:7" x14ac:dyDescent="0.2">
      <c r="A87" s="10">
        <v>10</v>
      </c>
      <c r="B87" s="3">
        <f t="shared" si="4"/>
        <v>4790</v>
      </c>
      <c r="C87" s="3">
        <f t="shared" si="5"/>
        <v>1370</v>
      </c>
      <c r="D87" s="3">
        <f t="shared" si="6"/>
        <v>6850</v>
      </c>
      <c r="E87" s="3">
        <f t="shared" si="7"/>
        <v>16292</v>
      </c>
      <c r="F87" s="3">
        <f t="shared" si="8"/>
        <v>81460</v>
      </c>
    </row>
    <row r="88" spans="1:7" x14ac:dyDescent="0.2">
      <c r="A88" s="10">
        <v>11</v>
      </c>
      <c r="B88" s="3">
        <f t="shared" si="4"/>
        <v>14069</v>
      </c>
      <c r="C88" s="3">
        <f t="shared" si="5"/>
        <v>622</v>
      </c>
      <c r="D88" s="3">
        <f t="shared" si="6"/>
        <v>6842</v>
      </c>
      <c r="E88" s="3">
        <f t="shared" si="7"/>
        <v>11072</v>
      </c>
      <c r="F88" s="3">
        <f t="shared" si="8"/>
        <v>121792</v>
      </c>
    </row>
    <row r="89" spans="1:7" x14ac:dyDescent="0.2">
      <c r="A89" s="10">
        <v>12</v>
      </c>
      <c r="B89" s="3">
        <f t="shared" si="4"/>
        <v>897168</v>
      </c>
      <c r="C89" s="3">
        <f t="shared" si="5"/>
        <v>0</v>
      </c>
      <c r="D89" s="3">
        <f t="shared" si="6"/>
        <v>7704</v>
      </c>
      <c r="E89" s="3">
        <f t="shared" si="7"/>
        <v>0</v>
      </c>
      <c r="F89" s="3">
        <f t="shared" si="8"/>
        <v>455328</v>
      </c>
    </row>
    <row r="90" spans="1:7" x14ac:dyDescent="0.2">
      <c r="B90" s="4">
        <f>SUM(B78:B89)</f>
        <v>926371</v>
      </c>
      <c r="C90" s="4">
        <f>SUM(C78:C89)</f>
        <v>382478</v>
      </c>
      <c r="D90" s="4">
        <f>SUM(D78:D89)</f>
        <v>146350</v>
      </c>
      <c r="E90" s="4">
        <f>SUM(E78:E89)</f>
        <v>853565</v>
      </c>
      <c r="F90" s="4">
        <f>SUM(F78:F89)</f>
        <v>1102315</v>
      </c>
      <c r="G90" s="4">
        <f>SUM(B90:F90)</f>
        <v>3411079</v>
      </c>
    </row>
    <row r="92" spans="1:7" x14ac:dyDescent="0.2">
      <c r="A92" s="10" t="s">
        <v>19</v>
      </c>
      <c r="B92" s="4">
        <f>B90+C90</f>
        <v>1308849</v>
      </c>
      <c r="C92" s="12">
        <f>B92/B$95</f>
        <v>0.38370527331674231</v>
      </c>
    </row>
    <row r="93" spans="1:7" x14ac:dyDescent="0.2">
      <c r="A93" s="10" t="s">
        <v>20</v>
      </c>
      <c r="B93" s="4">
        <f>D90+E90</f>
        <v>999915</v>
      </c>
      <c r="C93" s="12">
        <f>B93/B$95</f>
        <v>0.29313745005612596</v>
      </c>
    </row>
    <row r="94" spans="1:7" x14ac:dyDescent="0.2">
      <c r="A94" s="10" t="s">
        <v>21</v>
      </c>
      <c r="B94" s="4">
        <f>F90</f>
        <v>1102315</v>
      </c>
      <c r="C94" s="12">
        <f>B94/B$95</f>
        <v>0.32315727662713178</v>
      </c>
    </row>
    <row r="95" spans="1:7" x14ac:dyDescent="0.2">
      <c r="B95" s="4">
        <f>G90</f>
        <v>3411079</v>
      </c>
    </row>
    <row r="97" spans="1:11" x14ac:dyDescent="0.2">
      <c r="I97" s="10"/>
    </row>
    <row r="98" spans="1:11" x14ac:dyDescent="0.2">
      <c r="G98" s="10" t="s">
        <v>50</v>
      </c>
      <c r="H98" s="10"/>
      <c r="I98" s="10"/>
      <c r="J98"/>
      <c r="K98"/>
    </row>
    <row r="99" spans="1:11" x14ac:dyDescent="0.2">
      <c r="A99" s="30"/>
      <c r="B99" s="20" t="s">
        <v>23</v>
      </c>
      <c r="C99" s="1" t="s">
        <v>1</v>
      </c>
      <c r="D99" s="1" t="s">
        <v>203</v>
      </c>
      <c r="E99" s="1" t="s">
        <v>3</v>
      </c>
      <c r="F99" s="1" t="s">
        <v>16</v>
      </c>
      <c r="G99" s="10" t="s">
        <v>23</v>
      </c>
      <c r="H99" s="10"/>
      <c r="I99" s="10"/>
      <c r="J99"/>
      <c r="K99"/>
    </row>
    <row r="100" spans="1:11" x14ac:dyDescent="0.2">
      <c r="A100" s="10" t="s">
        <v>49</v>
      </c>
      <c r="B100" s="4">
        <f>B24+B40</f>
        <v>122289</v>
      </c>
      <c r="C100" s="4">
        <f>C24+C40</f>
        <v>520000580</v>
      </c>
      <c r="D100" s="4">
        <f>D24+D40</f>
        <v>12183365</v>
      </c>
      <c r="E100" s="4">
        <v>0</v>
      </c>
      <c r="F100" s="4">
        <f>SUM(C100:E100)</f>
        <v>532183945</v>
      </c>
      <c r="G100" s="6">
        <f t="shared" ref="G100:G105" si="9">B100/B$105</f>
        <v>0.42866457047311579</v>
      </c>
      <c r="J100"/>
      <c r="K100"/>
    </row>
    <row r="101" spans="1:11" x14ac:dyDescent="0.2">
      <c r="A101" s="10" t="s">
        <v>46</v>
      </c>
      <c r="B101" s="4">
        <f>B47+B48+B49</f>
        <v>47826</v>
      </c>
      <c r="C101" s="4">
        <f>C47+C48+C49</f>
        <v>255179548</v>
      </c>
      <c r="D101" s="4">
        <f>D47+D48+D49</f>
        <v>29197060</v>
      </c>
      <c r="E101" s="4">
        <f>E47+E48+E49</f>
        <v>13305756</v>
      </c>
      <c r="F101" s="4">
        <f>SUM(C101:E101)</f>
        <v>297682364</v>
      </c>
      <c r="G101" s="6">
        <f t="shared" si="9"/>
        <v>0.16764640930457553</v>
      </c>
      <c r="H101" s="12"/>
      <c r="I101" s="12"/>
      <c r="J101"/>
      <c r="K101"/>
    </row>
    <row r="102" spans="1:11" x14ac:dyDescent="0.2">
      <c r="A102" s="10" t="s">
        <v>47</v>
      </c>
      <c r="B102" s="4">
        <f>B50+B51+B52+B53</f>
        <v>43463</v>
      </c>
      <c r="C102" s="4">
        <f>C50+C51+C52+C53</f>
        <v>250252037</v>
      </c>
      <c r="D102" s="4">
        <f>D50+D51+D52+D53</f>
        <v>48217807</v>
      </c>
      <c r="E102" s="4">
        <f>E50+E51+E52+E53</f>
        <v>51396941</v>
      </c>
      <c r="F102" s="4">
        <f>SUM(C102:E102)</f>
        <v>349866785</v>
      </c>
      <c r="G102" s="6">
        <f t="shared" si="9"/>
        <v>0.15235260920011637</v>
      </c>
      <c r="H102" s="12"/>
      <c r="I102" s="12"/>
      <c r="J102"/>
      <c r="K102"/>
    </row>
    <row r="103" spans="1:11" x14ac:dyDescent="0.2">
      <c r="A103" s="10" t="s">
        <v>48</v>
      </c>
      <c r="B103" s="4">
        <f>B54+B55+B56+B57</f>
        <v>33757</v>
      </c>
      <c r="C103" s="4">
        <f>C54+C55+C56+C57</f>
        <v>192630368</v>
      </c>
      <c r="D103" s="4">
        <f>D54+D55+D56+D57</f>
        <v>53200702</v>
      </c>
      <c r="E103" s="4">
        <f>E54+E55+E56+E57</f>
        <v>85908981</v>
      </c>
      <c r="F103" s="4">
        <f>SUM(C103:E103)</f>
        <v>331740051</v>
      </c>
      <c r="G103" s="6">
        <f t="shared" si="9"/>
        <v>0.11832977541284147</v>
      </c>
      <c r="H103" s="12"/>
      <c r="I103" s="12"/>
      <c r="J103"/>
      <c r="K103"/>
    </row>
    <row r="104" spans="1:11" x14ac:dyDescent="0.2">
      <c r="A104" s="13" t="s">
        <v>55</v>
      </c>
      <c r="B104" s="14">
        <f>B58</f>
        <v>37944</v>
      </c>
      <c r="C104" s="14">
        <f>C58</f>
        <v>189632198</v>
      </c>
      <c r="D104" s="14">
        <f>D58</f>
        <v>56897563</v>
      </c>
      <c r="E104" s="14">
        <f>E58</f>
        <v>188389237</v>
      </c>
      <c r="F104" s="14">
        <f>SUM(C104:E104)</f>
        <v>434918998</v>
      </c>
      <c r="G104" s="28">
        <f t="shared" si="9"/>
        <v>0.13300663560935086</v>
      </c>
      <c r="H104" s="29"/>
      <c r="I104" s="46"/>
      <c r="J104"/>
      <c r="K104"/>
    </row>
    <row r="105" spans="1:11" x14ac:dyDescent="0.2">
      <c r="A105" s="10" t="s">
        <v>16</v>
      </c>
      <c r="B105" s="4">
        <f>SUM(B100:B104)</f>
        <v>285279</v>
      </c>
      <c r="C105" s="4">
        <f>SUM(C100:C104)</f>
        <v>1407694731</v>
      </c>
      <c r="D105" s="4">
        <f>SUM(D100:D104)</f>
        <v>199696497</v>
      </c>
      <c r="E105" s="4">
        <f>SUM(E100:E104)</f>
        <v>339000915</v>
      </c>
      <c r="F105" s="4">
        <f>SUM(F100:F104)</f>
        <v>1946392143</v>
      </c>
      <c r="G105" s="6">
        <f t="shared" si="9"/>
        <v>1</v>
      </c>
      <c r="H105" s="12"/>
      <c r="I105" s="12"/>
      <c r="J105"/>
      <c r="K105"/>
    </row>
  </sheetData>
  <phoneticPr fontId="0" type="noConversion"/>
  <pageMargins left="0.75" right="0.75" top="1" bottom="1" header="0.5" footer="0.5"/>
  <pageSetup scale="88" orientation="portrait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opLeftCell="A89" workbookViewId="0">
      <selection activeCell="G91" sqref="G91"/>
    </sheetView>
  </sheetViews>
  <sheetFormatPr defaultRowHeight="12.75" x14ac:dyDescent="0.2"/>
  <cols>
    <col min="1" max="1" width="13.7109375" style="10" customWidth="1"/>
    <col min="2" max="2" width="10.140625" style="4" customWidth="1"/>
    <col min="3" max="3" width="13.7109375" style="4" customWidth="1"/>
    <col min="4" max="4" width="12.7109375" style="4" customWidth="1"/>
    <col min="5" max="5" width="14.7109375" style="4" customWidth="1"/>
    <col min="6" max="6" width="13.85546875" style="3" customWidth="1"/>
    <col min="7" max="7" width="10.7109375" style="3" customWidth="1"/>
    <col min="8" max="8" width="11.42578125" style="3" customWidth="1"/>
    <col min="9" max="9" width="14.5703125" style="3" bestFit="1" customWidth="1"/>
    <col min="10" max="11" width="11.7109375" style="3" bestFit="1" customWidth="1"/>
  </cols>
  <sheetData>
    <row r="1" spans="1:11" x14ac:dyDescent="0.2">
      <c r="A1" s="22" t="s">
        <v>0</v>
      </c>
      <c r="B1" s="2"/>
      <c r="C1" s="2"/>
      <c r="D1" s="2"/>
      <c r="E1" s="2"/>
    </row>
    <row r="2" spans="1:11" x14ac:dyDescent="0.2">
      <c r="A2" s="88"/>
      <c r="B2" s="231"/>
      <c r="C2" s="275" t="s">
        <v>201</v>
      </c>
      <c r="D2" s="275" t="s">
        <v>182</v>
      </c>
      <c r="E2" s="275" t="s">
        <v>202</v>
      </c>
      <c r="F2" s="144"/>
    </row>
    <row r="3" spans="1:11" x14ac:dyDescent="0.2">
      <c r="A3" s="121"/>
      <c r="B3" s="145"/>
      <c r="C3" s="140" t="s">
        <v>1</v>
      </c>
      <c r="D3" s="140" t="s">
        <v>2</v>
      </c>
      <c r="E3" s="140" t="s">
        <v>3</v>
      </c>
      <c r="F3" s="146" t="s">
        <v>16</v>
      </c>
    </row>
    <row r="4" spans="1:11" x14ac:dyDescent="0.2">
      <c r="A4" s="147" t="s">
        <v>4</v>
      </c>
      <c r="B4" s="271" t="s">
        <v>23</v>
      </c>
      <c r="C4" s="273">
        <f>C70</f>
        <v>0.55705207764734688</v>
      </c>
      <c r="D4" s="273">
        <f>D70</f>
        <v>0.10770479614807503</v>
      </c>
      <c r="E4" s="273">
        <f>E70</f>
        <v>0.33524312620457808</v>
      </c>
      <c r="F4" s="148">
        <f>SUM(C4:E4)</f>
        <v>1</v>
      </c>
    </row>
    <row r="5" spans="1:11" x14ac:dyDescent="0.2">
      <c r="A5" s="149" t="s">
        <v>133</v>
      </c>
      <c r="B5" s="96">
        <f>B24</f>
        <v>688603</v>
      </c>
      <c r="C5" s="96">
        <f>C24</f>
        <v>1598427576</v>
      </c>
      <c r="D5" s="95"/>
      <c r="E5" s="96"/>
      <c r="F5" s="97">
        <f>SUM(B5:E5)</f>
        <v>1599116179</v>
      </c>
    </row>
    <row r="6" spans="1:11" x14ac:dyDescent="0.2">
      <c r="A6" s="149" t="s">
        <v>134</v>
      </c>
      <c r="B6" s="124">
        <f>B40</f>
        <v>433323</v>
      </c>
      <c r="C6" s="124">
        <f>C40</f>
        <v>1608506525</v>
      </c>
      <c r="D6" s="124">
        <f>D40</f>
        <v>63519513</v>
      </c>
      <c r="E6" s="96"/>
      <c r="F6" s="97">
        <f>SUM(B6:E6)</f>
        <v>1672459361</v>
      </c>
      <c r="G6" s="4"/>
    </row>
    <row r="7" spans="1:11" x14ac:dyDescent="0.2">
      <c r="A7" s="91" t="s">
        <v>101</v>
      </c>
      <c r="B7" s="100">
        <f>B59</f>
        <v>2667041</v>
      </c>
      <c r="C7" s="100">
        <f>C59</f>
        <v>11506879179</v>
      </c>
      <c r="D7" s="100">
        <f>D59</f>
        <v>2781363979</v>
      </c>
      <c r="E7" s="100">
        <f>E59</f>
        <v>8855015465</v>
      </c>
      <c r="F7" s="150">
        <f>SUM(B7:E7)</f>
        <v>23145925664</v>
      </c>
    </row>
    <row r="8" spans="1:11" x14ac:dyDescent="0.2">
      <c r="A8" s="151" t="s">
        <v>16</v>
      </c>
      <c r="B8" s="103">
        <f>SUM(B5:B7)</f>
        <v>3788967</v>
      </c>
      <c r="C8" s="103">
        <f>SUM(C5:C7)</f>
        <v>14713813280</v>
      </c>
      <c r="D8" s="103">
        <f>SUM(D5:D7)</f>
        <v>2844883492</v>
      </c>
      <c r="E8" s="103">
        <f>SUM(E5:E7)</f>
        <v>8855015465</v>
      </c>
      <c r="F8" s="104">
        <f>SUM(F5:F7)</f>
        <v>26417501204</v>
      </c>
    </row>
    <row r="9" spans="1:11" x14ac:dyDescent="0.2">
      <c r="A9" s="5"/>
    </row>
    <row r="10" spans="1:11" x14ac:dyDescent="0.2">
      <c r="A10" s="210" t="s">
        <v>175</v>
      </c>
      <c r="C10" s="270" t="s">
        <v>201</v>
      </c>
      <c r="D10" s="270" t="s">
        <v>182</v>
      </c>
      <c r="E10" s="270" t="s">
        <v>202</v>
      </c>
      <c r="G10" s="3" t="s">
        <v>22</v>
      </c>
      <c r="H10" s="3" t="s">
        <v>22</v>
      </c>
    </row>
    <row r="11" spans="1:11" x14ac:dyDescent="0.2">
      <c r="A11" s="7" t="s">
        <v>5</v>
      </c>
      <c r="B11" s="8" t="s">
        <v>6</v>
      </c>
      <c r="C11" s="8" t="s">
        <v>7</v>
      </c>
      <c r="D11" s="9"/>
      <c r="E11" s="9"/>
      <c r="F11" s="9" t="s">
        <v>8</v>
      </c>
      <c r="G11" s="9" t="s">
        <v>23</v>
      </c>
      <c r="H11" s="9" t="s">
        <v>24</v>
      </c>
      <c r="I11" s="9"/>
      <c r="J11" s="9"/>
      <c r="K11" s="9"/>
    </row>
    <row r="12" spans="1:11" x14ac:dyDescent="0.2">
      <c r="A12" s="10">
        <v>1</v>
      </c>
      <c r="B12">
        <v>4335</v>
      </c>
      <c r="C12">
        <v>441218</v>
      </c>
    </row>
    <row r="13" spans="1:11" x14ac:dyDescent="0.2">
      <c r="A13" s="10">
        <v>2</v>
      </c>
      <c r="B13">
        <v>3736</v>
      </c>
      <c r="C13">
        <v>831958</v>
      </c>
    </row>
    <row r="14" spans="1:11" x14ac:dyDescent="0.2">
      <c r="A14" s="10">
        <v>3</v>
      </c>
      <c r="B14">
        <v>3314</v>
      </c>
      <c r="C14">
        <v>1268748</v>
      </c>
    </row>
    <row r="15" spans="1:11" x14ac:dyDescent="0.2">
      <c r="A15" s="10">
        <v>4</v>
      </c>
      <c r="B15">
        <v>2547</v>
      </c>
      <c r="C15">
        <v>1329942</v>
      </c>
    </row>
    <row r="16" spans="1:11" x14ac:dyDescent="0.2">
      <c r="A16" s="10">
        <v>5</v>
      </c>
      <c r="B16">
        <v>2185</v>
      </c>
      <c r="C16">
        <v>1645813</v>
      </c>
    </row>
    <row r="17" spans="1:11" x14ac:dyDescent="0.2">
      <c r="A17" s="10">
        <v>6</v>
      </c>
      <c r="B17">
        <v>2355</v>
      </c>
      <c r="C17">
        <v>2138020</v>
      </c>
    </row>
    <row r="18" spans="1:11" x14ac:dyDescent="0.2">
      <c r="A18" s="10">
        <v>7</v>
      </c>
      <c r="B18">
        <v>2346</v>
      </c>
      <c r="C18">
        <v>2754289</v>
      </c>
    </row>
    <row r="19" spans="1:11" x14ac:dyDescent="0.2">
      <c r="A19" s="10">
        <v>8</v>
      </c>
      <c r="B19">
        <v>2464</v>
      </c>
      <c r="C19">
        <v>3458013</v>
      </c>
    </row>
    <row r="20" spans="1:11" x14ac:dyDescent="0.2">
      <c r="A20" s="10">
        <v>9</v>
      </c>
      <c r="B20">
        <v>2842</v>
      </c>
      <c r="C20">
        <v>4302288</v>
      </c>
    </row>
    <row r="21" spans="1:11" x14ac:dyDescent="0.2">
      <c r="A21" s="10">
        <v>10</v>
      </c>
      <c r="B21">
        <v>4049</v>
      </c>
      <c r="C21">
        <v>7199403</v>
      </c>
    </row>
    <row r="22" spans="1:11" x14ac:dyDescent="0.2">
      <c r="A22" s="10">
        <v>11</v>
      </c>
      <c r="B22">
        <v>10330</v>
      </c>
      <c r="C22">
        <v>21451150</v>
      </c>
    </row>
    <row r="23" spans="1:11" x14ac:dyDescent="0.2">
      <c r="A23" s="10">
        <v>12</v>
      </c>
      <c r="B23">
        <v>648100</v>
      </c>
      <c r="C23">
        <v>1551606734</v>
      </c>
      <c r="H23" s="11"/>
    </row>
    <row r="24" spans="1:11" x14ac:dyDescent="0.2">
      <c r="B24" s="4">
        <f>SUM(B12:B23)</f>
        <v>688603</v>
      </c>
      <c r="C24" s="4">
        <f>SUM(C12:C23)</f>
        <v>1598427576</v>
      </c>
      <c r="D24" s="3"/>
      <c r="E24" s="3"/>
      <c r="F24" s="4">
        <f>SUM(C24:E24)</f>
        <v>1598427576</v>
      </c>
      <c r="G24" s="6">
        <f>B24/B$69</f>
        <v>0.1817389805717495</v>
      </c>
      <c r="H24" s="12">
        <f>F24/F$69</f>
        <v>6.0515067388405272E-2</v>
      </c>
    </row>
    <row r="25" spans="1:11" x14ac:dyDescent="0.2">
      <c r="D25" s="3"/>
      <c r="E25" s="3"/>
    </row>
    <row r="26" spans="1:11" x14ac:dyDescent="0.2">
      <c r="A26" s="210" t="s">
        <v>175</v>
      </c>
      <c r="C26" s="270" t="s">
        <v>201</v>
      </c>
      <c r="D26" s="270" t="s">
        <v>182</v>
      </c>
      <c r="E26" s="270" t="s">
        <v>202</v>
      </c>
    </row>
    <row r="27" spans="1:11" x14ac:dyDescent="0.2">
      <c r="A27" s="7" t="s">
        <v>9</v>
      </c>
      <c r="B27" s="8" t="s">
        <v>6</v>
      </c>
      <c r="C27" s="8" t="s">
        <v>7</v>
      </c>
      <c r="D27" s="8" t="s">
        <v>10</v>
      </c>
      <c r="F27" s="9" t="s">
        <v>16</v>
      </c>
      <c r="G27" s="9"/>
      <c r="H27" s="9"/>
      <c r="I27" s="9"/>
      <c r="J27" s="9"/>
      <c r="K27" s="9"/>
    </row>
    <row r="28" spans="1:11" x14ac:dyDescent="0.2">
      <c r="A28" s="10">
        <v>1</v>
      </c>
      <c r="B28">
        <v>124894</v>
      </c>
      <c r="C28">
        <v>407382134</v>
      </c>
      <c r="D28">
        <v>4434147</v>
      </c>
      <c r="F28" s="4">
        <f t="shared" ref="F28:F39" si="0">SUM(C28:D28)</f>
        <v>411816281</v>
      </c>
      <c r="I28" s="6">
        <f t="shared" ref="I28:I39" si="1">D28/F28</f>
        <v>1.0767294069172558E-2</v>
      </c>
    </row>
    <row r="29" spans="1:11" x14ac:dyDescent="0.2">
      <c r="A29" s="10">
        <v>2</v>
      </c>
      <c r="B29">
        <v>79848</v>
      </c>
      <c r="C29">
        <v>287890095</v>
      </c>
      <c r="D29">
        <v>6258755</v>
      </c>
      <c r="F29" s="4">
        <f t="shared" si="0"/>
        <v>294148850</v>
      </c>
      <c r="I29" s="6">
        <f t="shared" si="1"/>
        <v>2.1277509668999217E-2</v>
      </c>
    </row>
    <row r="30" spans="1:11" x14ac:dyDescent="0.2">
      <c r="A30" s="10">
        <v>3</v>
      </c>
      <c r="B30">
        <v>57172</v>
      </c>
      <c r="C30">
        <v>217963569</v>
      </c>
      <c r="D30">
        <v>6891423</v>
      </c>
      <c r="F30" s="4">
        <f t="shared" si="0"/>
        <v>224854992</v>
      </c>
      <c r="I30" s="6">
        <f t="shared" si="1"/>
        <v>3.0648298882330352E-2</v>
      </c>
    </row>
    <row r="31" spans="1:11" x14ac:dyDescent="0.2">
      <c r="A31" s="10">
        <v>4</v>
      </c>
      <c r="B31">
        <v>43616</v>
      </c>
      <c r="C31">
        <v>171567065</v>
      </c>
      <c r="D31">
        <v>6929882</v>
      </c>
      <c r="F31" s="4">
        <f t="shared" si="0"/>
        <v>178496947</v>
      </c>
      <c r="I31" s="6">
        <f t="shared" si="1"/>
        <v>3.8823532371116687E-2</v>
      </c>
    </row>
    <row r="32" spans="1:11" x14ac:dyDescent="0.2">
      <c r="A32" s="10">
        <v>5</v>
      </c>
      <c r="B32">
        <v>34186</v>
      </c>
      <c r="C32">
        <v>139114176</v>
      </c>
      <c r="D32">
        <v>6822571</v>
      </c>
      <c r="F32" s="4">
        <f t="shared" si="0"/>
        <v>145936747</v>
      </c>
      <c r="I32" s="6">
        <f t="shared" si="1"/>
        <v>4.6750192396710064E-2</v>
      </c>
    </row>
    <row r="33" spans="1:11" x14ac:dyDescent="0.2">
      <c r="A33" s="10">
        <v>6</v>
      </c>
      <c r="B33">
        <v>25598</v>
      </c>
      <c r="C33">
        <v>107575910</v>
      </c>
      <c r="D33">
        <v>6301909</v>
      </c>
      <c r="F33" s="4">
        <f t="shared" si="0"/>
        <v>113877819</v>
      </c>
      <c r="I33" s="6">
        <f t="shared" si="1"/>
        <v>5.533921403956639E-2</v>
      </c>
    </row>
    <row r="34" spans="1:11" x14ac:dyDescent="0.2">
      <c r="A34" s="10">
        <v>7</v>
      </c>
      <c r="B34">
        <v>17263</v>
      </c>
      <c r="C34">
        <v>69791416</v>
      </c>
      <c r="D34">
        <v>4669537</v>
      </c>
      <c r="F34" s="4">
        <f t="shared" si="0"/>
        <v>74460953</v>
      </c>
      <c r="I34" s="6">
        <f t="shared" si="1"/>
        <v>6.2711217246977757E-2</v>
      </c>
    </row>
    <row r="35" spans="1:11" x14ac:dyDescent="0.2">
      <c r="A35" s="10">
        <v>8</v>
      </c>
      <c r="B35">
        <v>13460</v>
      </c>
      <c r="C35">
        <v>52835230</v>
      </c>
      <c r="D35">
        <v>4073486</v>
      </c>
      <c r="F35" s="4">
        <f t="shared" si="0"/>
        <v>56908716</v>
      </c>
      <c r="I35" s="6">
        <f t="shared" si="1"/>
        <v>7.1579299030398086E-2</v>
      </c>
    </row>
    <row r="36" spans="1:11" x14ac:dyDescent="0.2">
      <c r="A36" s="10">
        <v>9</v>
      </c>
      <c r="B36">
        <v>11135</v>
      </c>
      <c r="C36">
        <v>44358544</v>
      </c>
      <c r="D36">
        <v>3894378</v>
      </c>
      <c r="F36" s="4">
        <f t="shared" si="0"/>
        <v>48252922</v>
      </c>
      <c r="I36" s="6">
        <f t="shared" si="1"/>
        <v>8.0707609789931481E-2</v>
      </c>
    </row>
    <row r="37" spans="1:11" x14ac:dyDescent="0.2">
      <c r="A37" s="10">
        <v>10</v>
      </c>
      <c r="B37">
        <v>9430</v>
      </c>
      <c r="C37">
        <v>39713508</v>
      </c>
      <c r="D37">
        <v>3994276</v>
      </c>
      <c r="F37" s="4">
        <f t="shared" si="0"/>
        <v>43707784</v>
      </c>
      <c r="I37" s="6">
        <f t="shared" si="1"/>
        <v>9.1385918810251279E-2</v>
      </c>
    </row>
    <row r="38" spans="1:11" x14ac:dyDescent="0.2">
      <c r="A38" s="10">
        <v>11</v>
      </c>
      <c r="B38">
        <v>8253</v>
      </c>
      <c r="C38">
        <v>33129568</v>
      </c>
      <c r="D38">
        <v>3876223</v>
      </c>
      <c r="F38" s="4">
        <f t="shared" si="0"/>
        <v>37005791</v>
      </c>
      <c r="I38" s="6">
        <f t="shared" si="1"/>
        <v>0.10474638955832616</v>
      </c>
    </row>
    <row r="39" spans="1:11" x14ac:dyDescent="0.2">
      <c r="A39" s="10">
        <v>12</v>
      </c>
      <c r="B39">
        <v>8468</v>
      </c>
      <c r="C39">
        <v>37185310</v>
      </c>
      <c r="D39">
        <v>5372926</v>
      </c>
      <c r="F39" s="4">
        <f t="shared" si="0"/>
        <v>42558236</v>
      </c>
      <c r="I39" s="6">
        <f t="shared" si="1"/>
        <v>0.12624879471038225</v>
      </c>
    </row>
    <row r="40" spans="1:11" x14ac:dyDescent="0.2">
      <c r="B40" s="4">
        <f>SUM(B28:B39)</f>
        <v>433323</v>
      </c>
      <c r="C40" s="4">
        <f>SUM(C28:C39)</f>
        <v>1608506525</v>
      </c>
      <c r="D40" s="4">
        <f>SUM(D28:D39)</f>
        <v>63519513</v>
      </c>
      <c r="F40" s="4">
        <f>SUM(F28:F39)</f>
        <v>1672026038</v>
      </c>
      <c r="G40" s="6">
        <f>B40/B$69</f>
        <v>0.11436441647551958</v>
      </c>
      <c r="H40" s="12">
        <f>F40/F$69</f>
        <v>6.3301440668299805E-2</v>
      </c>
    </row>
    <row r="41" spans="1:11" x14ac:dyDescent="0.2">
      <c r="C41" s="6">
        <f>C40/$F40</f>
        <v>0.96201045225588766</v>
      </c>
      <c r="D41" s="6">
        <f>D40/$F40</f>
        <v>3.7989547744112347E-2</v>
      </c>
      <c r="E41" s="6"/>
    </row>
    <row r="42" spans="1:11" x14ac:dyDescent="0.2">
      <c r="B42" s="4">
        <f>B24+B40</f>
        <v>1121926</v>
      </c>
      <c r="C42" s="4">
        <f>C24+C40</f>
        <v>3206934101</v>
      </c>
      <c r="D42" s="4">
        <f>D24+D40</f>
        <v>63519513</v>
      </c>
      <c r="F42" s="4"/>
      <c r="G42" s="6"/>
    </row>
    <row r="43" spans="1:11" x14ac:dyDescent="0.2">
      <c r="D43" s="6"/>
      <c r="E43" s="6"/>
      <c r="G43" s="6"/>
    </row>
    <row r="44" spans="1:11" x14ac:dyDescent="0.2">
      <c r="A44" s="210" t="s">
        <v>175</v>
      </c>
      <c r="C44" s="270" t="s">
        <v>201</v>
      </c>
      <c r="D44" s="270" t="s">
        <v>182</v>
      </c>
      <c r="E44" s="270" t="s">
        <v>202</v>
      </c>
    </row>
    <row r="45" spans="1:11" x14ac:dyDescent="0.2">
      <c r="A45" s="7" t="s">
        <v>11</v>
      </c>
      <c r="B45" s="8" t="s">
        <v>6</v>
      </c>
      <c r="C45" s="8" t="s">
        <v>7</v>
      </c>
      <c r="D45" s="8" t="s">
        <v>10</v>
      </c>
      <c r="E45" s="8" t="s">
        <v>12</v>
      </c>
      <c r="F45" s="9"/>
      <c r="G45" s="9"/>
      <c r="H45" s="9"/>
      <c r="I45" s="9"/>
      <c r="J45" s="9"/>
      <c r="K45" s="9"/>
    </row>
    <row r="47" spans="1:11" x14ac:dyDescent="0.2">
      <c r="A47" s="10">
        <v>1</v>
      </c>
      <c r="B47">
        <v>191990</v>
      </c>
      <c r="C47">
        <v>723811798</v>
      </c>
      <c r="D47">
        <v>61642358</v>
      </c>
      <c r="E47">
        <v>18462905</v>
      </c>
      <c r="F47" s="4">
        <f t="shared" ref="F47:F58" si="2">SUM(C47:E47)</f>
        <v>803917061</v>
      </c>
      <c r="I47" s="6">
        <f t="shared" ref="I47:I59" si="3">E47/F47</f>
        <v>2.2966181333474649E-2</v>
      </c>
    </row>
    <row r="48" spans="1:11" x14ac:dyDescent="0.2">
      <c r="A48" s="10">
        <v>2</v>
      </c>
      <c r="B48">
        <v>149962</v>
      </c>
      <c r="C48">
        <v>601089316</v>
      </c>
      <c r="D48">
        <v>70030129</v>
      </c>
      <c r="E48">
        <v>32896064</v>
      </c>
      <c r="F48" s="4">
        <f t="shared" si="2"/>
        <v>704015509</v>
      </c>
      <c r="I48" s="6">
        <f t="shared" si="3"/>
        <v>4.6726334263184531E-2</v>
      </c>
    </row>
    <row r="49" spans="1:10" x14ac:dyDescent="0.2">
      <c r="A49" s="10">
        <v>3</v>
      </c>
      <c r="B49">
        <v>139962</v>
      </c>
      <c r="C49">
        <v>584306203</v>
      </c>
      <c r="D49">
        <v>82571627</v>
      </c>
      <c r="E49">
        <v>58554341</v>
      </c>
      <c r="F49" s="4">
        <f t="shared" si="2"/>
        <v>725432171</v>
      </c>
      <c r="I49" s="6">
        <f t="shared" si="3"/>
        <v>8.0716493341181028E-2</v>
      </c>
    </row>
    <row r="50" spans="1:10" x14ac:dyDescent="0.2">
      <c r="A50" s="10">
        <v>4</v>
      </c>
      <c r="B50">
        <v>141597</v>
      </c>
      <c r="C50">
        <v>613971309</v>
      </c>
      <c r="D50">
        <v>100248660</v>
      </c>
      <c r="E50">
        <v>95599215</v>
      </c>
      <c r="F50" s="4">
        <f t="shared" si="2"/>
        <v>809819184</v>
      </c>
      <c r="G50" s="4"/>
      <c r="I50" s="6">
        <f t="shared" si="3"/>
        <v>0.11805007449662985</v>
      </c>
    </row>
    <row r="51" spans="1:10" x14ac:dyDescent="0.2">
      <c r="A51" s="10">
        <v>5</v>
      </c>
      <c r="B51">
        <v>138210</v>
      </c>
      <c r="C51">
        <v>635694758</v>
      </c>
      <c r="D51">
        <v>114901676</v>
      </c>
      <c r="E51">
        <v>134466856</v>
      </c>
      <c r="F51" s="4">
        <f t="shared" si="2"/>
        <v>885063290</v>
      </c>
      <c r="I51" s="6">
        <f t="shared" si="3"/>
        <v>0.15192908520700255</v>
      </c>
    </row>
    <row r="52" spans="1:10" x14ac:dyDescent="0.2">
      <c r="A52" s="10">
        <v>6</v>
      </c>
      <c r="B52">
        <v>127067</v>
      </c>
      <c r="C52">
        <v>609200028</v>
      </c>
      <c r="D52">
        <v>122081960</v>
      </c>
      <c r="E52">
        <v>155830320</v>
      </c>
      <c r="F52" s="4">
        <f t="shared" si="2"/>
        <v>887112308</v>
      </c>
      <c r="I52" s="6">
        <f t="shared" si="3"/>
        <v>0.17566019386127152</v>
      </c>
    </row>
    <row r="53" spans="1:10" x14ac:dyDescent="0.2">
      <c r="A53" s="10">
        <v>7</v>
      </c>
      <c r="B53">
        <v>105259</v>
      </c>
      <c r="C53">
        <v>479949297</v>
      </c>
      <c r="D53">
        <v>111661794</v>
      </c>
      <c r="E53">
        <v>149956545</v>
      </c>
      <c r="F53" s="4">
        <f t="shared" si="2"/>
        <v>741567636</v>
      </c>
      <c r="I53" s="12">
        <f t="shared" si="3"/>
        <v>0.20221560073584441</v>
      </c>
    </row>
    <row r="54" spans="1:10" x14ac:dyDescent="0.2">
      <c r="A54" s="10">
        <v>8</v>
      </c>
      <c r="B54">
        <v>102022</v>
      </c>
      <c r="C54">
        <v>461813994</v>
      </c>
      <c r="D54">
        <v>116366109</v>
      </c>
      <c r="E54">
        <v>170810752</v>
      </c>
      <c r="F54" s="4">
        <f t="shared" si="2"/>
        <v>748990855</v>
      </c>
      <c r="I54" s="6">
        <f t="shared" si="3"/>
        <v>0.22805452277518129</v>
      </c>
    </row>
    <row r="55" spans="1:10" x14ac:dyDescent="0.2">
      <c r="A55" s="10">
        <v>9</v>
      </c>
      <c r="B55">
        <v>110583</v>
      </c>
      <c r="C55">
        <v>499459205</v>
      </c>
      <c r="D55">
        <v>133140182</v>
      </c>
      <c r="E55">
        <v>218729573</v>
      </c>
      <c r="F55" s="4">
        <f t="shared" si="2"/>
        <v>851328960</v>
      </c>
      <c r="I55" s="6">
        <f t="shared" si="3"/>
        <v>0.25692720825566651</v>
      </c>
    </row>
    <row r="56" spans="1:10" x14ac:dyDescent="0.2">
      <c r="A56" s="10">
        <v>10</v>
      </c>
      <c r="B56">
        <v>133488</v>
      </c>
      <c r="C56">
        <v>601143654</v>
      </c>
      <c r="D56">
        <v>167861903</v>
      </c>
      <c r="E56">
        <v>319180703</v>
      </c>
      <c r="F56" s="4">
        <f t="shared" si="2"/>
        <v>1088186260</v>
      </c>
      <c r="I56" s="6">
        <f t="shared" si="3"/>
        <v>0.29331440281188625</v>
      </c>
    </row>
    <row r="57" spans="1:10" x14ac:dyDescent="0.2">
      <c r="A57" s="10">
        <v>11</v>
      </c>
      <c r="B57">
        <v>202985</v>
      </c>
      <c r="C57">
        <v>912901210</v>
      </c>
      <c r="D57">
        <v>265353579</v>
      </c>
      <c r="E57">
        <v>641956430</v>
      </c>
      <c r="F57" s="4">
        <f t="shared" si="2"/>
        <v>1820211219</v>
      </c>
      <c r="I57" s="6">
        <f t="shared" si="3"/>
        <v>0.35268238284603165</v>
      </c>
    </row>
    <row r="58" spans="1:10" x14ac:dyDescent="0.2">
      <c r="A58" s="13">
        <v>12</v>
      </c>
      <c r="B58">
        <v>1123916</v>
      </c>
      <c r="C58">
        <v>4783538407</v>
      </c>
      <c r="D58">
        <v>1435504002</v>
      </c>
      <c r="E58">
        <v>6858571761</v>
      </c>
      <c r="F58" s="14">
        <f t="shared" si="2"/>
        <v>13077614170</v>
      </c>
      <c r="I58" s="6">
        <f t="shared" si="3"/>
        <v>0.52445130066105938</v>
      </c>
      <c r="J58" s="6"/>
    </row>
    <row r="59" spans="1:10" x14ac:dyDescent="0.2">
      <c r="A59" s="10" t="s">
        <v>25</v>
      </c>
      <c r="B59" s="4">
        <f>SUM(B47:B58)</f>
        <v>2667041</v>
      </c>
      <c r="C59" s="4">
        <f>SUM(C47:C58)</f>
        <v>11506879179</v>
      </c>
      <c r="D59" s="4">
        <f>SUM(D47:D58)</f>
        <v>2781363979</v>
      </c>
      <c r="E59" s="4">
        <f>SUM(E47:E58)</f>
        <v>8855015465</v>
      </c>
      <c r="F59" s="4">
        <f>SUM(F47:F58)</f>
        <v>23143258623</v>
      </c>
      <c r="G59" s="6">
        <f>B59/B$69</f>
        <v>0.70389660295273093</v>
      </c>
      <c r="H59" s="12">
        <f>F59/F$69</f>
        <v>0.87618349194329492</v>
      </c>
      <c r="I59" s="6">
        <f t="shared" si="3"/>
        <v>0.38261748741812002</v>
      </c>
    </row>
    <row r="60" spans="1:10" x14ac:dyDescent="0.2">
      <c r="C60" s="12">
        <f>C59/$F59</f>
        <v>0.49720220330443654</v>
      </c>
      <c r="D60" s="12">
        <f>D59/$F59</f>
        <v>0.12018030927744344</v>
      </c>
      <c r="E60" s="12">
        <f>E59/$F59</f>
        <v>0.38261748741812002</v>
      </c>
      <c r="F60" s="4">
        <f>F59/B59</f>
        <v>8677.5038790179824</v>
      </c>
      <c r="G60" s="6"/>
      <c r="H60" s="12"/>
    </row>
    <row r="61" spans="1:10" x14ac:dyDescent="0.2">
      <c r="C61" s="12"/>
      <c r="D61" s="12"/>
      <c r="E61" s="12"/>
      <c r="F61" s="4"/>
      <c r="G61" s="6"/>
      <c r="H61" s="12"/>
    </row>
    <row r="62" spans="1:10" x14ac:dyDescent="0.2">
      <c r="A62" s="10" t="s">
        <v>26</v>
      </c>
      <c r="B62" s="4">
        <f>SUM(B47:B49)</f>
        <v>481914</v>
      </c>
      <c r="C62" s="4">
        <f>SUM(C47:C49)</f>
        <v>1909207317</v>
      </c>
      <c r="D62" s="4">
        <f>SUM(D47:D49)</f>
        <v>214244114</v>
      </c>
      <c r="E62" s="4">
        <f>SUM(E47:E49)</f>
        <v>109913310</v>
      </c>
      <c r="F62" s="4">
        <f>SUM(F47:F49)</f>
        <v>2233364741</v>
      </c>
      <c r="G62" s="6">
        <f>B62/B69</f>
        <v>0.1271887561966098</v>
      </c>
    </row>
    <row r="63" spans="1:10" x14ac:dyDescent="0.2">
      <c r="A63" s="10" t="s">
        <v>32</v>
      </c>
      <c r="B63" s="6"/>
      <c r="C63" s="6">
        <f>C62/$F62</f>
        <v>0.85485692594266671</v>
      </c>
      <c r="D63" s="6">
        <f>D62/$F62</f>
        <v>9.5928851238186535E-2</v>
      </c>
      <c r="E63" s="6">
        <f>E62/$F62</f>
        <v>4.9214222819146766E-2</v>
      </c>
      <c r="F63" s="4">
        <f>F62/B62</f>
        <v>4634.3636852218442</v>
      </c>
    </row>
    <row r="64" spans="1:10" x14ac:dyDescent="0.2">
      <c r="F64" s="4"/>
      <c r="G64" s="6"/>
    </row>
    <row r="65" spans="1:7" x14ac:dyDescent="0.2">
      <c r="A65" s="5" t="s">
        <v>14</v>
      </c>
      <c r="B65" s="4">
        <f>B58</f>
        <v>1123916</v>
      </c>
      <c r="C65" s="4">
        <f>C58</f>
        <v>4783538407</v>
      </c>
      <c r="D65" s="4">
        <f>D58</f>
        <v>1435504002</v>
      </c>
      <c r="E65" s="4">
        <f>E58</f>
        <v>6858571761</v>
      </c>
      <c r="F65" s="4">
        <f>SUM(C65:E65)</f>
        <v>13077614170</v>
      </c>
      <c r="G65" s="6">
        <f>B65/B69</f>
        <v>0.29662860616099324</v>
      </c>
    </row>
    <row r="66" spans="1:7" x14ac:dyDescent="0.2">
      <c r="A66" s="10" t="s">
        <v>32</v>
      </c>
      <c r="B66" s="3"/>
      <c r="C66" s="6">
        <f>C65/$F65</f>
        <v>0.36578066494524819</v>
      </c>
      <c r="D66" s="6">
        <f>D65/$F65</f>
        <v>0.10976803439369247</v>
      </c>
      <c r="E66" s="6">
        <f>E65/$F65</f>
        <v>0.52445130066105938</v>
      </c>
      <c r="F66" s="4">
        <f>F65/B65</f>
        <v>11635.757627794248</v>
      </c>
    </row>
    <row r="67" spans="1:7" x14ac:dyDescent="0.2">
      <c r="B67" s="6"/>
      <c r="C67" s="6"/>
      <c r="D67" s="6"/>
      <c r="E67" s="6"/>
    </row>
    <row r="68" spans="1:7" x14ac:dyDescent="0.2">
      <c r="F68" s="4"/>
      <c r="G68" s="6"/>
    </row>
    <row r="69" spans="1:7" x14ac:dyDescent="0.2">
      <c r="A69" s="10" t="s">
        <v>13</v>
      </c>
      <c r="B69" s="4">
        <f>B24+B40+B59</f>
        <v>3788967</v>
      </c>
      <c r="C69" s="4">
        <f>C24+C40+C59</f>
        <v>14713813280</v>
      </c>
      <c r="D69" s="4">
        <f>D24+D40+D59</f>
        <v>2844883492</v>
      </c>
      <c r="E69" s="4">
        <f>E24+E40+E59</f>
        <v>8855015465</v>
      </c>
      <c r="F69" s="4">
        <f>SUM(C69:E69)</f>
        <v>26413712237</v>
      </c>
    </row>
    <row r="70" spans="1:7" x14ac:dyDescent="0.2">
      <c r="C70" s="6">
        <f>C69/$F69</f>
        <v>0.55705207764734688</v>
      </c>
      <c r="D70" s="6">
        <f>D69/$F69</f>
        <v>0.10770479614807503</v>
      </c>
      <c r="E70" s="6">
        <f>E69/$F69</f>
        <v>0.33524312620457808</v>
      </c>
      <c r="F70" s="4">
        <f>F69/B69</f>
        <v>6971.2172834970588</v>
      </c>
    </row>
    <row r="71" spans="1:7" x14ac:dyDescent="0.2">
      <c r="F71" s="4"/>
    </row>
    <row r="73" spans="1:7" x14ac:dyDescent="0.2">
      <c r="A73" s="10" t="s">
        <v>37</v>
      </c>
      <c r="B73" s="4">
        <v>1295774</v>
      </c>
      <c r="C73" s="4">
        <v>3756167710</v>
      </c>
      <c r="D73" s="4">
        <v>75702878</v>
      </c>
      <c r="E73" s="4">
        <v>0</v>
      </c>
      <c r="F73" s="4">
        <f>SUM(B73:E73)</f>
        <v>3833166362</v>
      </c>
      <c r="G73" s="6">
        <f>B73/B69</f>
        <v>0.34198608750089404</v>
      </c>
    </row>
    <row r="74" spans="1:7" x14ac:dyDescent="0.2">
      <c r="C74" s="6">
        <f>C73/$F73</f>
        <v>0.97991252016522834</v>
      </c>
      <c r="D74" s="6">
        <f>D73/$F73</f>
        <v>1.9749437110394844E-2</v>
      </c>
      <c r="E74" s="6">
        <f>E73/$F73</f>
        <v>0</v>
      </c>
      <c r="F74" s="4">
        <f>F73/B73</f>
        <v>2958.2059541247163</v>
      </c>
    </row>
    <row r="75" spans="1:7" x14ac:dyDescent="0.2">
      <c r="C75" s="6"/>
      <c r="D75" s="6"/>
      <c r="E75" s="6"/>
      <c r="F75" s="4"/>
    </row>
    <row r="76" spans="1:7" x14ac:dyDescent="0.2">
      <c r="A76" s="9" t="s">
        <v>15</v>
      </c>
      <c r="B76" s="3"/>
      <c r="F76" s="4"/>
    </row>
    <row r="77" spans="1:7" x14ac:dyDescent="0.2">
      <c r="A77" s="10" t="s">
        <v>36</v>
      </c>
      <c r="B77" s="7" t="s">
        <v>28</v>
      </c>
      <c r="C77" s="4" t="s">
        <v>18</v>
      </c>
      <c r="D77" s="7" t="s">
        <v>9</v>
      </c>
      <c r="E77" s="4" t="s">
        <v>17</v>
      </c>
      <c r="F77" s="7" t="s">
        <v>11</v>
      </c>
    </row>
    <row r="78" spans="1:7" x14ac:dyDescent="0.2">
      <c r="A78" s="10">
        <v>1</v>
      </c>
      <c r="B78" s="3">
        <f t="shared" ref="B78:B89" si="4">A12*B12</f>
        <v>4335</v>
      </c>
      <c r="C78" s="3">
        <f t="shared" ref="C78:C89" si="5">(12-A28)*B28</f>
        <v>1373834</v>
      </c>
      <c r="D78" s="3">
        <f t="shared" ref="D78:D89" si="6">A28*B28</f>
        <v>124894</v>
      </c>
      <c r="E78" s="3">
        <f t="shared" ref="E78:E89" si="7">(12-A47)*B47</f>
        <v>2111890</v>
      </c>
      <c r="F78" s="3">
        <f t="shared" ref="F78:F89" si="8">A47*B47</f>
        <v>191990</v>
      </c>
    </row>
    <row r="79" spans="1:7" x14ac:dyDescent="0.2">
      <c r="A79" s="10">
        <v>2</v>
      </c>
      <c r="B79" s="3">
        <f t="shared" si="4"/>
        <v>7472</v>
      </c>
      <c r="C79" s="3">
        <f t="shared" si="5"/>
        <v>798480</v>
      </c>
      <c r="D79" s="3">
        <f t="shared" si="6"/>
        <v>159696</v>
      </c>
      <c r="E79" s="3">
        <f t="shared" si="7"/>
        <v>1499620</v>
      </c>
      <c r="F79" s="3">
        <f t="shared" si="8"/>
        <v>299924</v>
      </c>
    </row>
    <row r="80" spans="1:7" x14ac:dyDescent="0.2">
      <c r="A80" s="10">
        <v>3</v>
      </c>
      <c r="B80" s="3">
        <f t="shared" si="4"/>
        <v>9942</v>
      </c>
      <c r="C80" s="3">
        <f t="shared" si="5"/>
        <v>514548</v>
      </c>
      <c r="D80" s="3">
        <f t="shared" si="6"/>
        <v>171516</v>
      </c>
      <c r="E80" s="3">
        <f t="shared" si="7"/>
        <v>1259658</v>
      </c>
      <c r="F80" s="3">
        <f t="shared" si="8"/>
        <v>419886</v>
      </c>
    </row>
    <row r="81" spans="1:7" x14ac:dyDescent="0.2">
      <c r="A81" s="10">
        <v>4</v>
      </c>
      <c r="B81" s="3">
        <f t="shared" si="4"/>
        <v>10188</v>
      </c>
      <c r="C81" s="3">
        <f t="shared" si="5"/>
        <v>348928</v>
      </c>
      <c r="D81" s="3">
        <f t="shared" si="6"/>
        <v>174464</v>
      </c>
      <c r="E81" s="3">
        <f t="shared" si="7"/>
        <v>1132776</v>
      </c>
      <c r="F81" s="3">
        <f t="shared" si="8"/>
        <v>566388</v>
      </c>
    </row>
    <row r="82" spans="1:7" x14ac:dyDescent="0.2">
      <c r="A82" s="10">
        <v>5</v>
      </c>
      <c r="B82" s="3">
        <f t="shared" si="4"/>
        <v>10925</v>
      </c>
      <c r="C82" s="3">
        <f t="shared" si="5"/>
        <v>239302</v>
      </c>
      <c r="D82" s="3">
        <f t="shared" si="6"/>
        <v>170930</v>
      </c>
      <c r="E82" s="3">
        <f t="shared" si="7"/>
        <v>967470</v>
      </c>
      <c r="F82" s="3">
        <f t="shared" si="8"/>
        <v>691050</v>
      </c>
    </row>
    <row r="83" spans="1:7" x14ac:dyDescent="0.2">
      <c r="A83" s="10">
        <v>6</v>
      </c>
      <c r="B83" s="3">
        <f t="shared" si="4"/>
        <v>14130</v>
      </c>
      <c r="C83" s="3">
        <f t="shared" si="5"/>
        <v>153588</v>
      </c>
      <c r="D83" s="3">
        <f t="shared" si="6"/>
        <v>153588</v>
      </c>
      <c r="E83" s="3">
        <f t="shared" si="7"/>
        <v>762402</v>
      </c>
      <c r="F83" s="3">
        <f t="shared" si="8"/>
        <v>762402</v>
      </c>
    </row>
    <row r="84" spans="1:7" x14ac:dyDescent="0.2">
      <c r="A84" s="10">
        <v>7</v>
      </c>
      <c r="B84" s="3">
        <f t="shared" si="4"/>
        <v>16422</v>
      </c>
      <c r="C84" s="3">
        <f t="shared" si="5"/>
        <v>86315</v>
      </c>
      <c r="D84" s="3">
        <f t="shared" si="6"/>
        <v>120841</v>
      </c>
      <c r="E84" s="3">
        <f t="shared" si="7"/>
        <v>526295</v>
      </c>
      <c r="F84" s="3">
        <f t="shared" si="8"/>
        <v>736813</v>
      </c>
    </row>
    <row r="85" spans="1:7" x14ac:dyDescent="0.2">
      <c r="A85" s="10">
        <v>8</v>
      </c>
      <c r="B85" s="3">
        <f t="shared" si="4"/>
        <v>19712</v>
      </c>
      <c r="C85" s="3">
        <f t="shared" si="5"/>
        <v>53840</v>
      </c>
      <c r="D85" s="3">
        <f t="shared" si="6"/>
        <v>107680</v>
      </c>
      <c r="E85" s="3">
        <f t="shared" si="7"/>
        <v>408088</v>
      </c>
      <c r="F85" s="3">
        <f t="shared" si="8"/>
        <v>816176</v>
      </c>
    </row>
    <row r="86" spans="1:7" x14ac:dyDescent="0.2">
      <c r="A86" s="10">
        <v>9</v>
      </c>
      <c r="B86" s="3">
        <f t="shared" si="4"/>
        <v>25578</v>
      </c>
      <c r="C86" s="3">
        <f t="shared" si="5"/>
        <v>33405</v>
      </c>
      <c r="D86" s="3">
        <f t="shared" si="6"/>
        <v>100215</v>
      </c>
      <c r="E86" s="3">
        <f t="shared" si="7"/>
        <v>331749</v>
      </c>
      <c r="F86" s="3">
        <f t="shared" si="8"/>
        <v>995247</v>
      </c>
    </row>
    <row r="87" spans="1:7" x14ac:dyDescent="0.2">
      <c r="A87" s="10">
        <v>10</v>
      </c>
      <c r="B87" s="3">
        <f t="shared" si="4"/>
        <v>40490</v>
      </c>
      <c r="C87" s="3">
        <f t="shared" si="5"/>
        <v>18860</v>
      </c>
      <c r="D87" s="3">
        <f t="shared" si="6"/>
        <v>94300</v>
      </c>
      <c r="E87" s="3">
        <f t="shared" si="7"/>
        <v>266976</v>
      </c>
      <c r="F87" s="3">
        <f t="shared" si="8"/>
        <v>1334880</v>
      </c>
    </row>
    <row r="88" spans="1:7" x14ac:dyDescent="0.2">
      <c r="A88" s="10">
        <v>11</v>
      </c>
      <c r="B88" s="3">
        <f t="shared" si="4"/>
        <v>113630</v>
      </c>
      <c r="C88" s="3">
        <f t="shared" si="5"/>
        <v>8253</v>
      </c>
      <c r="D88" s="3">
        <f t="shared" si="6"/>
        <v>90783</v>
      </c>
      <c r="E88" s="3">
        <f t="shared" si="7"/>
        <v>202985</v>
      </c>
      <c r="F88" s="3">
        <f t="shared" si="8"/>
        <v>2232835</v>
      </c>
    </row>
    <row r="89" spans="1:7" x14ac:dyDescent="0.2">
      <c r="A89" s="10">
        <v>12</v>
      </c>
      <c r="B89" s="3">
        <f t="shared" si="4"/>
        <v>7777200</v>
      </c>
      <c r="C89" s="3">
        <f t="shared" si="5"/>
        <v>0</v>
      </c>
      <c r="D89" s="3">
        <f t="shared" si="6"/>
        <v>101616</v>
      </c>
      <c r="E89" s="3">
        <f t="shared" si="7"/>
        <v>0</v>
      </c>
      <c r="F89" s="3">
        <f t="shared" si="8"/>
        <v>13486992</v>
      </c>
    </row>
    <row r="90" spans="1:7" x14ac:dyDescent="0.2">
      <c r="B90" s="4">
        <f>SUM(B78:B89)</f>
        <v>8050024</v>
      </c>
      <c r="C90" s="4">
        <f>SUM(C78:C89)</f>
        <v>3629353</v>
      </c>
      <c r="D90" s="4">
        <f>SUM(D78:D89)</f>
        <v>1570523</v>
      </c>
      <c r="E90" s="4">
        <f>SUM(E78:E89)</f>
        <v>9469909</v>
      </c>
      <c r="F90" s="4">
        <f>SUM(F78:F89)</f>
        <v>22534583</v>
      </c>
      <c r="G90" s="4">
        <f>SUM(B90:F90)</f>
        <v>45254392</v>
      </c>
    </row>
    <row r="92" spans="1:7" x14ac:dyDescent="0.2">
      <c r="A92" s="10" t="s">
        <v>19</v>
      </c>
      <c r="B92" s="4">
        <f>B90+C90</f>
        <v>11679377</v>
      </c>
      <c r="C92" s="12">
        <f>B92/B$95</f>
        <v>0.25808272929619736</v>
      </c>
    </row>
    <row r="93" spans="1:7" x14ac:dyDescent="0.2">
      <c r="A93" s="10" t="s">
        <v>20</v>
      </c>
      <c r="B93" s="4">
        <f>D90+E90</f>
        <v>11040432</v>
      </c>
      <c r="C93" s="12">
        <f>B93/B$95</f>
        <v>0.24396376820176924</v>
      </c>
    </row>
    <row r="94" spans="1:7" x14ac:dyDescent="0.2">
      <c r="A94" s="10" t="s">
        <v>21</v>
      </c>
      <c r="B94" s="4">
        <f>F90</f>
        <v>22534583</v>
      </c>
      <c r="C94" s="12">
        <f>B94/B$95</f>
        <v>0.49795350250203341</v>
      </c>
    </row>
    <row r="95" spans="1:7" x14ac:dyDescent="0.2">
      <c r="B95" s="4">
        <f>G90</f>
        <v>45254392</v>
      </c>
    </row>
    <row r="97" spans="1:11" x14ac:dyDescent="0.2">
      <c r="A97" s="10" t="s">
        <v>36</v>
      </c>
      <c r="B97" s="4" t="s">
        <v>42</v>
      </c>
      <c r="C97" s="26" t="s">
        <v>137</v>
      </c>
      <c r="F97" s="3" t="s">
        <v>69</v>
      </c>
      <c r="G97" s="3" t="s">
        <v>41</v>
      </c>
      <c r="H97" s="3" t="s">
        <v>43</v>
      </c>
      <c r="J97"/>
      <c r="K97" s="3" t="s">
        <v>70</v>
      </c>
    </row>
    <row r="98" spans="1:11" x14ac:dyDescent="0.2">
      <c r="A98" s="10">
        <v>1</v>
      </c>
      <c r="B98" s="4">
        <f>B47</f>
        <v>191990</v>
      </c>
      <c r="C98" s="23">
        <f>C47*Prices!E$6</f>
        <v>82732412.323198006</v>
      </c>
      <c r="D98" s="23">
        <f>D47*Prices!E$7</f>
        <v>8006664.2382620005</v>
      </c>
      <c r="E98" s="23">
        <f>E47*Prices!E$8</f>
        <v>3598217.0925449999</v>
      </c>
      <c r="F98" s="23">
        <f>SUM(C98:E98)</f>
        <v>94337293.654005006</v>
      </c>
      <c r="G98" s="12">
        <f t="shared" ref="G98:G110" si="9">(F98-K98)/K98</f>
        <v>1.2885171153711374E-2</v>
      </c>
      <c r="H98" s="23">
        <f>C47*Prices!E$6</f>
        <v>82732412.323198006</v>
      </c>
      <c r="I98" s="23">
        <f>D47*Prices!$E$7</f>
        <v>8006664.2382620005</v>
      </c>
      <c r="J98" s="23">
        <f>E47*Prices!$E$7</f>
        <v>2398128.2675450002</v>
      </c>
      <c r="K98" s="23">
        <f>SUM(H98:J98)</f>
        <v>93137204.829005003</v>
      </c>
    </row>
    <row r="99" spans="1:11" x14ac:dyDescent="0.2">
      <c r="A99" s="10">
        <v>2</v>
      </c>
      <c r="B99" s="4">
        <f t="shared" ref="B99:B109" si="10">B48</f>
        <v>149962</v>
      </c>
      <c r="C99" s="23">
        <f>C48*Prices!E$6</f>
        <v>68705109.908115998</v>
      </c>
      <c r="D99" s="23">
        <f>D48*Prices!E$7</f>
        <v>9096143.4256810006</v>
      </c>
      <c r="E99" s="23">
        <f>E48*Prices!E$8</f>
        <v>6411081.0168960001</v>
      </c>
      <c r="F99" s="23">
        <f t="shared" ref="F99:F109" si="11">SUM(C99:E99)</f>
        <v>84212334.350692987</v>
      </c>
      <c r="G99" s="12">
        <f t="shared" si="9"/>
        <v>2.6052608746949816E-2</v>
      </c>
      <c r="H99" s="23">
        <f>C48*Prices!E$6</f>
        <v>68705109.908115998</v>
      </c>
      <c r="I99" s="23">
        <f>D48*Prices!$E$7</f>
        <v>9096143.4256810006</v>
      </c>
      <c r="J99" s="23">
        <f>E48*Prices!$E$7</f>
        <v>4272836.856896</v>
      </c>
      <c r="K99" s="23">
        <f t="shared" ref="K99:K109" si="12">SUM(H99:J99)</f>
        <v>82074090.190692991</v>
      </c>
    </row>
    <row r="100" spans="1:11" x14ac:dyDescent="0.2">
      <c r="A100" s="10">
        <v>3</v>
      </c>
      <c r="B100" s="4">
        <f t="shared" si="10"/>
        <v>139962</v>
      </c>
      <c r="C100" s="23">
        <f>C49*Prices!E$6</f>
        <v>66786783.309102997</v>
      </c>
      <c r="D100" s="23">
        <f>D49*Prices!E$7</f>
        <v>10725146.059403</v>
      </c>
      <c r="E100" s="23">
        <f>E49*Prices!E$8</f>
        <v>11411596.963149</v>
      </c>
      <c r="F100" s="23">
        <f t="shared" si="11"/>
        <v>88923526.331654996</v>
      </c>
      <c r="G100" s="12">
        <f t="shared" si="9"/>
        <v>4.4715040101486143E-2</v>
      </c>
      <c r="H100" s="23">
        <f>C49*Prices!E$6</f>
        <v>66786783.309102997</v>
      </c>
      <c r="I100" s="23">
        <f>D49*Prices!$E$7</f>
        <v>10725146.059403</v>
      </c>
      <c r="J100" s="23">
        <f>E49*Prices!$E$7</f>
        <v>7605564.7981489999</v>
      </c>
      <c r="K100" s="23">
        <f t="shared" si="12"/>
        <v>85117494.166655004</v>
      </c>
    </row>
    <row r="101" spans="1:11" x14ac:dyDescent="0.2">
      <c r="A101" s="10">
        <v>4</v>
      </c>
      <c r="B101" s="4">
        <f t="shared" si="10"/>
        <v>141597</v>
      </c>
      <c r="C101" s="23">
        <f>C50*Prices!E$6</f>
        <v>70177534.590009004</v>
      </c>
      <c r="D101" s="23">
        <f>D50*Prices!E$7</f>
        <v>13021198.19874</v>
      </c>
      <c r="E101" s="23">
        <f>E50*Prices!E$8</f>
        <v>18631235.412135001</v>
      </c>
      <c r="F101" s="23">
        <f t="shared" si="11"/>
        <v>101829968.20088401</v>
      </c>
      <c r="G101" s="12">
        <f t="shared" si="9"/>
        <v>6.4988576446799451E-2</v>
      </c>
      <c r="H101" s="23">
        <f>C50*Prices!E$6</f>
        <v>70177534.590009004</v>
      </c>
      <c r="I101" s="23">
        <f>D50*Prices!$E$7</f>
        <v>13021198.19874</v>
      </c>
      <c r="J101" s="23">
        <f>E50*Prices!$E$7</f>
        <v>12417286.437135</v>
      </c>
      <c r="K101" s="23">
        <f t="shared" si="12"/>
        <v>95616019.225884005</v>
      </c>
    </row>
    <row r="102" spans="1:11" x14ac:dyDescent="0.2">
      <c r="A102" s="10">
        <v>5</v>
      </c>
      <c r="B102" s="4">
        <f t="shared" si="10"/>
        <v>138210</v>
      </c>
      <c r="C102" s="23">
        <f>C51*Prices!E$6</f>
        <v>72660546.534158006</v>
      </c>
      <c r="D102" s="23">
        <f>D51*Prices!E$7</f>
        <v>14924463.793964</v>
      </c>
      <c r="E102" s="23">
        <f>E51*Prices!E$8</f>
        <v>26206111.098983999</v>
      </c>
      <c r="F102" s="23">
        <f t="shared" si="11"/>
        <v>113791121.42710601</v>
      </c>
      <c r="G102" s="12">
        <f t="shared" si="9"/>
        <v>8.3201152723641245E-2</v>
      </c>
      <c r="H102" s="23">
        <f>C51*Prices!E$6</f>
        <v>72660546.534158006</v>
      </c>
      <c r="I102" s="23">
        <f>D51*Prices!$E$7</f>
        <v>14924463.793964</v>
      </c>
      <c r="J102" s="23">
        <f>E51*Prices!$E$7</f>
        <v>17465765.458983999</v>
      </c>
      <c r="K102" s="23">
        <f t="shared" si="12"/>
        <v>105050775.78710601</v>
      </c>
    </row>
    <row r="103" spans="1:11" x14ac:dyDescent="0.2">
      <c r="A103" s="10">
        <v>6</v>
      </c>
      <c r="B103" s="4">
        <f t="shared" si="10"/>
        <v>127067</v>
      </c>
      <c r="C103" s="23">
        <f>C52*Prices!E$6</f>
        <v>69632172.400427997</v>
      </c>
      <c r="D103" s="23">
        <f>D52*Prices!E$7</f>
        <v>15857103.702440001</v>
      </c>
      <c r="E103" s="23">
        <f>E52*Prices!E$8</f>
        <v>30369615.234480001</v>
      </c>
      <c r="F103" s="23">
        <f t="shared" si="11"/>
        <v>115858891.33734798</v>
      </c>
      <c r="G103" s="12">
        <f t="shared" si="9"/>
        <v>9.5800420056326857E-2</v>
      </c>
      <c r="H103" s="23">
        <f>C52*Prices!E$6</f>
        <v>69632172.400427997</v>
      </c>
      <c r="I103" s="23">
        <f>D52*Prices!$E$7</f>
        <v>15857103.702440001</v>
      </c>
      <c r="J103" s="23">
        <f>E52*Prices!$E$7</f>
        <v>20240644.43448</v>
      </c>
      <c r="K103" s="23">
        <f t="shared" si="12"/>
        <v>105729920.53734799</v>
      </c>
    </row>
    <row r="104" spans="1:11" x14ac:dyDescent="0.2">
      <c r="A104" s="10">
        <v>7</v>
      </c>
      <c r="B104" s="4">
        <f t="shared" si="10"/>
        <v>105259</v>
      </c>
      <c r="C104" s="23">
        <f>C53*Prices!E$6</f>
        <v>54858684.596396998</v>
      </c>
      <c r="D104" s="23">
        <f>D53*Prices!E$7</f>
        <v>14503638.760866001</v>
      </c>
      <c r="E104" s="23">
        <f>E53*Prices!E$8</f>
        <v>29224881.098505002</v>
      </c>
      <c r="F104" s="23">
        <f t="shared" si="11"/>
        <v>98587204.455768004</v>
      </c>
      <c r="G104" s="12">
        <f t="shared" si="9"/>
        <v>0.10971603151575123</v>
      </c>
      <c r="H104" s="23">
        <f>C53*Prices!E$6</f>
        <v>54858684.596396998</v>
      </c>
      <c r="I104" s="23">
        <f>D53*Prices!$E$7</f>
        <v>14503638.760866001</v>
      </c>
      <c r="J104" s="23">
        <f>E53*Prices!$E$7</f>
        <v>19477705.673505001</v>
      </c>
      <c r="K104" s="23">
        <f t="shared" si="12"/>
        <v>88840029.030768007</v>
      </c>
    </row>
    <row r="105" spans="1:11" x14ac:dyDescent="0.2">
      <c r="A105" s="10">
        <v>8</v>
      </c>
      <c r="B105" s="4">
        <f t="shared" si="10"/>
        <v>102022</v>
      </c>
      <c r="C105" s="23">
        <f>C54*Prices!E$6</f>
        <v>52785801.328194</v>
      </c>
      <c r="D105" s="23">
        <f>D54*Prices!E$7</f>
        <v>15114677.531901</v>
      </c>
      <c r="E105" s="23">
        <f>E54*Prices!E$8</f>
        <v>33289136.646528002</v>
      </c>
      <c r="F105" s="23">
        <f t="shared" si="11"/>
        <v>101189615.506623</v>
      </c>
      <c r="G105" s="12">
        <f t="shared" si="9"/>
        <v>0.1232442989032092</v>
      </c>
      <c r="H105" s="23">
        <f>C54*Prices!E$6</f>
        <v>52785801.328194</v>
      </c>
      <c r="I105" s="23">
        <f>D54*Prices!$E$7</f>
        <v>15114677.531901</v>
      </c>
      <c r="J105" s="23">
        <f>E54*Prices!$E$7</f>
        <v>22186437.766527999</v>
      </c>
      <c r="K105" s="23">
        <f t="shared" si="12"/>
        <v>90086916.62662299</v>
      </c>
    </row>
    <row r="106" spans="1:11" x14ac:dyDescent="0.2">
      <c r="A106" s="10">
        <v>9</v>
      </c>
      <c r="B106" s="4">
        <f t="shared" si="10"/>
        <v>110583</v>
      </c>
      <c r="C106" s="23">
        <f>C55*Prices!E$6</f>
        <v>57088686.590705</v>
      </c>
      <c r="D106" s="23">
        <f>D55*Prices!E$7</f>
        <v>17293445.099798001</v>
      </c>
      <c r="E106" s="23">
        <f>E55*Prices!E$8</f>
        <v>42627987.752397001</v>
      </c>
      <c r="F106" s="23">
        <f t="shared" si="11"/>
        <v>117010119.4429</v>
      </c>
      <c r="G106" s="12">
        <f t="shared" si="9"/>
        <v>0.13831159831936446</v>
      </c>
      <c r="H106" s="23">
        <f>C55*Prices!E$6</f>
        <v>57088686.590705</v>
      </c>
      <c r="I106" s="23">
        <f>D55*Prices!$E$7</f>
        <v>17293445.099798001</v>
      </c>
      <c r="J106" s="23">
        <f>E55*Prices!$E$7</f>
        <v>28410565.507397</v>
      </c>
      <c r="K106" s="23">
        <f t="shared" si="12"/>
        <v>102792697.1979</v>
      </c>
    </row>
    <row r="107" spans="1:11" x14ac:dyDescent="0.2">
      <c r="A107" s="10">
        <v>10</v>
      </c>
      <c r="B107" s="4">
        <f t="shared" si="10"/>
        <v>133488</v>
      </c>
      <c r="C107" s="23">
        <f>C56*Prices!E$6</f>
        <v>68711320.795854002</v>
      </c>
      <c r="D107" s="23">
        <f>D56*Prices!E$7</f>
        <v>21803414.718767002</v>
      </c>
      <c r="E107" s="23">
        <f>E56*Prices!E$8</f>
        <v>62204808.026967004</v>
      </c>
      <c r="F107" s="23">
        <f t="shared" si="11"/>
        <v>152719543.54158801</v>
      </c>
      <c r="G107" s="12">
        <f t="shared" si="9"/>
        <v>0.15720471213406478</v>
      </c>
      <c r="H107" s="23">
        <f>C56*Prices!E$6</f>
        <v>68711320.795854002</v>
      </c>
      <c r="I107" s="23">
        <f>D56*Prices!$E$7</f>
        <v>21803414.718767002</v>
      </c>
      <c r="J107" s="23">
        <f>E56*Prices!$E$7</f>
        <v>41458062.331967004</v>
      </c>
      <c r="K107" s="23">
        <f t="shared" si="12"/>
        <v>131972797.84658802</v>
      </c>
    </row>
    <row r="108" spans="1:11" x14ac:dyDescent="0.2">
      <c r="A108" s="10">
        <v>11</v>
      </c>
      <c r="B108" s="4">
        <f t="shared" si="10"/>
        <v>202985</v>
      </c>
      <c r="C108" s="23">
        <f>C57*Prices!E$6</f>
        <v>104345521.20421</v>
      </c>
      <c r="D108" s="23">
        <f>D57*Prices!E$7</f>
        <v>34466511.022730999</v>
      </c>
      <c r="E108" s="23">
        <f>E57*Prices!E$8</f>
        <v>125110246.68627</v>
      </c>
      <c r="F108" s="23">
        <f t="shared" si="11"/>
        <v>263922278.91321099</v>
      </c>
      <c r="G108" s="12">
        <f t="shared" si="9"/>
        <v>0.18779516691035017</v>
      </c>
      <c r="H108" s="23">
        <f>C57*Prices!E$6</f>
        <v>104345521.20421</v>
      </c>
      <c r="I108" s="23">
        <f>D57*Prices!$E$7</f>
        <v>34466511.022730999</v>
      </c>
      <c r="J108" s="23">
        <f>E57*Prices!$E$7</f>
        <v>83383078.736269996</v>
      </c>
      <c r="K108" s="23">
        <f t="shared" si="12"/>
        <v>222195110.963211</v>
      </c>
    </row>
    <row r="109" spans="1:11" x14ac:dyDescent="0.2">
      <c r="A109" s="10">
        <v>12</v>
      </c>
      <c r="B109" s="4">
        <f t="shared" si="10"/>
        <v>1123916</v>
      </c>
      <c r="C109" s="23">
        <f>C58*Prices!E$6</f>
        <v>546763223.45850694</v>
      </c>
      <c r="D109" s="23">
        <f>D58*Prices!E$7</f>
        <v>186456179.31577802</v>
      </c>
      <c r="E109" s="23">
        <f>E58*Prices!E$8</f>
        <v>1336660191.929529</v>
      </c>
      <c r="F109" s="23">
        <f t="shared" si="11"/>
        <v>2069879594.703814</v>
      </c>
      <c r="G109" s="12">
        <f t="shared" si="9"/>
        <v>0.27449955812589333</v>
      </c>
      <c r="H109" s="23">
        <f>C58*Prices!E$6</f>
        <v>546763223.45850694</v>
      </c>
      <c r="I109" s="23">
        <f>D58*Prices!$E$7</f>
        <v>186456179.31577802</v>
      </c>
      <c r="J109" s="23">
        <f>E58*Prices!$E$7</f>
        <v>890853027.46452904</v>
      </c>
      <c r="K109" s="23">
        <f t="shared" si="12"/>
        <v>1624072430.2388139</v>
      </c>
    </row>
    <row r="110" spans="1:11" x14ac:dyDescent="0.2">
      <c r="A110" s="10" t="s">
        <v>16</v>
      </c>
      <c r="B110" s="4">
        <f>SUM(B98:B109)</f>
        <v>2667041</v>
      </c>
      <c r="C110" s="4">
        <f>SUM(C98:C109)</f>
        <v>1315247797.0388789</v>
      </c>
      <c r="D110" s="4">
        <f>SUM(D98:D109)</f>
        <v>361268585.86833102</v>
      </c>
      <c r="E110" s="4">
        <f>SUM(E98:E109)</f>
        <v>1725745108.958385</v>
      </c>
      <c r="F110" s="4">
        <f>SUM(F98:F109)</f>
        <v>3402261491.8655953</v>
      </c>
      <c r="G110" s="12">
        <f t="shared" si="9"/>
        <v>0.20362223103534943</v>
      </c>
      <c r="H110" s="23">
        <f>SUM(H98:H109)</f>
        <v>1315247797.0388789</v>
      </c>
      <c r="I110" s="23">
        <f>SUM(I98:I109)</f>
        <v>361268585.86833102</v>
      </c>
      <c r="J110" s="23">
        <f>SUM(J98:J109)</f>
        <v>1150169103.7333851</v>
      </c>
      <c r="K110" s="23">
        <f>SUM(K98:K109)</f>
        <v>2826685486.640595</v>
      </c>
    </row>
    <row r="111" spans="1:11" x14ac:dyDescent="0.2">
      <c r="I111" s="10" t="s">
        <v>71</v>
      </c>
    </row>
    <row r="112" spans="1:11" x14ac:dyDescent="0.2">
      <c r="G112" s="10" t="s">
        <v>50</v>
      </c>
      <c r="H112" s="10" t="s">
        <v>50</v>
      </c>
      <c r="I112" s="10" t="s">
        <v>72</v>
      </c>
      <c r="J112"/>
      <c r="K112"/>
    </row>
    <row r="113" spans="1:11" x14ac:dyDescent="0.2">
      <c r="A113" s="30"/>
      <c r="B113" s="20" t="s">
        <v>23</v>
      </c>
      <c r="C113" s="1" t="s">
        <v>1</v>
      </c>
      <c r="D113" s="1" t="s">
        <v>52</v>
      </c>
      <c r="E113" s="1" t="s">
        <v>3</v>
      </c>
      <c r="F113" s="1" t="s">
        <v>16</v>
      </c>
      <c r="G113" s="10" t="s">
        <v>23</v>
      </c>
      <c r="H113" s="10" t="s">
        <v>51</v>
      </c>
      <c r="I113" s="10" t="s">
        <v>51</v>
      </c>
      <c r="J113"/>
      <c r="K113"/>
    </row>
    <row r="114" spans="1:11" x14ac:dyDescent="0.2">
      <c r="A114" s="10" t="s">
        <v>49</v>
      </c>
      <c r="B114" s="4">
        <f>B24+B40</f>
        <v>1121926</v>
      </c>
      <c r="C114" s="4">
        <f>C24+C40</f>
        <v>3206934101</v>
      </c>
      <c r="D114" s="4">
        <f>D24+D40</f>
        <v>63519513</v>
      </c>
      <c r="E114" s="4">
        <v>0</v>
      </c>
      <c r="F114" s="4">
        <f>SUM(C114:E114)</f>
        <v>3270453614</v>
      </c>
      <c r="G114" s="6">
        <f t="shared" ref="G114:G119" si="13">B114/B$119</f>
        <v>0.29610339704726907</v>
      </c>
      <c r="H114" s="3">
        <v>0</v>
      </c>
      <c r="J114"/>
      <c r="K114"/>
    </row>
    <row r="115" spans="1:11" x14ac:dyDescent="0.2">
      <c r="A115" s="10" t="s">
        <v>46</v>
      </c>
      <c r="B115" s="4">
        <f>B47+B48+B49</f>
        <v>481914</v>
      </c>
      <c r="C115" s="4">
        <f>C47+C48+C49</f>
        <v>1909207317</v>
      </c>
      <c r="D115" s="4">
        <f>D47+D48+D49</f>
        <v>214244114</v>
      </c>
      <c r="E115" s="4">
        <f>E47+E48+E49</f>
        <v>109913310</v>
      </c>
      <c r="F115" s="4">
        <f>SUM(C115:E115)</f>
        <v>2233364741</v>
      </c>
      <c r="G115" s="6">
        <f t="shared" si="13"/>
        <v>0.1271887561966098</v>
      </c>
      <c r="H115" s="12">
        <f>(SUM(F98:F100)-SUM(K98:K100))/SUM(K98:K100)</f>
        <v>2.7443623013533761E-2</v>
      </c>
      <c r="I115" s="12">
        <f>-(SUM(F98:F100)-SUM(K98:K100))/Prices!E$8/SUM(F$47:F$49)</f>
        <v>-1.6414084341571506E-2</v>
      </c>
      <c r="J115">
        <f>F115*I115</f>
        <v>-36658637.224266</v>
      </c>
      <c r="K115"/>
    </row>
    <row r="116" spans="1:11" x14ac:dyDescent="0.2">
      <c r="A116" s="10" t="s">
        <v>47</v>
      </c>
      <c r="B116" s="4">
        <f>B50+B51+B52+B53</f>
        <v>512133</v>
      </c>
      <c r="C116" s="4">
        <f>C50+C51+C52+C53</f>
        <v>2338815392</v>
      </c>
      <c r="D116" s="4">
        <f>D50+D51+D52+D53</f>
        <v>448894090</v>
      </c>
      <c r="E116" s="4">
        <f>E50+E51+E52+E53</f>
        <v>535852936</v>
      </c>
      <c r="F116" s="4">
        <f>SUM(C116:E116)</f>
        <v>3323562418</v>
      </c>
      <c r="G116" s="6">
        <f t="shared" si="13"/>
        <v>0.13516428092406188</v>
      </c>
      <c r="H116" s="12">
        <f>(SUM(F101:F104)-SUM(K101:K104))/SUM(K101:K104)</f>
        <v>8.8125512917366242E-2</v>
      </c>
      <c r="I116" s="12" t="e">
        <f>-(SUM(F101:F104)-SUM(K101:K104))/Prices!#REF!/SUM(F$50:F$53)</f>
        <v>#REF!</v>
      </c>
      <c r="J116" t="e">
        <f>F116*I116</f>
        <v>#REF!</v>
      </c>
      <c r="K116"/>
    </row>
    <row r="117" spans="1:11" x14ac:dyDescent="0.2">
      <c r="A117" s="10" t="s">
        <v>48</v>
      </c>
      <c r="B117" s="4">
        <f>B54+B55+B56+B57</f>
        <v>549078</v>
      </c>
      <c r="C117" s="4">
        <f>C54+C55+C56+C57</f>
        <v>2475318063</v>
      </c>
      <c r="D117" s="4">
        <f>D54+D55+D56+D57</f>
        <v>682721773</v>
      </c>
      <c r="E117" s="4">
        <f>E54+E55+E56+E57</f>
        <v>1350677458</v>
      </c>
      <c r="F117" s="4">
        <f>SUM(C117:E117)</f>
        <v>4508717294</v>
      </c>
      <c r="G117" s="6">
        <f t="shared" si="13"/>
        <v>0.14491495967106602</v>
      </c>
      <c r="H117" s="12">
        <f>(SUM(F105:F108)-SUM(K105:K108))/SUM(K105:K108)</f>
        <v>0.16048703474101406</v>
      </c>
      <c r="I117" s="12" t="e">
        <f>-(SUM(F105:F108)-SUM(K105:K108))/Prices!#REF!/SUM(F$54:F$57)</f>
        <v>#REF!</v>
      </c>
      <c r="J117" t="e">
        <f>F117*I117</f>
        <v>#REF!</v>
      </c>
      <c r="K117"/>
    </row>
    <row r="118" spans="1:11" x14ac:dyDescent="0.2">
      <c r="A118" s="13" t="s">
        <v>55</v>
      </c>
      <c r="B118" s="14">
        <f>B58</f>
        <v>1123916</v>
      </c>
      <c r="C118" s="14">
        <f>C58</f>
        <v>4783538407</v>
      </c>
      <c r="D118" s="14">
        <f>D58</f>
        <v>1435504002</v>
      </c>
      <c r="E118" s="14">
        <f>E58</f>
        <v>6858571761</v>
      </c>
      <c r="F118" s="14">
        <f>SUM(C118:E118)</f>
        <v>13077614170</v>
      </c>
      <c r="G118" s="28">
        <f t="shared" si="13"/>
        <v>0.29662860616099324</v>
      </c>
      <c r="H118" s="29">
        <f>G109</f>
        <v>0.27449955812589333</v>
      </c>
      <c r="I118" s="46">
        <f>-(F109-K109)/Prices!E$9/F$58</f>
        <v>-0.11800242875197528</v>
      </c>
      <c r="J118">
        <f>F118*I118</f>
        <v>-1543190234.3412473</v>
      </c>
      <c r="K118"/>
    </row>
    <row r="119" spans="1:11" x14ac:dyDescent="0.2">
      <c r="A119" s="10" t="s">
        <v>16</v>
      </c>
      <c r="B119" s="4">
        <f>SUM(B114:B118)</f>
        <v>3788967</v>
      </c>
      <c r="C119" s="4">
        <f>SUM(C114:C118)</f>
        <v>14713813280</v>
      </c>
      <c r="D119" s="4">
        <f>SUM(D114:D118)</f>
        <v>2844883492</v>
      </c>
      <c r="E119" s="4">
        <f>SUM(E114:E118)</f>
        <v>8855015465</v>
      </c>
      <c r="F119" s="4">
        <f>SUM(F114:F118)</f>
        <v>26413712237</v>
      </c>
      <c r="G119" s="6">
        <f t="shared" si="13"/>
        <v>1</v>
      </c>
      <c r="H119" s="12">
        <v>0.2</v>
      </c>
      <c r="I119" s="12" t="e">
        <f>J119/F119</f>
        <v>#REF!</v>
      </c>
      <c r="J119" t="e">
        <f>SUM(J115:J118)</f>
        <v>#REF!</v>
      </c>
      <c r="K119"/>
    </row>
  </sheetData>
  <phoneticPr fontId="0" type="noConversion"/>
  <pageMargins left="0.75" right="0.75" top="1" bottom="1" header="0.5" footer="0.5"/>
  <pageSetup scale="88" orientation="portrait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5"/>
  <sheetViews>
    <sheetView topLeftCell="A89" workbookViewId="0">
      <selection activeCell="G91" sqref="G91"/>
    </sheetView>
  </sheetViews>
  <sheetFormatPr defaultRowHeight="12.75" x14ac:dyDescent="0.2"/>
  <cols>
    <col min="1" max="1" width="14" style="10" customWidth="1"/>
    <col min="2" max="2" width="10.140625" style="4" customWidth="1"/>
    <col min="3" max="3" width="13.7109375" style="4" customWidth="1"/>
    <col min="4" max="4" width="14" style="4" bestFit="1" customWidth="1"/>
    <col min="5" max="5" width="14.7109375" style="4" customWidth="1"/>
    <col min="6" max="6" width="13.85546875" style="3" customWidth="1"/>
    <col min="7" max="7" width="10.28515625" style="3" customWidth="1"/>
    <col min="8" max="8" width="11.42578125" style="3" customWidth="1"/>
    <col min="9" max="9" width="14.5703125" style="3" bestFit="1" customWidth="1"/>
    <col min="10" max="11" width="11.7109375" style="3" bestFit="1" customWidth="1"/>
  </cols>
  <sheetData>
    <row r="1" spans="1:11" x14ac:dyDescent="0.2">
      <c r="A1" s="22" t="s">
        <v>136</v>
      </c>
      <c r="B1" s="2"/>
      <c r="C1" s="2"/>
      <c r="D1" s="2"/>
      <c r="E1" s="2"/>
    </row>
    <row r="2" spans="1:11" x14ac:dyDescent="0.2">
      <c r="A2" s="88"/>
      <c r="B2" s="231"/>
      <c r="C2" s="212" t="s">
        <v>124</v>
      </c>
      <c r="D2" s="212" t="s">
        <v>131</v>
      </c>
      <c r="E2" s="212" t="s">
        <v>126</v>
      </c>
      <c r="F2" s="144"/>
    </row>
    <row r="3" spans="1:11" x14ac:dyDescent="0.2">
      <c r="A3" s="121"/>
      <c r="B3" s="145"/>
      <c r="C3" s="140" t="s">
        <v>1</v>
      </c>
      <c r="D3" s="140" t="s">
        <v>2</v>
      </c>
      <c r="E3" s="140" t="s">
        <v>3</v>
      </c>
      <c r="F3" s="146" t="s">
        <v>16</v>
      </c>
    </row>
    <row r="4" spans="1:11" x14ac:dyDescent="0.2">
      <c r="A4" s="147" t="s">
        <v>4</v>
      </c>
      <c r="B4" s="271" t="s">
        <v>23</v>
      </c>
      <c r="C4" s="273">
        <f>C70</f>
        <v>0.6645596619473384</v>
      </c>
      <c r="D4" s="273">
        <f>D70</f>
        <v>0.16003487957673393</v>
      </c>
      <c r="E4" s="273">
        <f>E70</f>
        <v>0.1754054584759277</v>
      </c>
      <c r="F4" s="274">
        <f>SUM(C4:E4)</f>
        <v>1</v>
      </c>
    </row>
    <row r="5" spans="1:11" x14ac:dyDescent="0.2">
      <c r="A5" s="149" t="s">
        <v>124</v>
      </c>
      <c r="B5" s="96">
        <f>B24</f>
        <v>1114922</v>
      </c>
      <c r="C5" s="96">
        <f>C24</f>
        <v>3254925249</v>
      </c>
      <c r="D5" s="95"/>
      <c r="E5" s="96"/>
      <c r="F5" s="97">
        <f>SUM(B5:E5)</f>
        <v>3256040171</v>
      </c>
    </row>
    <row r="6" spans="1:11" x14ac:dyDescent="0.2">
      <c r="A6" s="149" t="s">
        <v>131</v>
      </c>
      <c r="B6" s="124">
        <f>B40</f>
        <v>943787</v>
      </c>
      <c r="C6" s="124">
        <f>C40</f>
        <v>4651632690</v>
      </c>
      <c r="D6" s="124">
        <f>D40</f>
        <v>405067488</v>
      </c>
      <c r="E6" s="96"/>
      <c r="F6" s="97">
        <f>SUM(B6:E6)</f>
        <v>5057643965</v>
      </c>
    </row>
    <row r="7" spans="1:11" x14ac:dyDescent="0.2">
      <c r="A7" s="91" t="s">
        <v>103</v>
      </c>
      <c r="B7" s="100">
        <f>B59</f>
        <v>1723254</v>
      </c>
      <c r="C7" s="100">
        <f>C59</f>
        <v>9636610211</v>
      </c>
      <c r="D7" s="100">
        <f>D59</f>
        <v>3819562689</v>
      </c>
      <c r="E7" s="100">
        <f>E59</f>
        <v>4630385545</v>
      </c>
      <c r="F7" s="150">
        <f>SUM(B7:E7)</f>
        <v>18088281699</v>
      </c>
    </row>
    <row r="8" spans="1:11" x14ac:dyDescent="0.2">
      <c r="A8" s="151" t="s">
        <v>16</v>
      </c>
      <c r="B8" s="103">
        <f>SUM(B5:B7)</f>
        <v>3781963</v>
      </c>
      <c r="C8" s="103">
        <f>SUM(C5:C7)</f>
        <v>17543168150</v>
      </c>
      <c r="D8" s="103">
        <f>SUM(D5:D7)</f>
        <v>4224630177</v>
      </c>
      <c r="E8" s="103">
        <f>SUM(E5:E7)</f>
        <v>4630385545</v>
      </c>
      <c r="F8" s="104">
        <f>SUM(F5:F7)</f>
        <v>26401965835</v>
      </c>
    </row>
    <row r="9" spans="1:11" x14ac:dyDescent="0.2">
      <c r="C9"/>
      <c r="D9"/>
      <c r="E9"/>
      <c r="F9"/>
    </row>
    <row r="10" spans="1:11" x14ac:dyDescent="0.2">
      <c r="A10" s="210" t="s">
        <v>175</v>
      </c>
      <c r="B10" s="141" t="s">
        <v>132</v>
      </c>
      <c r="G10" s="3" t="s">
        <v>22</v>
      </c>
      <c r="H10" s="3" t="s">
        <v>22</v>
      </c>
    </row>
    <row r="11" spans="1:11" x14ac:dyDescent="0.2">
      <c r="A11" s="7" t="s">
        <v>5</v>
      </c>
      <c r="B11" s="8" t="s">
        <v>6</v>
      </c>
      <c r="C11" s="8" t="s">
        <v>7</v>
      </c>
      <c r="D11" s="9"/>
      <c r="E11" s="9"/>
      <c r="F11" s="9" t="s">
        <v>8</v>
      </c>
      <c r="G11" s="9" t="s">
        <v>23</v>
      </c>
      <c r="H11" s="9" t="s">
        <v>24</v>
      </c>
      <c r="I11" s="9"/>
      <c r="J11" s="9"/>
      <c r="K11" s="9"/>
    </row>
    <row r="12" spans="1:11" x14ac:dyDescent="0.2">
      <c r="A12" s="10">
        <v>1</v>
      </c>
      <c r="B12">
        <v>4706</v>
      </c>
      <c r="C12">
        <v>576524</v>
      </c>
    </row>
    <row r="13" spans="1:11" x14ac:dyDescent="0.2">
      <c r="A13" s="10">
        <v>2</v>
      </c>
      <c r="B13">
        <v>4343</v>
      </c>
      <c r="C13">
        <v>1234657</v>
      </c>
    </row>
    <row r="14" spans="1:11" x14ac:dyDescent="0.2">
      <c r="A14" s="10">
        <v>3</v>
      </c>
      <c r="B14">
        <v>4053</v>
      </c>
      <c r="C14">
        <v>2007481</v>
      </c>
    </row>
    <row r="15" spans="1:11" x14ac:dyDescent="0.2">
      <c r="A15" s="10">
        <v>4</v>
      </c>
      <c r="B15">
        <v>3291</v>
      </c>
      <c r="C15">
        <v>2281155</v>
      </c>
    </row>
    <row r="16" spans="1:11" x14ac:dyDescent="0.2">
      <c r="A16" s="10">
        <v>5</v>
      </c>
      <c r="B16">
        <v>2944</v>
      </c>
      <c r="C16">
        <v>2913619</v>
      </c>
    </row>
    <row r="17" spans="1:11" x14ac:dyDescent="0.2">
      <c r="A17" s="10">
        <v>6</v>
      </c>
      <c r="B17">
        <v>3337</v>
      </c>
      <c r="C17">
        <v>3939361</v>
      </c>
    </row>
    <row r="18" spans="1:11" x14ac:dyDescent="0.2">
      <c r="A18" s="10">
        <v>7</v>
      </c>
      <c r="B18">
        <v>3356</v>
      </c>
      <c r="C18">
        <v>4824972</v>
      </c>
    </row>
    <row r="19" spans="1:11" x14ac:dyDescent="0.2">
      <c r="A19" s="10">
        <v>8</v>
      </c>
      <c r="B19">
        <v>3673</v>
      </c>
      <c r="C19">
        <v>6395864</v>
      </c>
    </row>
    <row r="20" spans="1:11" x14ac:dyDescent="0.2">
      <c r="A20" s="10">
        <v>9</v>
      </c>
      <c r="B20">
        <v>4298</v>
      </c>
      <c r="C20">
        <v>8090823</v>
      </c>
    </row>
    <row r="21" spans="1:11" x14ac:dyDescent="0.2">
      <c r="A21" s="10">
        <v>10</v>
      </c>
      <c r="B21">
        <v>6386</v>
      </c>
      <c r="C21">
        <v>13944063</v>
      </c>
    </row>
    <row r="22" spans="1:11" x14ac:dyDescent="0.2">
      <c r="A22" s="10">
        <v>11</v>
      </c>
      <c r="B22">
        <v>16582</v>
      </c>
      <c r="C22">
        <v>42573238</v>
      </c>
    </row>
    <row r="23" spans="1:11" x14ac:dyDescent="0.2">
      <c r="A23" s="10">
        <v>12</v>
      </c>
      <c r="B23">
        <v>1057953</v>
      </c>
      <c r="C23">
        <v>3166143492</v>
      </c>
      <c r="H23" s="11"/>
    </row>
    <row r="24" spans="1:11" x14ac:dyDescent="0.2">
      <c r="B24" s="4">
        <f>SUM(B12:B23)</f>
        <v>1114922</v>
      </c>
      <c r="C24" s="4">
        <f>SUM(C12:C23)</f>
        <v>3254925249</v>
      </c>
      <c r="D24" s="3"/>
      <c r="E24" s="3"/>
      <c r="F24" s="4">
        <f>SUM(C24:E24)</f>
        <v>3254925249</v>
      </c>
      <c r="G24" s="6">
        <f>B24/B$69</f>
        <v>0.29479981692047225</v>
      </c>
      <c r="H24" s="12">
        <f>F24/F$69</f>
        <v>0.12330110528749029</v>
      </c>
    </row>
    <row r="25" spans="1:11" x14ac:dyDescent="0.2">
      <c r="D25" s="3"/>
      <c r="E25" s="3"/>
    </row>
    <row r="26" spans="1:11" x14ac:dyDescent="0.2">
      <c r="A26" s="210" t="s">
        <v>175</v>
      </c>
      <c r="C26" s="4" t="s">
        <v>124</v>
      </c>
      <c r="D26" s="10" t="s">
        <v>125</v>
      </c>
      <c r="E26" s="3"/>
    </row>
    <row r="27" spans="1:11" x14ac:dyDescent="0.2">
      <c r="A27" s="7" t="s">
        <v>9</v>
      </c>
      <c r="B27" s="8" t="s">
        <v>6</v>
      </c>
      <c r="C27" s="8" t="s">
        <v>7</v>
      </c>
      <c r="D27" s="8" t="s">
        <v>10</v>
      </c>
      <c r="F27" s="9" t="s">
        <v>16</v>
      </c>
      <c r="G27" s="9"/>
      <c r="H27" s="9"/>
      <c r="I27" s="9"/>
      <c r="J27" s="9"/>
      <c r="K27" s="9"/>
    </row>
    <row r="28" spans="1:11" x14ac:dyDescent="0.2">
      <c r="A28" s="10">
        <v>1</v>
      </c>
      <c r="B28">
        <v>181382</v>
      </c>
      <c r="C28" s="21">
        <v>754134294</v>
      </c>
      <c r="D28" s="21">
        <v>10401552</v>
      </c>
      <c r="F28" s="4">
        <f t="shared" ref="F28:F39" si="0">SUM(C28:D28)</f>
        <v>764535846</v>
      </c>
      <c r="I28" s="6">
        <f t="shared" ref="I28:I39" si="1">D28/F28</f>
        <v>1.3605054693537549E-2</v>
      </c>
    </row>
    <row r="29" spans="1:11" x14ac:dyDescent="0.2">
      <c r="A29" s="10">
        <v>2</v>
      </c>
      <c r="B29">
        <v>131747</v>
      </c>
      <c r="C29" s="21">
        <v>603566488</v>
      </c>
      <c r="D29" s="21">
        <v>18693280</v>
      </c>
      <c r="F29" s="4">
        <f t="shared" si="0"/>
        <v>622259768</v>
      </c>
      <c r="I29" s="6">
        <f t="shared" si="1"/>
        <v>3.0040958714206957E-2</v>
      </c>
    </row>
    <row r="30" spans="1:11" x14ac:dyDescent="0.2">
      <c r="A30" s="10">
        <v>3</v>
      </c>
      <c r="B30">
        <v>107988</v>
      </c>
      <c r="C30" s="21">
        <v>526963260</v>
      </c>
      <c r="D30" s="21">
        <v>25984429</v>
      </c>
      <c r="F30" s="4">
        <f t="shared" si="0"/>
        <v>552947689</v>
      </c>
      <c r="I30" s="6">
        <f t="shared" si="1"/>
        <v>4.6992562799190937E-2</v>
      </c>
    </row>
    <row r="31" spans="1:11" x14ac:dyDescent="0.2">
      <c r="A31" s="10">
        <v>4</v>
      </c>
      <c r="B31">
        <v>90464</v>
      </c>
      <c r="C31" s="21">
        <v>462146350</v>
      </c>
      <c r="D31" s="21">
        <v>29369092</v>
      </c>
      <c r="F31" s="4">
        <f t="shared" si="0"/>
        <v>491515442</v>
      </c>
      <c r="I31" s="6">
        <f t="shared" si="1"/>
        <v>5.9752124735889783E-2</v>
      </c>
    </row>
    <row r="32" spans="1:11" x14ac:dyDescent="0.2">
      <c r="A32" s="10">
        <v>5</v>
      </c>
      <c r="B32">
        <v>75518</v>
      </c>
      <c r="C32" s="21">
        <v>406507158</v>
      </c>
      <c r="D32" s="21">
        <v>30671338</v>
      </c>
      <c r="F32" s="4">
        <f t="shared" si="0"/>
        <v>437178496</v>
      </c>
      <c r="I32" s="6">
        <f t="shared" si="1"/>
        <v>7.0157471789280321E-2</v>
      </c>
    </row>
    <row r="33" spans="1:11" x14ac:dyDescent="0.2">
      <c r="A33" s="10">
        <v>6</v>
      </c>
      <c r="B33">
        <v>63606</v>
      </c>
      <c r="C33" s="21">
        <v>354686696</v>
      </c>
      <c r="D33" s="21">
        <v>31971661</v>
      </c>
      <c r="F33" s="4">
        <f t="shared" si="0"/>
        <v>386658357</v>
      </c>
      <c r="I33" s="6">
        <f t="shared" si="1"/>
        <v>8.268710716111588E-2</v>
      </c>
    </row>
    <row r="34" spans="1:11" x14ac:dyDescent="0.2">
      <c r="A34" s="10">
        <v>7</v>
      </c>
      <c r="B34">
        <v>47751</v>
      </c>
      <c r="C34" s="21">
        <v>255638462</v>
      </c>
      <c r="D34" s="21">
        <v>26152027</v>
      </c>
      <c r="F34" s="4">
        <f t="shared" si="0"/>
        <v>281790489</v>
      </c>
      <c r="I34" s="6">
        <f t="shared" si="1"/>
        <v>9.280663479028918E-2</v>
      </c>
    </row>
    <row r="35" spans="1:11" x14ac:dyDescent="0.2">
      <c r="A35" s="10">
        <v>8</v>
      </c>
      <c r="B35">
        <v>41490</v>
      </c>
      <c r="C35" s="21">
        <v>224766646</v>
      </c>
      <c r="D35" s="21">
        <v>26095064</v>
      </c>
      <c r="F35" s="4">
        <f t="shared" si="0"/>
        <v>250861710</v>
      </c>
      <c r="I35" s="6">
        <f t="shared" si="1"/>
        <v>0.10402170980975933</v>
      </c>
    </row>
    <row r="36" spans="1:11" x14ac:dyDescent="0.2">
      <c r="A36" s="10">
        <v>9</v>
      </c>
      <c r="B36">
        <v>38809</v>
      </c>
      <c r="C36" s="21">
        <v>206669202</v>
      </c>
      <c r="D36" s="21">
        <v>27806829</v>
      </c>
      <c r="F36" s="4">
        <f t="shared" si="0"/>
        <v>234476031</v>
      </c>
      <c r="I36" s="6">
        <f t="shared" si="1"/>
        <v>0.11859134974866578</v>
      </c>
    </row>
    <row r="37" spans="1:11" x14ac:dyDescent="0.2">
      <c r="A37" s="10">
        <v>10</v>
      </c>
      <c r="B37">
        <v>39056</v>
      </c>
      <c r="C37" s="21">
        <v>204459674</v>
      </c>
      <c r="D37" s="21">
        <v>31976833</v>
      </c>
      <c r="F37" s="4">
        <f t="shared" si="0"/>
        <v>236436507</v>
      </c>
      <c r="I37" s="6">
        <f t="shared" si="1"/>
        <v>0.13524490530559224</v>
      </c>
    </row>
    <row r="38" spans="1:11" x14ac:dyDescent="0.2">
      <c r="A38" s="10">
        <v>11</v>
      </c>
      <c r="B38">
        <v>44373</v>
      </c>
      <c r="C38" s="21">
        <v>230505124</v>
      </c>
      <c r="D38" s="21">
        <v>42476052</v>
      </c>
      <c r="F38" s="4">
        <f t="shared" si="0"/>
        <v>272981176</v>
      </c>
      <c r="I38" s="6">
        <f t="shared" si="1"/>
        <v>0.15560066310213272</v>
      </c>
    </row>
    <row r="39" spans="1:11" x14ac:dyDescent="0.2">
      <c r="A39" s="10">
        <v>12</v>
      </c>
      <c r="B39">
        <v>81603</v>
      </c>
      <c r="C39" s="21">
        <v>421589336</v>
      </c>
      <c r="D39" s="21">
        <v>103469331</v>
      </c>
      <c r="F39" s="4">
        <f t="shared" si="0"/>
        <v>525058667</v>
      </c>
      <c r="I39" s="6">
        <f t="shared" si="1"/>
        <v>0.19706241893155912</v>
      </c>
    </row>
    <row r="40" spans="1:11" x14ac:dyDescent="0.2">
      <c r="B40" s="4">
        <f>SUM(B28:B39)</f>
        <v>943787</v>
      </c>
      <c r="C40" s="4">
        <f>SUM(C28:C39)</f>
        <v>4651632690</v>
      </c>
      <c r="D40" s="4">
        <f>SUM(D28:D39)</f>
        <v>405067488</v>
      </c>
      <c r="F40" s="4">
        <f>SUM(F28:F39)</f>
        <v>5056700178</v>
      </c>
      <c r="G40" s="6">
        <f>B40/B$69</f>
        <v>0.24954950643356374</v>
      </c>
      <c r="H40" s="12">
        <f>F40/F$69</f>
        <v>0.19155485098971281</v>
      </c>
    </row>
    <row r="41" spans="1:11" x14ac:dyDescent="0.2">
      <c r="C41" s="6"/>
      <c r="D41" s="6"/>
      <c r="E41" s="6"/>
    </row>
    <row r="42" spans="1:11" x14ac:dyDescent="0.2">
      <c r="D42" s="6"/>
      <c r="F42" s="4"/>
      <c r="G42" s="6"/>
    </row>
    <row r="43" spans="1:11" x14ac:dyDescent="0.2">
      <c r="D43" s="6"/>
      <c r="E43" s="6"/>
      <c r="G43" s="6"/>
    </row>
    <row r="44" spans="1:11" x14ac:dyDescent="0.2">
      <c r="A44" s="210" t="s">
        <v>175</v>
      </c>
      <c r="C44" s="6" t="s">
        <v>124</v>
      </c>
      <c r="D44" s="6" t="s">
        <v>131</v>
      </c>
      <c r="E44" s="6" t="s">
        <v>126</v>
      </c>
    </row>
    <row r="45" spans="1:11" x14ac:dyDescent="0.2">
      <c r="A45" s="7" t="s">
        <v>11</v>
      </c>
      <c r="B45" s="8" t="s">
        <v>6</v>
      </c>
      <c r="C45" s="8" t="s">
        <v>7</v>
      </c>
      <c r="D45" s="8" t="s">
        <v>10</v>
      </c>
      <c r="E45" s="8" t="s">
        <v>12</v>
      </c>
      <c r="F45" s="9"/>
      <c r="G45" s="9"/>
      <c r="H45" s="9"/>
      <c r="I45" s="9"/>
      <c r="J45" s="9"/>
      <c r="K45" s="9"/>
    </row>
    <row r="47" spans="1:11" x14ac:dyDescent="0.2">
      <c r="A47" s="10">
        <v>1</v>
      </c>
      <c r="B47" s="21">
        <v>233028</v>
      </c>
      <c r="C47" s="21">
        <v>1215780342</v>
      </c>
      <c r="D47" s="21">
        <v>237192906</v>
      </c>
      <c r="E47" s="21">
        <v>29068925</v>
      </c>
      <c r="F47" s="4">
        <f t="shared" ref="F47:F58" si="2">SUM(C47:E47)</f>
        <v>1482042173</v>
      </c>
      <c r="I47" s="6">
        <f t="shared" ref="I47:I59" si="3">E47/F47</f>
        <v>1.9614101089416164E-2</v>
      </c>
    </row>
    <row r="48" spans="1:11" x14ac:dyDescent="0.2">
      <c r="A48" s="10">
        <v>2</v>
      </c>
      <c r="B48" s="21">
        <v>168234</v>
      </c>
      <c r="C48" s="21">
        <v>925527780</v>
      </c>
      <c r="D48" s="21">
        <v>229100141</v>
      </c>
      <c r="E48" s="21">
        <v>47146784</v>
      </c>
      <c r="F48" s="4">
        <f t="shared" si="2"/>
        <v>1201774705</v>
      </c>
      <c r="I48" s="6">
        <f t="shared" si="3"/>
        <v>3.9230967172004173E-2</v>
      </c>
    </row>
    <row r="49" spans="1:10" x14ac:dyDescent="0.2">
      <c r="A49" s="10">
        <v>3</v>
      </c>
      <c r="B49" s="21">
        <v>145948</v>
      </c>
      <c r="C49" s="21">
        <v>832142770</v>
      </c>
      <c r="D49" s="21">
        <v>240431119</v>
      </c>
      <c r="E49" s="21">
        <v>76356835</v>
      </c>
      <c r="F49" s="4">
        <f t="shared" si="2"/>
        <v>1148930724</v>
      </c>
      <c r="I49" s="6">
        <f t="shared" si="3"/>
        <v>6.6459041789886014E-2</v>
      </c>
    </row>
    <row r="50" spans="1:10" x14ac:dyDescent="0.2">
      <c r="A50" s="10">
        <v>4</v>
      </c>
      <c r="B50" s="21">
        <v>135662</v>
      </c>
      <c r="C50" s="21">
        <v>787124151</v>
      </c>
      <c r="D50" s="21">
        <v>258194805</v>
      </c>
      <c r="E50" s="21">
        <v>115442674</v>
      </c>
      <c r="F50" s="4">
        <f t="shared" si="2"/>
        <v>1160761630</v>
      </c>
      <c r="G50" s="4"/>
      <c r="I50" s="6">
        <f t="shared" si="3"/>
        <v>9.9454247122210612E-2</v>
      </c>
    </row>
    <row r="51" spans="1:10" x14ac:dyDescent="0.2">
      <c r="A51" s="10">
        <v>5</v>
      </c>
      <c r="B51" s="21">
        <v>116748</v>
      </c>
      <c r="C51" s="21">
        <v>704888560</v>
      </c>
      <c r="D51" s="21">
        <v>254541551</v>
      </c>
      <c r="E51" s="21">
        <v>139426545</v>
      </c>
      <c r="F51" s="4">
        <f t="shared" si="2"/>
        <v>1098856656</v>
      </c>
      <c r="I51" s="6">
        <f t="shared" si="3"/>
        <v>0.12688328749587152</v>
      </c>
    </row>
    <row r="52" spans="1:10" x14ac:dyDescent="0.2">
      <c r="A52" s="10">
        <v>6</v>
      </c>
      <c r="B52" s="21">
        <v>95884</v>
      </c>
      <c r="C52" s="21">
        <v>587568847</v>
      </c>
      <c r="D52" s="21">
        <v>235152589</v>
      </c>
      <c r="E52" s="21">
        <v>141839199</v>
      </c>
      <c r="F52" s="4">
        <f t="shared" si="2"/>
        <v>964560635</v>
      </c>
      <c r="I52" s="6">
        <f t="shared" si="3"/>
        <v>0.14705057811114175</v>
      </c>
    </row>
    <row r="53" spans="1:10" x14ac:dyDescent="0.2">
      <c r="A53" s="10">
        <v>7</v>
      </c>
      <c r="B53" s="21">
        <v>76416</v>
      </c>
      <c r="C53" s="21">
        <v>443435406</v>
      </c>
      <c r="D53" s="21">
        <v>198792262</v>
      </c>
      <c r="E53" s="21">
        <v>130014941</v>
      </c>
      <c r="F53" s="4">
        <f t="shared" si="2"/>
        <v>772242609</v>
      </c>
      <c r="I53" s="12">
        <f t="shared" si="3"/>
        <v>0.16836022706434217</v>
      </c>
    </row>
    <row r="54" spans="1:10" x14ac:dyDescent="0.2">
      <c r="A54" s="10">
        <v>8</v>
      </c>
      <c r="B54" s="21">
        <v>69422</v>
      </c>
      <c r="C54" s="21">
        <v>398585716</v>
      </c>
      <c r="D54" s="21">
        <v>189186197</v>
      </c>
      <c r="E54" s="21">
        <v>137129706</v>
      </c>
      <c r="F54" s="4">
        <f t="shared" si="2"/>
        <v>724901619</v>
      </c>
      <c r="I54" s="6">
        <f t="shared" si="3"/>
        <v>0.18917009205907154</v>
      </c>
    </row>
    <row r="55" spans="1:10" x14ac:dyDescent="0.2">
      <c r="A55" s="10">
        <v>9</v>
      </c>
      <c r="B55" s="21">
        <v>70688</v>
      </c>
      <c r="C55" s="21">
        <v>404883885</v>
      </c>
      <c r="D55" s="21">
        <v>200336203</v>
      </c>
      <c r="E55" s="21">
        <v>162434989</v>
      </c>
      <c r="F55" s="4">
        <f t="shared" si="2"/>
        <v>767655077</v>
      </c>
      <c r="I55" s="6">
        <f t="shared" si="3"/>
        <v>0.21159892491663934</v>
      </c>
    </row>
    <row r="56" spans="1:10" x14ac:dyDescent="0.2">
      <c r="A56" s="10">
        <v>10</v>
      </c>
      <c r="B56" s="21">
        <v>79232</v>
      </c>
      <c r="C56" s="21">
        <v>453327549</v>
      </c>
      <c r="D56" s="21">
        <v>231960584</v>
      </c>
      <c r="E56" s="21">
        <v>221110150</v>
      </c>
      <c r="F56" s="4">
        <f t="shared" si="2"/>
        <v>906398283</v>
      </c>
      <c r="I56" s="6">
        <f t="shared" si="3"/>
        <v>0.2439436990857583</v>
      </c>
    </row>
    <row r="57" spans="1:10" x14ac:dyDescent="0.2">
      <c r="A57" s="10">
        <v>11</v>
      </c>
      <c r="B57" s="21">
        <v>110285</v>
      </c>
      <c r="C57" s="21">
        <v>622636292</v>
      </c>
      <c r="D57" s="21">
        <v>327627765</v>
      </c>
      <c r="E57" s="21">
        <v>405946041</v>
      </c>
      <c r="F57" s="4">
        <f t="shared" si="2"/>
        <v>1356210098</v>
      </c>
      <c r="I57" s="6">
        <f t="shared" si="3"/>
        <v>0.29932385962812674</v>
      </c>
    </row>
    <row r="58" spans="1:10" x14ac:dyDescent="0.2">
      <c r="A58" s="13">
        <v>12</v>
      </c>
      <c r="B58" s="21">
        <v>421707</v>
      </c>
      <c r="C58" s="21">
        <v>2260708913</v>
      </c>
      <c r="D58" s="21">
        <v>1217046567</v>
      </c>
      <c r="E58" s="21">
        <v>3024468756</v>
      </c>
      <c r="F58" s="14">
        <f t="shared" si="2"/>
        <v>6502224236</v>
      </c>
      <c r="I58" s="6">
        <f t="shared" si="3"/>
        <v>0.46514371793805975</v>
      </c>
      <c r="J58" s="6"/>
    </row>
    <row r="59" spans="1:10" x14ac:dyDescent="0.2">
      <c r="A59" s="10" t="s">
        <v>25</v>
      </c>
      <c r="B59" s="4">
        <f>SUM(B47:B58)</f>
        <v>1723254</v>
      </c>
      <c r="C59" s="4">
        <f>SUM(C47:C58)</f>
        <v>9636610211</v>
      </c>
      <c r="D59" s="4">
        <f>SUM(D47:D58)</f>
        <v>3819562689</v>
      </c>
      <c r="E59" s="4">
        <f>SUM(E47:E58)</f>
        <v>4630385545</v>
      </c>
      <c r="F59" s="4">
        <f>SUM(F47:F58)</f>
        <v>18086558445</v>
      </c>
      <c r="G59" s="6">
        <f>B59/B$69</f>
        <v>0.45565067664596404</v>
      </c>
      <c r="H59" s="12">
        <f>F59/F$69</f>
        <v>0.68514404372279691</v>
      </c>
      <c r="I59" s="6">
        <f t="shared" si="3"/>
        <v>0.25601252770562677</v>
      </c>
    </row>
    <row r="60" spans="1:10" x14ac:dyDescent="0.2">
      <c r="C60" s="12">
        <f>C59/$F59</f>
        <v>0.53280507954591139</v>
      </c>
      <c r="D60" s="12">
        <f>D59/$F59</f>
        <v>0.21118239274846187</v>
      </c>
      <c r="E60" s="12">
        <f>E59/$F59</f>
        <v>0.25601252770562677</v>
      </c>
      <c r="F60" s="4">
        <f>F59/B59</f>
        <v>10495.584774502191</v>
      </c>
      <c r="G60" s="6"/>
      <c r="H60" s="12"/>
    </row>
    <row r="61" spans="1:10" x14ac:dyDescent="0.2">
      <c r="C61" s="12"/>
      <c r="D61" s="12"/>
      <c r="E61" s="12"/>
      <c r="F61" s="4"/>
      <c r="G61" s="6"/>
      <c r="H61" s="12"/>
    </row>
    <row r="62" spans="1:10" x14ac:dyDescent="0.2">
      <c r="A62" s="10" t="s">
        <v>26</v>
      </c>
      <c r="B62" s="4">
        <f>SUM(B47:B49)</f>
        <v>547210</v>
      </c>
      <c r="C62" s="4">
        <f>SUM(C47:C49)</f>
        <v>2973450892</v>
      </c>
      <c r="D62" s="4">
        <f>SUM(D47:D49)</f>
        <v>706724166</v>
      </c>
      <c r="E62" s="4">
        <f>SUM(E47:E49)</f>
        <v>152572544</v>
      </c>
      <c r="F62" s="4">
        <f>SUM(F47:F49)</f>
        <v>3832747602</v>
      </c>
      <c r="G62" s="6">
        <f>B62/B69</f>
        <v>0.14468941129249546</v>
      </c>
    </row>
    <row r="63" spans="1:10" x14ac:dyDescent="0.2">
      <c r="A63" s="10" t="s">
        <v>32</v>
      </c>
      <c r="B63" s="6"/>
      <c r="C63" s="6">
        <f>C62/$F62</f>
        <v>0.77580138343792771</v>
      </c>
      <c r="D63" s="6">
        <f>D62/$F62</f>
        <v>0.18439100076175588</v>
      </c>
      <c r="E63" s="6">
        <f>E62/$F62</f>
        <v>3.9807615800316401E-2</v>
      </c>
      <c r="F63" s="4">
        <f>F62/B62</f>
        <v>7004.1622082929771</v>
      </c>
    </row>
    <row r="64" spans="1:10" x14ac:dyDescent="0.2">
      <c r="F64" s="4"/>
      <c r="G64" s="6"/>
    </row>
    <row r="65" spans="1:7" x14ac:dyDescent="0.2">
      <c r="A65" s="5" t="s">
        <v>14</v>
      </c>
      <c r="B65" s="4">
        <f>B58</f>
        <v>421707</v>
      </c>
      <c r="C65" s="4">
        <f>C58</f>
        <v>2260708913</v>
      </c>
      <c r="D65" s="4">
        <f>D58</f>
        <v>1217046567</v>
      </c>
      <c r="E65" s="4">
        <f>E58</f>
        <v>3024468756</v>
      </c>
      <c r="F65" s="4">
        <f>SUM(C65:E65)</f>
        <v>6502224236</v>
      </c>
      <c r="G65" s="6">
        <f>B65/B69</f>
        <v>0.1115047926169558</v>
      </c>
    </row>
    <row r="66" spans="1:7" x14ac:dyDescent="0.2">
      <c r="A66" s="10" t="s">
        <v>32</v>
      </c>
      <c r="B66" s="3"/>
      <c r="C66" s="6">
        <f>C65/$F65</f>
        <v>0.34768239773759779</v>
      </c>
      <c r="D66" s="6">
        <f>D65/$F65</f>
        <v>0.18717388432434245</v>
      </c>
      <c r="E66" s="6">
        <f>E65/$F65</f>
        <v>0.46514371793805975</v>
      </c>
      <c r="F66" s="4">
        <f>F65/B65</f>
        <v>15418.819787198221</v>
      </c>
    </row>
    <row r="67" spans="1:7" x14ac:dyDescent="0.2">
      <c r="B67" s="6"/>
      <c r="C67" s="6"/>
      <c r="D67" s="6"/>
      <c r="E67" s="6"/>
    </row>
    <row r="68" spans="1:7" x14ac:dyDescent="0.2">
      <c r="F68" s="4"/>
      <c r="G68" s="6"/>
    </row>
    <row r="69" spans="1:7" x14ac:dyDescent="0.2">
      <c r="A69" s="10" t="s">
        <v>13</v>
      </c>
      <c r="B69" s="4">
        <f>B24+B40+B59</f>
        <v>3781963</v>
      </c>
      <c r="C69" s="4">
        <f>C24+C40+C59</f>
        <v>17543168150</v>
      </c>
      <c r="D69" s="4">
        <f>D24+D40+D59</f>
        <v>4224630177</v>
      </c>
      <c r="E69" s="4">
        <f>E24+E40+E59</f>
        <v>4630385545</v>
      </c>
      <c r="F69" s="4">
        <f>SUM(C69:E69)</f>
        <v>26398183872</v>
      </c>
    </row>
    <row r="70" spans="1:7" x14ac:dyDescent="0.2">
      <c r="C70" s="6">
        <f>C69/$F69</f>
        <v>0.6645596619473384</v>
      </c>
      <c r="D70" s="6">
        <f>D69/$F69</f>
        <v>0.16003487957673393</v>
      </c>
      <c r="E70" s="6">
        <f>E69/$F69</f>
        <v>0.1754054584759277</v>
      </c>
      <c r="F70" s="4">
        <f>F69/B69</f>
        <v>6980.0217167645478</v>
      </c>
    </row>
    <row r="71" spans="1:7" x14ac:dyDescent="0.2">
      <c r="F71" s="4"/>
    </row>
    <row r="73" spans="1:7" x14ac:dyDescent="0.2">
      <c r="A73" s="10" t="s">
        <v>37</v>
      </c>
      <c r="B73" s="4">
        <v>1295774</v>
      </c>
      <c r="C73" s="4">
        <v>3756167710</v>
      </c>
      <c r="D73" s="4">
        <v>75702878</v>
      </c>
      <c r="E73" s="4">
        <v>0</v>
      </c>
      <c r="F73" s="4">
        <f>SUM(B73:E73)</f>
        <v>3833166362</v>
      </c>
      <c r="G73" s="6">
        <f>B73/B69</f>
        <v>0.34261942805892071</v>
      </c>
    </row>
    <row r="74" spans="1:7" x14ac:dyDescent="0.2">
      <c r="C74" s="6">
        <f>C73/$F73</f>
        <v>0.97991252016522834</v>
      </c>
      <c r="D74" s="6">
        <f>D73/$F73</f>
        <v>1.9749437110394844E-2</v>
      </c>
      <c r="E74" s="6">
        <f>E73/$F73</f>
        <v>0</v>
      </c>
      <c r="F74" s="4">
        <f>F73/B73</f>
        <v>2958.2059541247163</v>
      </c>
    </row>
    <row r="75" spans="1:7" x14ac:dyDescent="0.2">
      <c r="C75" s="6"/>
      <c r="D75" s="6"/>
      <c r="E75" s="6"/>
      <c r="F75" s="4"/>
    </row>
    <row r="76" spans="1:7" x14ac:dyDescent="0.2">
      <c r="A76" s="9" t="s">
        <v>15</v>
      </c>
      <c r="B76" s="3"/>
      <c r="F76" s="4"/>
    </row>
    <row r="77" spans="1:7" x14ac:dyDescent="0.2">
      <c r="A77" s="10" t="s">
        <v>36</v>
      </c>
      <c r="B77" s="7" t="s">
        <v>28</v>
      </c>
      <c r="C77" s="4" t="s">
        <v>18</v>
      </c>
      <c r="D77" s="7" t="s">
        <v>9</v>
      </c>
      <c r="E77" s="4" t="s">
        <v>17</v>
      </c>
      <c r="F77" s="7" t="s">
        <v>11</v>
      </c>
    </row>
    <row r="78" spans="1:7" x14ac:dyDescent="0.2">
      <c r="A78" s="10">
        <v>1</v>
      </c>
      <c r="B78" s="3">
        <f t="shared" ref="B78:B89" si="4">A12*B12</f>
        <v>4706</v>
      </c>
      <c r="C78" s="3">
        <f t="shared" ref="C78:C89" si="5">(12-A28)*B28</f>
        <v>1995202</v>
      </c>
      <c r="D78" s="3">
        <f t="shared" ref="D78:D89" si="6">A28*B28</f>
        <v>181382</v>
      </c>
      <c r="E78" s="3">
        <f t="shared" ref="E78:E89" si="7">(12-A47)*B47</f>
        <v>2563308</v>
      </c>
      <c r="F78" s="3">
        <f t="shared" ref="F78:F89" si="8">A47*B47</f>
        <v>233028</v>
      </c>
    </row>
    <row r="79" spans="1:7" x14ac:dyDescent="0.2">
      <c r="A79" s="10">
        <v>2</v>
      </c>
      <c r="B79" s="3">
        <f t="shared" si="4"/>
        <v>8686</v>
      </c>
      <c r="C79" s="3">
        <f t="shared" si="5"/>
        <v>1317470</v>
      </c>
      <c r="D79" s="3">
        <f t="shared" si="6"/>
        <v>263494</v>
      </c>
      <c r="E79" s="3">
        <f t="shared" si="7"/>
        <v>1682340</v>
      </c>
      <c r="F79" s="3">
        <f t="shared" si="8"/>
        <v>336468</v>
      </c>
    </row>
    <row r="80" spans="1:7" x14ac:dyDescent="0.2">
      <c r="A80" s="10">
        <v>3</v>
      </c>
      <c r="B80" s="3">
        <f t="shared" si="4"/>
        <v>12159</v>
      </c>
      <c r="C80" s="3">
        <f t="shared" si="5"/>
        <v>971892</v>
      </c>
      <c r="D80" s="3">
        <f t="shared" si="6"/>
        <v>323964</v>
      </c>
      <c r="E80" s="3">
        <f t="shared" si="7"/>
        <v>1313532</v>
      </c>
      <c r="F80" s="3">
        <f t="shared" si="8"/>
        <v>437844</v>
      </c>
    </row>
    <row r="81" spans="1:7" x14ac:dyDescent="0.2">
      <c r="A81" s="10">
        <v>4</v>
      </c>
      <c r="B81" s="3">
        <f t="shared" si="4"/>
        <v>13164</v>
      </c>
      <c r="C81" s="3">
        <f t="shared" si="5"/>
        <v>723712</v>
      </c>
      <c r="D81" s="3">
        <f t="shared" si="6"/>
        <v>361856</v>
      </c>
      <c r="E81" s="3">
        <f t="shared" si="7"/>
        <v>1085296</v>
      </c>
      <c r="F81" s="3">
        <f t="shared" si="8"/>
        <v>542648</v>
      </c>
    </row>
    <row r="82" spans="1:7" x14ac:dyDescent="0.2">
      <c r="A82" s="10">
        <v>5</v>
      </c>
      <c r="B82" s="3">
        <f t="shared" si="4"/>
        <v>14720</v>
      </c>
      <c r="C82" s="3">
        <f t="shared" si="5"/>
        <v>528626</v>
      </c>
      <c r="D82" s="3">
        <f t="shared" si="6"/>
        <v>377590</v>
      </c>
      <c r="E82" s="3">
        <f t="shared" si="7"/>
        <v>817236</v>
      </c>
      <c r="F82" s="3">
        <f t="shared" si="8"/>
        <v>583740</v>
      </c>
    </row>
    <row r="83" spans="1:7" x14ac:dyDescent="0.2">
      <c r="A83" s="10">
        <v>6</v>
      </c>
      <c r="B83" s="3">
        <f t="shared" si="4"/>
        <v>20022</v>
      </c>
      <c r="C83" s="3">
        <f t="shared" si="5"/>
        <v>381636</v>
      </c>
      <c r="D83" s="3">
        <f t="shared" si="6"/>
        <v>381636</v>
      </c>
      <c r="E83" s="3">
        <f t="shared" si="7"/>
        <v>575304</v>
      </c>
      <c r="F83" s="3">
        <f t="shared" si="8"/>
        <v>575304</v>
      </c>
    </row>
    <row r="84" spans="1:7" x14ac:dyDescent="0.2">
      <c r="A84" s="10">
        <v>7</v>
      </c>
      <c r="B84" s="3">
        <f t="shared" si="4"/>
        <v>23492</v>
      </c>
      <c r="C84" s="3">
        <f t="shared" si="5"/>
        <v>238755</v>
      </c>
      <c r="D84" s="3">
        <f t="shared" si="6"/>
        <v>334257</v>
      </c>
      <c r="E84" s="3">
        <f t="shared" si="7"/>
        <v>382080</v>
      </c>
      <c r="F84" s="3">
        <f t="shared" si="8"/>
        <v>534912</v>
      </c>
    </row>
    <row r="85" spans="1:7" x14ac:dyDescent="0.2">
      <c r="A85" s="10">
        <v>8</v>
      </c>
      <c r="B85" s="3">
        <f t="shared" si="4"/>
        <v>29384</v>
      </c>
      <c r="C85" s="3">
        <f t="shared" si="5"/>
        <v>165960</v>
      </c>
      <c r="D85" s="3">
        <f t="shared" si="6"/>
        <v>331920</v>
      </c>
      <c r="E85" s="3">
        <f t="shared" si="7"/>
        <v>277688</v>
      </c>
      <c r="F85" s="3">
        <f t="shared" si="8"/>
        <v>555376</v>
      </c>
    </row>
    <row r="86" spans="1:7" x14ac:dyDescent="0.2">
      <c r="A86" s="10">
        <v>9</v>
      </c>
      <c r="B86" s="3">
        <f t="shared" si="4"/>
        <v>38682</v>
      </c>
      <c r="C86" s="3">
        <f t="shared" si="5"/>
        <v>116427</v>
      </c>
      <c r="D86" s="3">
        <f t="shared" si="6"/>
        <v>349281</v>
      </c>
      <c r="E86" s="3">
        <f t="shared" si="7"/>
        <v>212064</v>
      </c>
      <c r="F86" s="3">
        <f t="shared" si="8"/>
        <v>636192</v>
      </c>
    </row>
    <row r="87" spans="1:7" x14ac:dyDescent="0.2">
      <c r="A87" s="10">
        <v>10</v>
      </c>
      <c r="B87" s="3">
        <f t="shared" si="4"/>
        <v>63860</v>
      </c>
      <c r="C87" s="3">
        <f t="shared" si="5"/>
        <v>78112</v>
      </c>
      <c r="D87" s="3">
        <f t="shared" si="6"/>
        <v>390560</v>
      </c>
      <c r="E87" s="3">
        <f t="shared" si="7"/>
        <v>158464</v>
      </c>
      <c r="F87" s="3">
        <f t="shared" si="8"/>
        <v>792320</v>
      </c>
    </row>
    <row r="88" spans="1:7" x14ac:dyDescent="0.2">
      <c r="A88" s="10">
        <v>11</v>
      </c>
      <c r="B88" s="3">
        <f t="shared" si="4"/>
        <v>182402</v>
      </c>
      <c r="C88" s="3">
        <f t="shared" si="5"/>
        <v>44373</v>
      </c>
      <c r="D88" s="3">
        <f t="shared" si="6"/>
        <v>488103</v>
      </c>
      <c r="E88" s="3">
        <f t="shared" si="7"/>
        <v>110285</v>
      </c>
      <c r="F88" s="3">
        <f t="shared" si="8"/>
        <v>1213135</v>
      </c>
    </row>
    <row r="89" spans="1:7" x14ac:dyDescent="0.2">
      <c r="A89" s="10">
        <v>12</v>
      </c>
      <c r="B89" s="3">
        <f t="shared" si="4"/>
        <v>12695436</v>
      </c>
      <c r="C89" s="3">
        <f t="shared" si="5"/>
        <v>0</v>
      </c>
      <c r="D89" s="3">
        <f t="shared" si="6"/>
        <v>979236</v>
      </c>
      <c r="E89" s="3">
        <f t="shared" si="7"/>
        <v>0</v>
      </c>
      <c r="F89" s="3">
        <f t="shared" si="8"/>
        <v>5060484</v>
      </c>
    </row>
    <row r="90" spans="1:7" x14ac:dyDescent="0.2">
      <c r="B90" s="4">
        <f>SUM(B78:B89)</f>
        <v>13106713</v>
      </c>
      <c r="C90" s="4">
        <f>SUM(C78:C89)</f>
        <v>6562165</v>
      </c>
      <c r="D90" s="4">
        <f>SUM(D78:D89)</f>
        <v>4763279</v>
      </c>
      <c r="E90" s="4">
        <f>SUM(E78:E89)</f>
        <v>9177597</v>
      </c>
      <c r="F90" s="4">
        <f>SUM(F78:F89)</f>
        <v>11501451</v>
      </c>
      <c r="G90" s="4">
        <f>SUM(B90:F90)</f>
        <v>45111205</v>
      </c>
    </row>
    <row r="92" spans="1:7" x14ac:dyDescent="0.2">
      <c r="A92" s="10" t="s">
        <v>19</v>
      </c>
      <c r="B92" s="4">
        <f>B90+C90</f>
        <v>19668878</v>
      </c>
      <c r="C92" s="12">
        <f>B92/B$95</f>
        <v>0.43600870338090059</v>
      </c>
    </row>
    <row r="93" spans="1:7" x14ac:dyDescent="0.2">
      <c r="A93" s="10" t="s">
        <v>20</v>
      </c>
      <c r="B93" s="4">
        <f>D90+E90</f>
        <v>13940876</v>
      </c>
      <c r="C93" s="12">
        <f>B93/B$95</f>
        <v>0.30903355385873643</v>
      </c>
    </row>
    <row r="94" spans="1:7" x14ac:dyDescent="0.2">
      <c r="A94" s="10" t="s">
        <v>21</v>
      </c>
      <c r="B94" s="4">
        <f>F90</f>
        <v>11501451</v>
      </c>
      <c r="C94" s="12">
        <f>B94/B$95</f>
        <v>0.25495774276036298</v>
      </c>
    </row>
    <row r="95" spans="1:7" x14ac:dyDescent="0.2">
      <c r="B95" s="4">
        <f>G90</f>
        <v>45111205</v>
      </c>
    </row>
    <row r="97" spans="1:11" x14ac:dyDescent="0.2">
      <c r="I97" s="10" t="s">
        <v>71</v>
      </c>
    </row>
    <row r="98" spans="1:11" x14ac:dyDescent="0.2">
      <c r="G98" s="10" t="s">
        <v>50</v>
      </c>
      <c r="H98" s="10" t="s">
        <v>50</v>
      </c>
      <c r="I98" s="10" t="s">
        <v>72</v>
      </c>
      <c r="J98"/>
      <c r="K98"/>
    </row>
    <row r="99" spans="1:11" x14ac:dyDescent="0.2">
      <c r="A99" s="30" t="s">
        <v>56</v>
      </c>
      <c r="B99" s="20" t="s">
        <v>23</v>
      </c>
      <c r="C99" s="1" t="s">
        <v>1</v>
      </c>
      <c r="D99" s="1" t="s">
        <v>52</v>
      </c>
      <c r="E99" s="1" t="s">
        <v>3</v>
      </c>
      <c r="F99" s="1" t="s">
        <v>16</v>
      </c>
      <c r="G99" s="10" t="s">
        <v>23</v>
      </c>
      <c r="H99" s="10" t="s">
        <v>51</v>
      </c>
      <c r="I99" s="10" t="s">
        <v>51</v>
      </c>
      <c r="J99"/>
      <c r="K99"/>
    </row>
    <row r="100" spans="1:11" x14ac:dyDescent="0.2">
      <c r="A100" s="10" t="s">
        <v>49</v>
      </c>
      <c r="B100" s="4">
        <f>B24+B40</f>
        <v>2058709</v>
      </c>
      <c r="C100" s="4">
        <f>C24+C40</f>
        <v>7906557939</v>
      </c>
      <c r="D100" s="4">
        <f>D24+D40</f>
        <v>405067488</v>
      </c>
      <c r="E100" s="4">
        <v>0</v>
      </c>
      <c r="F100" s="4">
        <f>SUM(C100:E100)</f>
        <v>8311625427</v>
      </c>
      <c r="G100" s="6">
        <f t="shared" ref="G100:G105" si="9">B100/B$105</f>
        <v>0.54434932335403596</v>
      </c>
      <c r="H100" s="3">
        <v>0</v>
      </c>
      <c r="J100"/>
      <c r="K100"/>
    </row>
    <row r="101" spans="1:11" x14ac:dyDescent="0.2">
      <c r="A101" s="10" t="s">
        <v>46</v>
      </c>
      <c r="B101" s="4">
        <f>B47+B48+B49</f>
        <v>547210</v>
      </c>
      <c r="C101" s="4">
        <f>C47+C48+C49</f>
        <v>2973450892</v>
      </c>
      <c r="D101" s="4">
        <f>D47+D48+D49</f>
        <v>706724166</v>
      </c>
      <c r="E101" s="4">
        <f>E47+E48+E49</f>
        <v>152572544</v>
      </c>
      <c r="F101" s="4">
        <f>SUM(C101:E101)</f>
        <v>3832747602</v>
      </c>
      <c r="G101" s="6">
        <f t="shared" si="9"/>
        <v>0.14468941129249546</v>
      </c>
      <c r="H101" s="12" t="e">
        <f>(SUM(#REF!)-SUM(#REF!))/SUM(#REF!)</f>
        <v>#REF!</v>
      </c>
      <c r="I101" s="12" t="e">
        <f>-(SUM(#REF!)-SUM(#REF!))/Prices!E$8/SUM(F$47:F$49)</f>
        <v>#REF!</v>
      </c>
      <c r="J101" t="e">
        <f>F101*I101</f>
        <v>#REF!</v>
      </c>
      <c r="K101"/>
    </row>
    <row r="102" spans="1:11" x14ac:dyDescent="0.2">
      <c r="A102" s="10" t="s">
        <v>47</v>
      </c>
      <c r="B102" s="4">
        <f>B50+B51+B52+B53</f>
        <v>424710</v>
      </c>
      <c r="C102" s="4">
        <f>C50+C51+C52+C53</f>
        <v>2523016964</v>
      </c>
      <c r="D102" s="4">
        <f>D50+D51+D52+D53</f>
        <v>946681207</v>
      </c>
      <c r="E102" s="4">
        <f>E50+E51+E52+E53</f>
        <v>526723359</v>
      </c>
      <c r="F102" s="4">
        <f>SUM(C102:E102)</f>
        <v>3996421530</v>
      </c>
      <c r="G102" s="6">
        <f t="shared" si="9"/>
        <v>0.11229882471087105</v>
      </c>
      <c r="H102" s="12" t="e">
        <f>(SUM(#REF!)-SUM(#REF!))/SUM(#REF!)</f>
        <v>#REF!</v>
      </c>
      <c r="I102" s="12" t="e">
        <f>-(SUM(#REF!)-SUM(#REF!))/Prices!#REF!/SUM(F$50:F$53)</f>
        <v>#REF!</v>
      </c>
      <c r="J102" t="e">
        <f>F102*I102</f>
        <v>#REF!</v>
      </c>
      <c r="K102"/>
    </row>
    <row r="103" spans="1:11" x14ac:dyDescent="0.2">
      <c r="A103" s="10" t="s">
        <v>48</v>
      </c>
      <c r="B103" s="4">
        <f>B54+B55+B56+B57</f>
        <v>329627</v>
      </c>
      <c r="C103" s="4">
        <f>C54+C55+C56+C57</f>
        <v>1879433442</v>
      </c>
      <c r="D103" s="4">
        <f>D54+D55+D56+D57</f>
        <v>949110749</v>
      </c>
      <c r="E103" s="4">
        <f>E54+E55+E56+E57</f>
        <v>926620886</v>
      </c>
      <c r="F103" s="4">
        <f>SUM(C103:E103)</f>
        <v>3755165077</v>
      </c>
      <c r="G103" s="6">
        <f t="shared" si="9"/>
        <v>8.7157648025641715E-2</v>
      </c>
      <c r="H103" s="12" t="e">
        <f>(SUM(#REF!)-SUM(#REF!))/SUM(#REF!)</f>
        <v>#REF!</v>
      </c>
      <c r="I103" s="12" t="e">
        <f>-(SUM(#REF!)-SUM(#REF!))/Prices!#REF!/SUM(F$54:F$57)</f>
        <v>#REF!</v>
      </c>
      <c r="J103" t="e">
        <f>F103*I103</f>
        <v>#REF!</v>
      </c>
      <c r="K103"/>
    </row>
    <row r="104" spans="1:11" x14ac:dyDescent="0.2">
      <c r="A104" s="13" t="s">
        <v>55</v>
      </c>
      <c r="B104" s="14">
        <f>B58</f>
        <v>421707</v>
      </c>
      <c r="C104" s="14">
        <f>C58</f>
        <v>2260708913</v>
      </c>
      <c r="D104" s="14">
        <f>D58</f>
        <v>1217046567</v>
      </c>
      <c r="E104" s="14">
        <f>E58</f>
        <v>3024468756</v>
      </c>
      <c r="F104" s="14">
        <f>SUM(C104:E104)</f>
        <v>6502224236</v>
      </c>
      <c r="G104" s="28">
        <f t="shared" si="9"/>
        <v>0.1115047926169558</v>
      </c>
      <c r="H104" s="29" t="e">
        <f>#REF!</f>
        <v>#REF!</v>
      </c>
      <c r="I104" s="46" t="e">
        <f>-(#REF!-#REF!)/Prices!E$9/F$58</f>
        <v>#REF!</v>
      </c>
      <c r="J104" t="e">
        <f>F104*I104</f>
        <v>#REF!</v>
      </c>
      <c r="K104"/>
    </row>
    <row r="105" spans="1:11" x14ac:dyDescent="0.2">
      <c r="A105" s="10" t="s">
        <v>16</v>
      </c>
      <c r="B105" s="4">
        <f>SUM(B100:B104)</f>
        <v>3781963</v>
      </c>
      <c r="C105" s="4">
        <f>SUM(C100:C104)</f>
        <v>17543168150</v>
      </c>
      <c r="D105" s="4">
        <f>SUM(D100:D104)</f>
        <v>4224630177</v>
      </c>
      <c r="E105" s="4">
        <f>SUM(E100:E104)</f>
        <v>4630385545</v>
      </c>
      <c r="F105" s="4">
        <f>SUM(F100:F104)</f>
        <v>26398183872</v>
      </c>
      <c r="G105" s="6">
        <f t="shared" si="9"/>
        <v>1</v>
      </c>
      <c r="H105" s="12">
        <v>0.2</v>
      </c>
      <c r="I105" s="12" t="e">
        <f>J105/F105</f>
        <v>#REF!</v>
      </c>
      <c r="J105" t="e">
        <f>SUM(J101:J104)</f>
        <v>#REF!</v>
      </c>
      <c r="K105"/>
    </row>
  </sheetData>
  <phoneticPr fontId="0" type="noConversion"/>
  <pageMargins left="0.75" right="0.75" top="1" bottom="1" header="0.5" footer="0.5"/>
  <pageSetup scale="88" orientation="portrait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5"/>
  <sheetViews>
    <sheetView topLeftCell="A90" workbookViewId="0">
      <selection activeCell="C95" sqref="C95"/>
    </sheetView>
  </sheetViews>
  <sheetFormatPr defaultRowHeight="12.75" x14ac:dyDescent="0.2"/>
  <cols>
    <col min="1" max="1" width="14.140625" style="10" customWidth="1"/>
    <col min="2" max="2" width="10.140625" style="4" customWidth="1"/>
    <col min="3" max="3" width="13.7109375" style="4" customWidth="1"/>
    <col min="4" max="4" width="12.7109375" style="4" customWidth="1"/>
    <col min="5" max="5" width="14.7109375" style="4" customWidth="1"/>
    <col min="6" max="6" width="13.85546875" style="3" customWidth="1"/>
    <col min="7" max="7" width="9.85546875" style="3" bestFit="1" customWidth="1"/>
    <col min="8" max="8" width="10.5703125" style="3" customWidth="1"/>
    <col min="9" max="9" width="10.42578125" style="3" bestFit="1" customWidth="1"/>
    <col min="10" max="10" width="10.42578125" bestFit="1" customWidth="1"/>
    <col min="11" max="11" width="11.85546875" bestFit="1" customWidth="1"/>
    <col min="12" max="12" width="10.28515625" bestFit="1" customWidth="1"/>
  </cols>
  <sheetData>
    <row r="1" spans="1:12" x14ac:dyDescent="0.2">
      <c r="A1" s="142" t="s">
        <v>40</v>
      </c>
      <c r="B1" s="143"/>
      <c r="C1" s="143"/>
      <c r="D1" s="143"/>
      <c r="E1" s="143"/>
      <c r="F1" s="272"/>
      <c r="L1" s="3"/>
    </row>
    <row r="2" spans="1:12" x14ac:dyDescent="0.2">
      <c r="A2" s="88"/>
      <c r="B2" s="231"/>
      <c r="C2" s="213" t="s">
        <v>133</v>
      </c>
      <c r="D2" s="213" t="s">
        <v>135</v>
      </c>
      <c r="E2" s="213" t="s">
        <v>126</v>
      </c>
      <c r="F2" s="144"/>
      <c r="L2" s="3"/>
    </row>
    <row r="3" spans="1:12" x14ac:dyDescent="0.2">
      <c r="A3" s="121"/>
      <c r="B3" s="145"/>
      <c r="C3" s="140" t="s">
        <v>1</v>
      </c>
      <c r="D3" s="140" t="s">
        <v>2</v>
      </c>
      <c r="E3" s="140" t="s">
        <v>3</v>
      </c>
      <c r="F3" s="146" t="s">
        <v>16</v>
      </c>
      <c r="L3" s="3"/>
    </row>
    <row r="4" spans="1:12" x14ac:dyDescent="0.2">
      <c r="A4" s="147" t="s">
        <v>4</v>
      </c>
      <c r="B4" s="271" t="s">
        <v>23</v>
      </c>
      <c r="C4" s="115">
        <f>C70</f>
        <v>0.55705207764734688</v>
      </c>
      <c r="D4" s="115">
        <f>D70</f>
        <v>0.26764558304292851</v>
      </c>
      <c r="E4" s="115">
        <f>E70</f>
        <v>0.17530233930972464</v>
      </c>
      <c r="F4" s="148">
        <f>SUM(C4:E4)</f>
        <v>1</v>
      </c>
      <c r="L4" s="3"/>
    </row>
    <row r="5" spans="1:12" x14ac:dyDescent="0.2">
      <c r="A5" s="149" t="s">
        <v>133</v>
      </c>
      <c r="B5" s="96">
        <f>B24</f>
        <v>688603</v>
      </c>
      <c r="C5" s="96">
        <f>C24</f>
        <v>1598427576</v>
      </c>
      <c r="D5" s="95"/>
      <c r="E5" s="96"/>
      <c r="F5" s="97">
        <f>SUM(B5:E5)</f>
        <v>1599116179</v>
      </c>
      <c r="J5" s="3"/>
      <c r="K5" s="3"/>
    </row>
    <row r="6" spans="1:12" x14ac:dyDescent="0.2">
      <c r="A6" s="149" t="s">
        <v>135</v>
      </c>
      <c r="B6" s="124">
        <f>B40</f>
        <v>1377110</v>
      </c>
      <c r="C6" s="124">
        <f>C40</f>
        <v>5547305699</v>
      </c>
      <c r="D6" s="124">
        <f>D40</f>
        <v>1181420517</v>
      </c>
      <c r="E6" s="96"/>
      <c r="F6" s="97">
        <f>SUM(B6:E6)</f>
        <v>6730103326</v>
      </c>
      <c r="J6" s="3"/>
      <c r="K6" s="3"/>
    </row>
    <row r="7" spans="1:12" x14ac:dyDescent="0.2">
      <c r="A7" s="91" t="s">
        <v>103</v>
      </c>
      <c r="B7" s="100">
        <f>B59</f>
        <v>1723254</v>
      </c>
      <c r="C7" s="100">
        <f>C59</f>
        <v>7568080005</v>
      </c>
      <c r="D7" s="100">
        <f>D59</f>
        <v>5888092895</v>
      </c>
      <c r="E7" s="100">
        <f>E59</f>
        <v>4630385545</v>
      </c>
      <c r="F7" s="150">
        <f>SUM(B7:E7)</f>
        <v>18088281699</v>
      </c>
      <c r="J7" s="3"/>
      <c r="K7" s="3"/>
    </row>
    <row r="8" spans="1:12" x14ac:dyDescent="0.2">
      <c r="A8" s="151" t="s">
        <v>16</v>
      </c>
      <c r="B8" s="103">
        <f>SUM(B5:B7)</f>
        <v>3788967</v>
      </c>
      <c r="C8" s="103">
        <f>SUM(C5:C7)</f>
        <v>14713813280</v>
      </c>
      <c r="D8" s="103">
        <f>SUM(D5:D7)</f>
        <v>7069513412</v>
      </c>
      <c r="E8" s="103">
        <f>SUM(E5:E7)</f>
        <v>4630385545</v>
      </c>
      <c r="F8" s="104">
        <f>SUM(F5:F7)</f>
        <v>26417501204</v>
      </c>
      <c r="J8" s="3"/>
      <c r="K8" s="3"/>
    </row>
    <row r="9" spans="1:12" x14ac:dyDescent="0.2">
      <c r="A9" s="5"/>
      <c r="L9" s="3"/>
    </row>
    <row r="10" spans="1:12" x14ac:dyDescent="0.2">
      <c r="A10" s="210" t="s">
        <v>175</v>
      </c>
      <c r="C10" s="207" t="s">
        <v>133</v>
      </c>
      <c r="D10" s="207" t="s">
        <v>135</v>
      </c>
      <c r="E10" s="207" t="s">
        <v>126</v>
      </c>
      <c r="G10" s="3" t="s">
        <v>22</v>
      </c>
      <c r="H10" s="3" t="s">
        <v>22</v>
      </c>
      <c r="L10" s="3"/>
    </row>
    <row r="11" spans="1:12" x14ac:dyDescent="0.2">
      <c r="A11" s="7" t="s">
        <v>5</v>
      </c>
      <c r="B11" s="8" t="s">
        <v>6</v>
      </c>
      <c r="C11" s="8" t="s">
        <v>7</v>
      </c>
      <c r="D11" s="9"/>
      <c r="E11" s="9"/>
      <c r="F11" s="9" t="s">
        <v>8</v>
      </c>
      <c r="G11" s="9" t="s">
        <v>23</v>
      </c>
      <c r="H11" s="9" t="s">
        <v>24</v>
      </c>
      <c r="I11" s="9"/>
      <c r="L11" s="9"/>
    </row>
    <row r="12" spans="1:12" x14ac:dyDescent="0.2">
      <c r="A12" s="10">
        <v>1</v>
      </c>
      <c r="B12">
        <v>4335</v>
      </c>
      <c r="C12">
        <v>441218</v>
      </c>
      <c r="L12" s="3"/>
    </row>
    <row r="13" spans="1:12" x14ac:dyDescent="0.2">
      <c r="A13" s="10">
        <v>2</v>
      </c>
      <c r="B13">
        <v>3736</v>
      </c>
      <c r="C13">
        <v>831958</v>
      </c>
      <c r="L13" s="3"/>
    </row>
    <row r="14" spans="1:12" x14ac:dyDescent="0.2">
      <c r="A14" s="10">
        <v>3</v>
      </c>
      <c r="B14">
        <v>3314</v>
      </c>
      <c r="C14">
        <v>1268748</v>
      </c>
      <c r="L14" s="3"/>
    </row>
    <row r="15" spans="1:12" x14ac:dyDescent="0.2">
      <c r="A15" s="10">
        <v>4</v>
      </c>
      <c r="B15">
        <v>2547</v>
      </c>
      <c r="C15">
        <v>1329942</v>
      </c>
      <c r="L15" s="3"/>
    </row>
    <row r="16" spans="1:12" x14ac:dyDescent="0.2">
      <c r="A16" s="10">
        <v>5</v>
      </c>
      <c r="B16">
        <v>2185</v>
      </c>
      <c r="C16">
        <v>1645813</v>
      </c>
      <c r="L16" s="3"/>
    </row>
    <row r="17" spans="1:12" x14ac:dyDescent="0.2">
      <c r="A17" s="10">
        <v>6</v>
      </c>
      <c r="B17">
        <v>2355</v>
      </c>
      <c r="C17">
        <v>2138020</v>
      </c>
      <c r="L17" s="3"/>
    </row>
    <row r="18" spans="1:12" x14ac:dyDescent="0.2">
      <c r="A18" s="10">
        <v>7</v>
      </c>
      <c r="B18">
        <v>2346</v>
      </c>
      <c r="C18">
        <v>2754289</v>
      </c>
      <c r="L18" s="3"/>
    </row>
    <row r="19" spans="1:12" x14ac:dyDescent="0.2">
      <c r="A19" s="10">
        <v>8</v>
      </c>
      <c r="B19">
        <v>2464</v>
      </c>
      <c r="C19">
        <v>3458013</v>
      </c>
      <c r="L19" s="3"/>
    </row>
    <row r="20" spans="1:12" x14ac:dyDescent="0.2">
      <c r="A20" s="10">
        <v>9</v>
      </c>
      <c r="B20">
        <v>2842</v>
      </c>
      <c r="C20">
        <v>4302288</v>
      </c>
      <c r="L20" s="3"/>
    </row>
    <row r="21" spans="1:12" x14ac:dyDescent="0.2">
      <c r="A21" s="10">
        <v>10</v>
      </c>
      <c r="B21">
        <v>4049</v>
      </c>
      <c r="C21">
        <v>7199403</v>
      </c>
      <c r="L21" s="3"/>
    </row>
    <row r="22" spans="1:12" x14ac:dyDescent="0.2">
      <c r="A22" s="10">
        <v>11</v>
      </c>
      <c r="B22">
        <v>10330</v>
      </c>
      <c r="C22">
        <v>21451150</v>
      </c>
      <c r="L22" s="3"/>
    </row>
    <row r="23" spans="1:12" x14ac:dyDescent="0.2">
      <c r="A23" s="10">
        <v>12</v>
      </c>
      <c r="B23">
        <v>648100</v>
      </c>
      <c r="C23">
        <v>1551606734</v>
      </c>
      <c r="H23" s="11"/>
      <c r="L23" s="11"/>
    </row>
    <row r="24" spans="1:12" x14ac:dyDescent="0.2">
      <c r="B24" s="4">
        <f>SUM(B12:B23)</f>
        <v>688603</v>
      </c>
      <c r="C24" s="4">
        <f>SUM(C12:C23)</f>
        <v>1598427576</v>
      </c>
      <c r="D24" s="3"/>
      <c r="E24" s="3"/>
      <c r="F24" s="4">
        <f>SUM(C24:E24)</f>
        <v>1598427576</v>
      </c>
      <c r="G24" s="6">
        <f>B24/B$69</f>
        <v>0.1817389805717495</v>
      </c>
      <c r="H24" s="12">
        <f>F24/F$69</f>
        <v>6.0515067388405272E-2</v>
      </c>
      <c r="L24" s="61">
        <f>F24/B24</f>
        <v>2321.2614176818865</v>
      </c>
    </row>
    <row r="25" spans="1:12" x14ac:dyDescent="0.2">
      <c r="D25" s="3"/>
      <c r="E25" s="3"/>
      <c r="L25" s="3"/>
    </row>
    <row r="26" spans="1:12" x14ac:dyDescent="0.2">
      <c r="A26" s="210" t="s">
        <v>175</v>
      </c>
      <c r="C26" s="207" t="s">
        <v>133</v>
      </c>
      <c r="D26" s="207" t="s">
        <v>135</v>
      </c>
      <c r="E26" s="207" t="s">
        <v>126</v>
      </c>
      <c r="L26" s="3"/>
    </row>
    <row r="27" spans="1:12" x14ac:dyDescent="0.2">
      <c r="A27" s="7" t="s">
        <v>9</v>
      </c>
      <c r="B27" s="8" t="s">
        <v>6</v>
      </c>
      <c r="C27" s="8" t="s">
        <v>7</v>
      </c>
      <c r="D27" s="8" t="s">
        <v>10</v>
      </c>
      <c r="F27" s="9" t="s">
        <v>16</v>
      </c>
      <c r="G27" s="9"/>
      <c r="H27" s="9"/>
      <c r="I27" s="9"/>
      <c r="L27" s="9"/>
    </row>
    <row r="28" spans="1:12" x14ac:dyDescent="0.2">
      <c r="A28" s="10">
        <v>1</v>
      </c>
      <c r="B28">
        <v>144202</v>
      </c>
      <c r="C28">
        <v>459470520</v>
      </c>
      <c r="D28">
        <v>8226323</v>
      </c>
      <c r="F28" s="4">
        <f t="shared" ref="F28:F39" si="0">SUM(C28:D28)</f>
        <v>467696843</v>
      </c>
      <c r="I28" s="6">
        <f t="shared" ref="I28:I39" si="1">D28/F28</f>
        <v>1.7589006902918095E-2</v>
      </c>
      <c r="L28" s="3"/>
    </row>
    <row r="29" spans="1:12" x14ac:dyDescent="0.2">
      <c r="A29" s="10">
        <v>2</v>
      </c>
      <c r="B29">
        <v>113410</v>
      </c>
      <c r="C29">
        <v>396397967</v>
      </c>
      <c r="D29">
        <v>16378587</v>
      </c>
      <c r="F29" s="4">
        <f t="shared" si="0"/>
        <v>412776554</v>
      </c>
      <c r="I29" s="6">
        <f t="shared" si="1"/>
        <v>3.9679063263850012E-2</v>
      </c>
      <c r="L29" s="3"/>
    </row>
    <row r="30" spans="1:12" x14ac:dyDescent="0.2">
      <c r="A30" s="10">
        <v>3</v>
      </c>
      <c r="B30">
        <v>105019</v>
      </c>
      <c r="C30">
        <v>393980833</v>
      </c>
      <c r="D30">
        <v>27463526</v>
      </c>
      <c r="F30" s="4">
        <f t="shared" si="0"/>
        <v>421444359</v>
      </c>
      <c r="I30" s="6">
        <f t="shared" si="1"/>
        <v>6.5165247590845077E-2</v>
      </c>
      <c r="L30" s="3"/>
    </row>
    <row r="31" spans="1:12" x14ac:dyDescent="0.2">
      <c r="A31" s="10">
        <v>4</v>
      </c>
      <c r="B31">
        <v>102783</v>
      </c>
      <c r="C31">
        <v>408710051</v>
      </c>
      <c r="D31">
        <v>40228690</v>
      </c>
      <c r="F31" s="4">
        <f t="shared" si="0"/>
        <v>448938741</v>
      </c>
      <c r="I31" s="6">
        <f t="shared" si="1"/>
        <v>8.9608417198283177E-2</v>
      </c>
      <c r="L31" s="3"/>
    </row>
    <row r="32" spans="1:12" x14ac:dyDescent="0.2">
      <c r="A32" s="10">
        <v>5</v>
      </c>
      <c r="B32">
        <v>97080</v>
      </c>
      <c r="C32">
        <v>411462633</v>
      </c>
      <c r="D32">
        <v>49398219</v>
      </c>
      <c r="F32" s="4">
        <f t="shared" si="0"/>
        <v>460860852</v>
      </c>
      <c r="I32" s="6">
        <f t="shared" si="1"/>
        <v>0.10718684128978696</v>
      </c>
      <c r="L32" s="3"/>
    </row>
    <row r="33" spans="1:12" x14ac:dyDescent="0.2">
      <c r="A33" s="10">
        <v>6</v>
      </c>
      <c r="B33">
        <v>90663</v>
      </c>
      <c r="C33">
        <v>407237311</v>
      </c>
      <c r="D33">
        <v>57517260</v>
      </c>
      <c r="F33" s="4">
        <f t="shared" si="0"/>
        <v>464754571</v>
      </c>
      <c r="I33" s="6">
        <f t="shared" si="1"/>
        <v>0.12375835244878097</v>
      </c>
      <c r="L33" s="3"/>
    </row>
    <row r="34" spans="1:12" x14ac:dyDescent="0.2">
      <c r="A34" s="10">
        <v>7</v>
      </c>
      <c r="B34">
        <v>71419</v>
      </c>
      <c r="C34">
        <v>312363227</v>
      </c>
      <c r="D34">
        <v>50409165</v>
      </c>
      <c r="F34" s="4">
        <f t="shared" si="0"/>
        <v>362772392</v>
      </c>
      <c r="I34" s="6">
        <f t="shared" si="1"/>
        <v>0.13895535082504293</v>
      </c>
      <c r="L34" s="3"/>
    </row>
    <row r="35" spans="1:12" x14ac:dyDescent="0.2">
      <c r="A35" s="10">
        <v>8</v>
      </c>
      <c r="B35">
        <v>67276</v>
      </c>
      <c r="C35">
        <v>293185765</v>
      </c>
      <c r="D35">
        <v>54512046</v>
      </c>
      <c r="F35" s="4">
        <f t="shared" si="0"/>
        <v>347697811</v>
      </c>
      <c r="I35" s="6">
        <f t="shared" si="1"/>
        <v>0.15677995165750411</v>
      </c>
      <c r="L35" s="3"/>
    </row>
    <row r="36" spans="1:12" x14ac:dyDescent="0.2">
      <c r="A36" s="10">
        <v>9</v>
      </c>
      <c r="B36">
        <v>69522</v>
      </c>
      <c r="C36">
        <v>303738312</v>
      </c>
      <c r="D36">
        <v>64647236</v>
      </c>
      <c r="F36" s="4">
        <f t="shared" si="0"/>
        <v>368385548</v>
      </c>
      <c r="I36" s="6">
        <f t="shared" si="1"/>
        <v>0.1754879808694341</v>
      </c>
      <c r="L36" s="3"/>
    </row>
    <row r="37" spans="1:12" x14ac:dyDescent="0.2">
      <c r="A37" s="10">
        <v>10</v>
      </c>
      <c r="B37">
        <v>77979</v>
      </c>
      <c r="C37">
        <v>343902710</v>
      </c>
      <c r="D37">
        <v>85228325</v>
      </c>
      <c r="F37" s="4">
        <f t="shared" si="0"/>
        <v>429131035</v>
      </c>
      <c r="I37" s="6">
        <f t="shared" si="1"/>
        <v>0.19860676121921594</v>
      </c>
      <c r="L37" s="3"/>
    </row>
    <row r="38" spans="1:12" x14ac:dyDescent="0.2">
      <c r="A38" s="10">
        <v>11</v>
      </c>
      <c r="B38">
        <v>104653</v>
      </c>
      <c r="C38">
        <v>452841755</v>
      </c>
      <c r="D38">
        <v>135203200</v>
      </c>
      <c r="F38" s="4">
        <f t="shared" si="0"/>
        <v>588044955</v>
      </c>
      <c r="I38" s="6">
        <f t="shared" si="1"/>
        <v>0.22991983665602572</v>
      </c>
      <c r="L38" s="3"/>
    </row>
    <row r="39" spans="1:12" x14ac:dyDescent="0.2">
      <c r="A39" s="10">
        <v>12</v>
      </c>
      <c r="B39">
        <v>333104</v>
      </c>
      <c r="C39">
        <v>1364014615</v>
      </c>
      <c r="D39">
        <v>592207940</v>
      </c>
      <c r="F39" s="4">
        <f t="shared" si="0"/>
        <v>1956222555</v>
      </c>
      <c r="I39" s="6">
        <f t="shared" si="1"/>
        <v>0.30273035063743042</v>
      </c>
      <c r="L39" s="3"/>
    </row>
    <row r="40" spans="1:12" x14ac:dyDescent="0.2">
      <c r="B40" s="4">
        <f>SUM(B28:B39)</f>
        <v>1377110</v>
      </c>
      <c r="C40" s="4">
        <f>SUM(C28:C39)</f>
        <v>5547305699</v>
      </c>
      <c r="D40" s="4">
        <f>SUM(D28:D39)</f>
        <v>1181420517</v>
      </c>
      <c r="F40" s="4">
        <f>SUM(F28:F39)</f>
        <v>6728726216</v>
      </c>
      <c r="G40" s="6">
        <f>B40/B$69</f>
        <v>0.36345262442243492</v>
      </c>
      <c r="H40" s="12">
        <f>F40/F$69</f>
        <v>0.25474367842072893</v>
      </c>
      <c r="L40" s="61">
        <f>F40/B40</f>
        <v>4886.1210912708502</v>
      </c>
    </row>
    <row r="41" spans="1:12" x14ac:dyDescent="0.2">
      <c r="C41" s="6"/>
      <c r="D41" s="6"/>
      <c r="E41" s="6"/>
      <c r="L41" s="3"/>
    </row>
    <row r="42" spans="1:12" x14ac:dyDescent="0.2">
      <c r="D42" s="6"/>
      <c r="F42" s="4"/>
      <c r="G42" s="6"/>
      <c r="L42" s="3"/>
    </row>
    <row r="43" spans="1:12" x14ac:dyDescent="0.2">
      <c r="D43" s="6"/>
      <c r="E43" s="6"/>
      <c r="G43" s="6"/>
      <c r="L43" s="3"/>
    </row>
    <row r="44" spans="1:12" x14ac:dyDescent="0.2">
      <c r="A44" s="210" t="s">
        <v>175</v>
      </c>
      <c r="C44" s="207" t="s">
        <v>133</v>
      </c>
      <c r="D44" s="207" t="s">
        <v>135</v>
      </c>
      <c r="E44" s="207" t="s">
        <v>126</v>
      </c>
      <c r="L44" s="3"/>
    </row>
    <row r="45" spans="1:12" x14ac:dyDescent="0.2">
      <c r="A45" s="7" t="s">
        <v>11</v>
      </c>
      <c r="B45" s="8" t="s">
        <v>6</v>
      </c>
      <c r="C45" s="8" t="s">
        <v>7</v>
      </c>
      <c r="D45" s="8" t="s">
        <v>10</v>
      </c>
      <c r="E45" s="8" t="s">
        <v>12</v>
      </c>
      <c r="F45" s="9"/>
      <c r="G45" s="9"/>
      <c r="H45" s="9"/>
      <c r="I45" s="9"/>
      <c r="L45" s="9"/>
    </row>
    <row r="46" spans="1:12" x14ac:dyDescent="0.2">
      <c r="L46" s="3"/>
    </row>
    <row r="47" spans="1:12" x14ac:dyDescent="0.2">
      <c r="A47" s="10">
        <v>1</v>
      </c>
      <c r="B47" s="21">
        <v>233028</v>
      </c>
      <c r="C47">
        <v>995348900</v>
      </c>
      <c r="D47">
        <v>457624348</v>
      </c>
      <c r="E47">
        <v>29068925</v>
      </c>
      <c r="F47" s="4">
        <f t="shared" ref="F47:F58" si="2">SUM(C47:E47)</f>
        <v>1482042173</v>
      </c>
      <c r="G47" s="61">
        <f>F47/B47</f>
        <v>6359.9317378169144</v>
      </c>
      <c r="I47" s="6">
        <f t="shared" ref="I47:I59" si="3">E47/F47</f>
        <v>1.9614101089416164E-2</v>
      </c>
      <c r="L47" s="61">
        <f t="shared" ref="L47:L59" si="4">F47/B47</f>
        <v>6359.9317378169144</v>
      </c>
    </row>
    <row r="48" spans="1:12" x14ac:dyDescent="0.2">
      <c r="A48" s="10">
        <v>2</v>
      </c>
      <c r="B48" s="21">
        <v>168234</v>
      </c>
      <c r="C48">
        <v>747097003</v>
      </c>
      <c r="D48">
        <v>407530918</v>
      </c>
      <c r="E48">
        <v>47146784</v>
      </c>
      <c r="F48" s="4">
        <f t="shared" si="2"/>
        <v>1201774705</v>
      </c>
      <c r="G48" s="61">
        <f t="shared" ref="G48:G58" si="5">F48/B48</f>
        <v>7143.4710284484709</v>
      </c>
      <c r="I48" s="6">
        <f t="shared" si="3"/>
        <v>3.9230967172004173E-2</v>
      </c>
      <c r="L48" s="61">
        <f t="shared" si="4"/>
        <v>7143.4710284484709</v>
      </c>
    </row>
    <row r="49" spans="1:12" x14ac:dyDescent="0.2">
      <c r="A49" s="10">
        <v>3</v>
      </c>
      <c r="B49" s="21">
        <v>145948</v>
      </c>
      <c r="C49">
        <v>664355765</v>
      </c>
      <c r="D49">
        <v>408218124</v>
      </c>
      <c r="E49">
        <v>76356835</v>
      </c>
      <c r="F49" s="4">
        <f t="shared" si="2"/>
        <v>1148930724</v>
      </c>
      <c r="G49" s="61">
        <f t="shared" si="5"/>
        <v>7872.1923150711209</v>
      </c>
      <c r="H49" s="78">
        <v>100000</v>
      </c>
      <c r="I49" s="6">
        <f t="shared" si="3"/>
        <v>6.6459041789886014E-2</v>
      </c>
      <c r="L49" s="61">
        <f t="shared" si="4"/>
        <v>7872.1923150711209</v>
      </c>
    </row>
    <row r="50" spans="1:12" x14ac:dyDescent="0.2">
      <c r="A50" s="10">
        <v>4</v>
      </c>
      <c r="B50" s="21">
        <v>135662</v>
      </c>
      <c r="C50">
        <v>621791700</v>
      </c>
      <c r="D50">
        <v>423527256</v>
      </c>
      <c r="E50">
        <v>115442674</v>
      </c>
      <c r="F50" s="4">
        <f t="shared" si="2"/>
        <v>1160761630</v>
      </c>
      <c r="G50" s="61">
        <f t="shared" si="5"/>
        <v>8556.2768498179303</v>
      </c>
      <c r="H50" s="78">
        <f t="shared" ref="H50:H58" si="6">B49</f>
        <v>145948</v>
      </c>
      <c r="I50" s="6">
        <f t="shared" si="3"/>
        <v>9.9454247122210612E-2</v>
      </c>
      <c r="L50" s="61">
        <f t="shared" si="4"/>
        <v>8556.2768498179303</v>
      </c>
    </row>
    <row r="51" spans="1:12" x14ac:dyDescent="0.2">
      <c r="A51" s="10">
        <v>5</v>
      </c>
      <c r="B51" s="21">
        <v>116748</v>
      </c>
      <c r="C51">
        <v>552228059</v>
      </c>
      <c r="D51">
        <v>407202052</v>
      </c>
      <c r="E51">
        <v>139426545</v>
      </c>
      <c r="F51" s="4">
        <f t="shared" si="2"/>
        <v>1098856656</v>
      </c>
      <c r="G51" s="61">
        <f t="shared" si="5"/>
        <v>9412.2096823928459</v>
      </c>
      <c r="H51" s="78">
        <f t="shared" si="6"/>
        <v>135662</v>
      </c>
      <c r="I51" s="6">
        <f t="shared" si="3"/>
        <v>0.12688328749587152</v>
      </c>
      <c r="L51" s="61">
        <f t="shared" si="4"/>
        <v>9412.2096823928459</v>
      </c>
    </row>
    <row r="52" spans="1:12" x14ac:dyDescent="0.2">
      <c r="A52" s="10">
        <v>6</v>
      </c>
      <c r="B52" s="21">
        <v>95884</v>
      </c>
      <c r="C52">
        <v>456500167</v>
      </c>
      <c r="D52">
        <v>366221269</v>
      </c>
      <c r="E52">
        <v>141839199</v>
      </c>
      <c r="F52" s="4">
        <f t="shared" si="2"/>
        <v>964560635</v>
      </c>
      <c r="G52" s="61">
        <f t="shared" si="5"/>
        <v>10059.662039547788</v>
      </c>
      <c r="H52" s="78">
        <f t="shared" si="6"/>
        <v>116748</v>
      </c>
      <c r="I52" s="6">
        <f t="shared" si="3"/>
        <v>0.14705057811114175</v>
      </c>
      <c r="L52" s="61">
        <f t="shared" si="4"/>
        <v>10059.662039547788</v>
      </c>
    </row>
    <row r="53" spans="1:12" x14ac:dyDescent="0.2">
      <c r="A53" s="10">
        <v>7</v>
      </c>
      <c r="B53" s="21">
        <v>76416</v>
      </c>
      <c r="C53">
        <v>343070002</v>
      </c>
      <c r="D53">
        <v>299157666</v>
      </c>
      <c r="E53">
        <v>130014941</v>
      </c>
      <c r="F53" s="4">
        <f t="shared" si="2"/>
        <v>772242609</v>
      </c>
      <c r="G53" s="61">
        <f t="shared" si="5"/>
        <v>10105.77116048995</v>
      </c>
      <c r="H53" s="78">
        <f t="shared" si="6"/>
        <v>95884</v>
      </c>
      <c r="I53" s="12">
        <f t="shared" si="3"/>
        <v>0.16836022706434217</v>
      </c>
      <c r="L53" s="61">
        <f t="shared" si="4"/>
        <v>10105.77116048995</v>
      </c>
    </row>
    <row r="54" spans="1:12" x14ac:dyDescent="0.2">
      <c r="A54" s="10">
        <v>8</v>
      </c>
      <c r="B54" s="21">
        <v>69422</v>
      </c>
      <c r="C54">
        <v>307844939</v>
      </c>
      <c r="D54">
        <v>279926974</v>
      </c>
      <c r="E54">
        <v>137129706</v>
      </c>
      <c r="F54" s="4">
        <f t="shared" si="2"/>
        <v>724901619</v>
      </c>
      <c r="G54" s="61">
        <f t="shared" si="5"/>
        <v>10441.958154475526</v>
      </c>
      <c r="H54" s="78">
        <f t="shared" si="6"/>
        <v>76416</v>
      </c>
      <c r="I54" s="6">
        <f t="shared" si="3"/>
        <v>0.18917009205907154</v>
      </c>
      <c r="L54" s="61">
        <f t="shared" si="4"/>
        <v>10441.958154475526</v>
      </c>
    </row>
    <row r="55" spans="1:12" x14ac:dyDescent="0.2">
      <c r="A55" s="10">
        <v>9</v>
      </c>
      <c r="B55" s="21">
        <v>70688</v>
      </c>
      <c r="C55">
        <v>312280312</v>
      </c>
      <c r="D55">
        <v>292939776</v>
      </c>
      <c r="E55">
        <v>162434989</v>
      </c>
      <c r="F55" s="4">
        <f t="shared" si="2"/>
        <v>767655077</v>
      </c>
      <c r="G55" s="61">
        <f t="shared" si="5"/>
        <v>10859.765122793118</v>
      </c>
      <c r="H55" s="78">
        <f t="shared" si="6"/>
        <v>69422</v>
      </c>
      <c r="I55" s="6">
        <f t="shared" si="3"/>
        <v>0.21159892491663934</v>
      </c>
      <c r="L55" s="61">
        <f t="shared" si="4"/>
        <v>10859.765122793118</v>
      </c>
    </row>
    <row r="56" spans="1:12" x14ac:dyDescent="0.2">
      <c r="A56" s="10">
        <v>10</v>
      </c>
      <c r="B56" s="21">
        <v>79232</v>
      </c>
      <c r="C56">
        <v>349300164</v>
      </c>
      <c r="D56">
        <v>335987969</v>
      </c>
      <c r="E56">
        <v>221110150</v>
      </c>
      <c r="F56" s="4">
        <f t="shared" si="2"/>
        <v>906398283</v>
      </c>
      <c r="G56" s="61">
        <f t="shared" si="5"/>
        <v>11439.80062348546</v>
      </c>
      <c r="H56" s="78">
        <f t="shared" si="6"/>
        <v>70688</v>
      </c>
      <c r="I56" s="6">
        <f t="shared" si="3"/>
        <v>0.2439436990857583</v>
      </c>
      <c r="L56" s="61">
        <f t="shared" si="4"/>
        <v>11439.80062348546</v>
      </c>
    </row>
    <row r="57" spans="1:12" x14ac:dyDescent="0.2">
      <c r="A57" s="10">
        <v>11</v>
      </c>
      <c r="B57" s="21">
        <v>110285</v>
      </c>
      <c r="C57">
        <v>479385254</v>
      </c>
      <c r="D57">
        <v>470878803</v>
      </c>
      <c r="E57">
        <v>405946041</v>
      </c>
      <c r="F57" s="4">
        <f t="shared" si="2"/>
        <v>1356210098</v>
      </c>
      <c r="G57" s="61">
        <f t="shared" si="5"/>
        <v>12297.321467107948</v>
      </c>
      <c r="H57" s="78">
        <f t="shared" si="6"/>
        <v>79232</v>
      </c>
      <c r="I57" s="6">
        <f t="shared" si="3"/>
        <v>0.29932385962812674</v>
      </c>
      <c r="L57" s="61">
        <f t="shared" si="4"/>
        <v>12297.321467107948</v>
      </c>
    </row>
    <row r="58" spans="1:12" x14ac:dyDescent="0.2">
      <c r="A58" s="13">
        <v>12</v>
      </c>
      <c r="B58" s="21">
        <v>421707</v>
      </c>
      <c r="C58">
        <v>1738877740</v>
      </c>
      <c r="D58">
        <v>1738877740</v>
      </c>
      <c r="E58">
        <v>3024468756</v>
      </c>
      <c r="F58" s="14">
        <f t="shared" si="2"/>
        <v>6502224236</v>
      </c>
      <c r="G58" s="61">
        <f t="shared" si="5"/>
        <v>15418.819787198221</v>
      </c>
      <c r="H58" s="78">
        <f t="shared" si="6"/>
        <v>110285</v>
      </c>
      <c r="I58" s="6">
        <f t="shared" si="3"/>
        <v>0.46514371793805975</v>
      </c>
      <c r="L58" s="61">
        <f t="shared" si="4"/>
        <v>15418.819787198221</v>
      </c>
    </row>
    <row r="59" spans="1:12" x14ac:dyDescent="0.2">
      <c r="A59" s="10" t="s">
        <v>25</v>
      </c>
      <c r="B59" s="4">
        <f>SUM(B47:B58)</f>
        <v>1723254</v>
      </c>
      <c r="C59" s="4">
        <f>SUM(C47:C58)</f>
        <v>7568080005</v>
      </c>
      <c r="D59" s="4">
        <f>SUM(D47:D58)</f>
        <v>5888092895</v>
      </c>
      <c r="E59" s="4">
        <f>SUM(E47:E58)</f>
        <v>4630385545</v>
      </c>
      <c r="F59" s="4">
        <f>SUM(F47:F58)</f>
        <v>18086558445</v>
      </c>
      <c r="G59" s="6">
        <f>B59/B$69</f>
        <v>0.45480839500581555</v>
      </c>
      <c r="H59" s="12">
        <f>F59/F$69</f>
        <v>0.68474125419086584</v>
      </c>
      <c r="I59" s="6">
        <f t="shared" si="3"/>
        <v>0.25601252770562677</v>
      </c>
      <c r="L59" s="61">
        <f t="shared" si="4"/>
        <v>10495.584774502191</v>
      </c>
    </row>
    <row r="60" spans="1:12" x14ac:dyDescent="0.2">
      <c r="C60" s="12">
        <f>C59/$F59</f>
        <v>0.41843670967110846</v>
      </c>
      <c r="D60" s="12">
        <f>D59/$F59</f>
        <v>0.32555076262326477</v>
      </c>
      <c r="E60" s="12">
        <f>E59/$F59</f>
        <v>0.25601252770562677</v>
      </c>
      <c r="F60" s="4">
        <f>F59/B59</f>
        <v>10495.584774502191</v>
      </c>
      <c r="G60" s="6"/>
      <c r="H60" s="61">
        <f>SUM(H49:H58)</f>
        <v>1000285</v>
      </c>
      <c r="L60" s="12"/>
    </row>
    <row r="61" spans="1:12" x14ac:dyDescent="0.2">
      <c r="C61" s="12"/>
      <c r="D61" s="12"/>
      <c r="E61" s="12"/>
      <c r="F61" s="4"/>
      <c r="G61" s="6"/>
      <c r="H61" s="12"/>
      <c r="L61" s="12"/>
    </row>
    <row r="62" spans="1:12" x14ac:dyDescent="0.2">
      <c r="A62" s="10" t="s">
        <v>26</v>
      </c>
      <c r="B62" s="4">
        <f>SUM(B47:B49)</f>
        <v>547210</v>
      </c>
      <c r="C62" s="4">
        <f>SUM(C47:C49)</f>
        <v>2406801668</v>
      </c>
      <c r="D62" s="4">
        <f>SUM(D47:D49)</f>
        <v>1273373390</v>
      </c>
      <c r="E62" s="4">
        <f>SUM(E47:E49)</f>
        <v>152572544</v>
      </c>
      <c r="F62" s="4">
        <f>SUM(F47:F49)</f>
        <v>3832747602</v>
      </c>
      <c r="G62" s="6">
        <f>B62/B69</f>
        <v>0.14442194930702748</v>
      </c>
      <c r="L62" s="3"/>
    </row>
    <row r="63" spans="1:12" x14ac:dyDescent="0.2">
      <c r="A63" s="10" t="s">
        <v>32</v>
      </c>
      <c r="B63" s="6"/>
      <c r="C63" s="6">
        <f>C62/$F62</f>
        <v>0.62795725623677523</v>
      </c>
      <c r="D63" s="6">
        <f>D62/$F62</f>
        <v>0.33223512796290833</v>
      </c>
      <c r="E63" s="6">
        <f>E62/$F62</f>
        <v>3.9807615800316401E-2</v>
      </c>
      <c r="F63" s="4">
        <f>F62/B62</f>
        <v>7004.1622082929771</v>
      </c>
      <c r="L63" s="3"/>
    </row>
    <row r="64" spans="1:12" x14ac:dyDescent="0.2">
      <c r="F64" s="4"/>
      <c r="G64" s="6"/>
      <c r="L64" s="3"/>
    </row>
    <row r="65" spans="1:12" x14ac:dyDescent="0.2">
      <c r="A65" s="5" t="s">
        <v>14</v>
      </c>
      <c r="B65" s="4">
        <f>B58</f>
        <v>421707</v>
      </c>
      <c r="C65" s="4">
        <f>C58</f>
        <v>1738877740</v>
      </c>
      <c r="D65" s="4">
        <f>D58</f>
        <v>1738877740</v>
      </c>
      <c r="E65" s="4">
        <f>E58</f>
        <v>3024468756</v>
      </c>
      <c r="F65" s="4">
        <f>SUM(C65:E65)</f>
        <v>6502224236</v>
      </c>
      <c r="G65" s="6">
        <f>B65/B69</f>
        <v>0.11129867322676602</v>
      </c>
      <c r="L65" s="3"/>
    </row>
    <row r="66" spans="1:12" x14ac:dyDescent="0.2">
      <c r="A66" s="10" t="s">
        <v>32</v>
      </c>
      <c r="B66" s="3"/>
      <c r="C66" s="6">
        <f>C65/$F65</f>
        <v>0.26742814103097012</v>
      </c>
      <c r="D66" s="6">
        <f>D65/$F65</f>
        <v>0.26742814103097012</v>
      </c>
      <c r="E66" s="6">
        <f>E65/$F65</f>
        <v>0.46514371793805975</v>
      </c>
      <c r="F66" s="4">
        <f>F65/B65</f>
        <v>15418.819787198221</v>
      </c>
      <c r="L66" s="3"/>
    </row>
    <row r="67" spans="1:12" x14ac:dyDescent="0.2">
      <c r="B67" s="6"/>
      <c r="C67" s="6"/>
      <c r="D67" s="6"/>
      <c r="E67" s="6"/>
      <c r="L67" s="3"/>
    </row>
    <row r="68" spans="1:12" x14ac:dyDescent="0.2">
      <c r="F68" s="4"/>
      <c r="G68" s="6"/>
      <c r="L68" s="3"/>
    </row>
    <row r="69" spans="1:12" x14ac:dyDescent="0.2">
      <c r="A69" s="10" t="s">
        <v>13</v>
      </c>
      <c r="B69" s="4">
        <f>B24+B40+B59</f>
        <v>3788967</v>
      </c>
      <c r="C69" s="4">
        <f>C24+C40+C59</f>
        <v>14713813280</v>
      </c>
      <c r="D69" s="4">
        <f>D24+D40+D59</f>
        <v>7069513412</v>
      </c>
      <c r="E69" s="4">
        <f>E24+E40+E59</f>
        <v>4630385545</v>
      </c>
      <c r="F69" s="4">
        <f>SUM(C69:E69)</f>
        <v>26413712237</v>
      </c>
      <c r="L69" s="3"/>
    </row>
    <row r="70" spans="1:12" x14ac:dyDescent="0.2">
      <c r="C70" s="6">
        <f>C69/$F69</f>
        <v>0.55705207764734688</v>
      </c>
      <c r="D70" s="6">
        <f>D69/$F69</f>
        <v>0.26764558304292851</v>
      </c>
      <c r="E70" s="6">
        <f>E69/$F69</f>
        <v>0.17530233930972464</v>
      </c>
      <c r="F70" s="4">
        <f>F69/B69</f>
        <v>6971.2172834970588</v>
      </c>
      <c r="L70" s="3"/>
    </row>
    <row r="71" spans="1:12" x14ac:dyDescent="0.2">
      <c r="F71" s="4"/>
      <c r="L71" s="3"/>
    </row>
    <row r="72" spans="1:12" x14ac:dyDescent="0.2">
      <c r="L72" s="3"/>
    </row>
    <row r="73" spans="1:12" x14ac:dyDescent="0.2">
      <c r="A73" s="10" t="s">
        <v>37</v>
      </c>
      <c r="B73" s="4">
        <v>1295774</v>
      </c>
      <c r="C73" s="4">
        <v>3756167710</v>
      </c>
      <c r="D73" s="4">
        <v>75702878</v>
      </c>
      <c r="E73" s="4">
        <v>0</v>
      </c>
      <c r="F73" s="4">
        <f>SUM(B73:E73)</f>
        <v>3833166362</v>
      </c>
      <c r="G73" s="6">
        <f>B73/B69</f>
        <v>0.34198608750089404</v>
      </c>
      <c r="L73" s="3"/>
    </row>
    <row r="74" spans="1:12" x14ac:dyDescent="0.2">
      <c r="C74" s="6">
        <f>C73/$F73</f>
        <v>0.97991252016522834</v>
      </c>
      <c r="D74" s="6">
        <f>D73/$F73</f>
        <v>1.9749437110394844E-2</v>
      </c>
      <c r="E74" s="6">
        <f>E73/$F73</f>
        <v>0</v>
      </c>
      <c r="F74" s="4">
        <f>F73/B73</f>
        <v>2958.2059541247163</v>
      </c>
      <c r="L74" s="3"/>
    </row>
    <row r="75" spans="1:12" x14ac:dyDescent="0.2">
      <c r="C75" s="6"/>
      <c r="D75" s="6"/>
      <c r="E75" s="6"/>
      <c r="F75" s="4"/>
      <c r="L75" s="3"/>
    </row>
    <row r="76" spans="1:12" x14ac:dyDescent="0.2">
      <c r="A76" s="9" t="s">
        <v>15</v>
      </c>
      <c r="B76" s="3"/>
      <c r="F76" s="4"/>
      <c r="L76" s="3"/>
    </row>
    <row r="77" spans="1:12" x14ac:dyDescent="0.2">
      <c r="A77" s="10" t="s">
        <v>36</v>
      </c>
      <c r="B77" s="7" t="s">
        <v>28</v>
      </c>
      <c r="C77" s="4" t="s">
        <v>18</v>
      </c>
      <c r="D77" s="7" t="s">
        <v>9</v>
      </c>
      <c r="E77" s="4" t="s">
        <v>17</v>
      </c>
      <c r="F77" s="7" t="s">
        <v>11</v>
      </c>
      <c r="L77" s="3"/>
    </row>
    <row r="78" spans="1:12" x14ac:dyDescent="0.2">
      <c r="A78" s="10">
        <v>1</v>
      </c>
      <c r="B78" s="3">
        <f t="shared" ref="B78:B89" si="7">A12*B12</f>
        <v>4335</v>
      </c>
      <c r="C78" s="3">
        <f t="shared" ref="C78:C89" si="8">(12-A28)*B28</f>
        <v>1586222</v>
      </c>
      <c r="D78" s="3">
        <f t="shared" ref="D78:D89" si="9">A28*B28</f>
        <v>144202</v>
      </c>
      <c r="E78" s="3">
        <f t="shared" ref="E78:E89" si="10">(12-A47)*B47</f>
        <v>2563308</v>
      </c>
      <c r="F78" s="3">
        <f t="shared" ref="F78:F89" si="11">A47*B47</f>
        <v>233028</v>
      </c>
      <c r="L78" s="3"/>
    </row>
    <row r="79" spans="1:12" x14ac:dyDescent="0.2">
      <c r="A79" s="10">
        <v>2</v>
      </c>
      <c r="B79" s="3">
        <f t="shared" si="7"/>
        <v>7472</v>
      </c>
      <c r="C79" s="3">
        <f t="shared" si="8"/>
        <v>1134100</v>
      </c>
      <c r="D79" s="3">
        <f t="shared" si="9"/>
        <v>226820</v>
      </c>
      <c r="E79" s="3">
        <f t="shared" si="10"/>
        <v>1682340</v>
      </c>
      <c r="F79" s="3">
        <f t="shared" si="11"/>
        <v>336468</v>
      </c>
      <c r="L79" s="3"/>
    </row>
    <row r="80" spans="1:12" x14ac:dyDescent="0.2">
      <c r="A80" s="10">
        <v>3</v>
      </c>
      <c r="B80" s="3">
        <f t="shared" si="7"/>
        <v>9942</v>
      </c>
      <c r="C80" s="3">
        <f t="shared" si="8"/>
        <v>945171</v>
      </c>
      <c r="D80" s="3">
        <f t="shared" si="9"/>
        <v>315057</v>
      </c>
      <c r="E80" s="3">
        <f t="shared" si="10"/>
        <v>1313532</v>
      </c>
      <c r="F80" s="3">
        <f t="shared" si="11"/>
        <v>437844</v>
      </c>
      <c r="L80" s="3"/>
    </row>
    <row r="81" spans="1:12" x14ac:dyDescent="0.2">
      <c r="A81" s="10">
        <v>4</v>
      </c>
      <c r="B81" s="3">
        <f t="shared" si="7"/>
        <v>10188</v>
      </c>
      <c r="C81" s="3">
        <f t="shared" si="8"/>
        <v>822264</v>
      </c>
      <c r="D81" s="3">
        <f t="shared" si="9"/>
        <v>411132</v>
      </c>
      <c r="E81" s="3">
        <f t="shared" si="10"/>
        <v>1085296</v>
      </c>
      <c r="F81" s="3">
        <f t="shared" si="11"/>
        <v>542648</v>
      </c>
      <c r="L81" s="3"/>
    </row>
    <row r="82" spans="1:12" x14ac:dyDescent="0.2">
      <c r="A82" s="10">
        <v>5</v>
      </c>
      <c r="B82" s="3">
        <f t="shared" si="7"/>
        <v>10925</v>
      </c>
      <c r="C82" s="3">
        <f t="shared" si="8"/>
        <v>679560</v>
      </c>
      <c r="D82" s="3">
        <f t="shared" si="9"/>
        <v>485400</v>
      </c>
      <c r="E82" s="3">
        <f t="shared" si="10"/>
        <v>817236</v>
      </c>
      <c r="F82" s="3">
        <f t="shared" si="11"/>
        <v>583740</v>
      </c>
      <c r="L82" s="3"/>
    </row>
    <row r="83" spans="1:12" x14ac:dyDescent="0.2">
      <c r="A83" s="10">
        <v>6</v>
      </c>
      <c r="B83" s="3">
        <f t="shared" si="7"/>
        <v>14130</v>
      </c>
      <c r="C83" s="3">
        <f t="shared" si="8"/>
        <v>543978</v>
      </c>
      <c r="D83" s="3">
        <f t="shared" si="9"/>
        <v>543978</v>
      </c>
      <c r="E83" s="3">
        <f t="shared" si="10"/>
        <v>575304</v>
      </c>
      <c r="F83" s="3">
        <f t="shared" si="11"/>
        <v>575304</v>
      </c>
      <c r="L83" s="3"/>
    </row>
    <row r="84" spans="1:12" x14ac:dyDescent="0.2">
      <c r="A84" s="10">
        <v>7</v>
      </c>
      <c r="B84" s="3">
        <f t="shared" si="7"/>
        <v>16422</v>
      </c>
      <c r="C84" s="3">
        <f t="shared" si="8"/>
        <v>357095</v>
      </c>
      <c r="D84" s="3">
        <f t="shared" si="9"/>
        <v>499933</v>
      </c>
      <c r="E84" s="3">
        <f t="shared" si="10"/>
        <v>382080</v>
      </c>
      <c r="F84" s="3">
        <f t="shared" si="11"/>
        <v>534912</v>
      </c>
      <c r="L84" s="3"/>
    </row>
    <row r="85" spans="1:12" x14ac:dyDescent="0.2">
      <c r="A85" s="10">
        <v>8</v>
      </c>
      <c r="B85" s="3">
        <f t="shared" si="7"/>
        <v>19712</v>
      </c>
      <c r="C85" s="3">
        <f t="shared" si="8"/>
        <v>269104</v>
      </c>
      <c r="D85" s="3">
        <f t="shared" si="9"/>
        <v>538208</v>
      </c>
      <c r="E85" s="3">
        <f t="shared" si="10"/>
        <v>277688</v>
      </c>
      <c r="F85" s="3">
        <f t="shared" si="11"/>
        <v>555376</v>
      </c>
      <c r="L85" s="3"/>
    </row>
    <row r="86" spans="1:12" x14ac:dyDescent="0.2">
      <c r="A86" s="10">
        <v>9</v>
      </c>
      <c r="B86" s="3">
        <f t="shared" si="7"/>
        <v>25578</v>
      </c>
      <c r="C86" s="3">
        <f t="shared" si="8"/>
        <v>208566</v>
      </c>
      <c r="D86" s="3">
        <f t="shared" si="9"/>
        <v>625698</v>
      </c>
      <c r="E86" s="3">
        <f t="shared" si="10"/>
        <v>212064</v>
      </c>
      <c r="F86" s="3">
        <f t="shared" si="11"/>
        <v>636192</v>
      </c>
      <c r="L86" s="3"/>
    </row>
    <row r="87" spans="1:12" x14ac:dyDescent="0.2">
      <c r="A87" s="10">
        <v>10</v>
      </c>
      <c r="B87" s="3">
        <f t="shared" si="7"/>
        <v>40490</v>
      </c>
      <c r="C87" s="3">
        <f t="shared" si="8"/>
        <v>155958</v>
      </c>
      <c r="D87" s="3">
        <f t="shared" si="9"/>
        <v>779790</v>
      </c>
      <c r="E87" s="3">
        <f t="shared" si="10"/>
        <v>158464</v>
      </c>
      <c r="F87" s="3">
        <f t="shared" si="11"/>
        <v>792320</v>
      </c>
      <c r="L87" s="3"/>
    </row>
    <row r="88" spans="1:12" x14ac:dyDescent="0.2">
      <c r="A88" s="10">
        <v>11</v>
      </c>
      <c r="B88" s="3">
        <f t="shared" si="7"/>
        <v>113630</v>
      </c>
      <c r="C88" s="3">
        <f t="shared" si="8"/>
        <v>104653</v>
      </c>
      <c r="D88" s="3">
        <f t="shared" si="9"/>
        <v>1151183</v>
      </c>
      <c r="E88" s="3">
        <f t="shared" si="10"/>
        <v>110285</v>
      </c>
      <c r="F88" s="3">
        <f t="shared" si="11"/>
        <v>1213135</v>
      </c>
      <c r="L88" s="3"/>
    </row>
    <row r="89" spans="1:12" x14ac:dyDescent="0.2">
      <c r="A89" s="10">
        <v>12</v>
      </c>
      <c r="B89" s="3">
        <f t="shared" si="7"/>
        <v>7777200</v>
      </c>
      <c r="C89" s="3">
        <f t="shared" si="8"/>
        <v>0</v>
      </c>
      <c r="D89" s="3">
        <f t="shared" si="9"/>
        <v>3997248</v>
      </c>
      <c r="E89" s="3">
        <f t="shared" si="10"/>
        <v>0</v>
      </c>
      <c r="F89" s="3">
        <f t="shared" si="11"/>
        <v>5060484</v>
      </c>
      <c r="L89" s="3"/>
    </row>
    <row r="90" spans="1:12" x14ac:dyDescent="0.2">
      <c r="B90" s="4">
        <f>SUM(B78:B89)</f>
        <v>8050024</v>
      </c>
      <c r="C90" s="4">
        <f>SUM(C78:C89)</f>
        <v>6806671</v>
      </c>
      <c r="D90" s="4">
        <f>SUM(D78:D89)</f>
        <v>9718649</v>
      </c>
      <c r="E90" s="4">
        <f>SUM(E78:E89)</f>
        <v>9177597</v>
      </c>
      <c r="F90" s="4">
        <f>SUM(F78:F89)</f>
        <v>11501451</v>
      </c>
      <c r="G90" s="4">
        <f>SUM(B90:F90)</f>
        <v>45254392</v>
      </c>
      <c r="L90" s="3"/>
    </row>
    <row r="91" spans="1:12" x14ac:dyDescent="0.2">
      <c r="L91" s="3"/>
    </row>
    <row r="92" spans="1:12" x14ac:dyDescent="0.2">
      <c r="A92" s="10" t="s">
        <v>19</v>
      </c>
      <c r="B92" s="4">
        <f>B90+C90</f>
        <v>14856695</v>
      </c>
      <c r="C92" s="12">
        <f>B92/B$95</f>
        <v>0.32829288701967313</v>
      </c>
      <c r="L92" s="3"/>
    </row>
    <row r="93" spans="1:12" x14ac:dyDescent="0.2">
      <c r="A93" s="10" t="s">
        <v>20</v>
      </c>
      <c r="B93" s="4">
        <f>D90+E90</f>
        <v>18896246</v>
      </c>
      <c r="C93" s="12">
        <f>B93/B$95</f>
        <v>0.41755606837011533</v>
      </c>
      <c r="L93" s="3"/>
    </row>
    <row r="94" spans="1:12" x14ac:dyDescent="0.2">
      <c r="A94" s="10" t="s">
        <v>21</v>
      </c>
      <c r="B94" s="4">
        <f>F90</f>
        <v>11501451</v>
      </c>
      <c r="C94" s="12">
        <f>B94/B$95</f>
        <v>0.25415104461021154</v>
      </c>
      <c r="L94" s="3"/>
    </row>
    <row r="95" spans="1:12" x14ac:dyDescent="0.2">
      <c r="B95" s="4">
        <f>G90</f>
        <v>45254392</v>
      </c>
      <c r="L95" s="3"/>
    </row>
    <row r="96" spans="1:12" x14ac:dyDescent="0.2">
      <c r="L96" s="3"/>
    </row>
    <row r="97" spans="1:12" x14ac:dyDescent="0.2">
      <c r="G97" s="10" t="s">
        <v>50</v>
      </c>
      <c r="H97" s="10"/>
      <c r="I97" s="10"/>
      <c r="K97" s="62" t="s">
        <v>62</v>
      </c>
      <c r="L97" s="10" t="s">
        <v>62</v>
      </c>
    </row>
    <row r="98" spans="1:12" x14ac:dyDescent="0.2">
      <c r="A98" s="30" t="s">
        <v>56</v>
      </c>
      <c r="B98" s="20" t="s">
        <v>23</v>
      </c>
      <c r="C98" s="1" t="s">
        <v>1</v>
      </c>
      <c r="D98" s="1" t="s">
        <v>52</v>
      </c>
      <c r="E98" s="1" t="s">
        <v>3</v>
      </c>
      <c r="F98" s="1" t="s">
        <v>16</v>
      </c>
      <c r="G98" s="10" t="s">
        <v>23</v>
      </c>
      <c r="H98" s="10"/>
      <c r="I98" s="10"/>
      <c r="K98" s="62" t="s">
        <v>3</v>
      </c>
      <c r="L98" s="10" t="s">
        <v>80</v>
      </c>
    </row>
    <row r="99" spans="1:12" x14ac:dyDescent="0.2">
      <c r="A99" s="10" t="s">
        <v>49</v>
      </c>
      <c r="B99" s="4">
        <f>B24+B40</f>
        <v>2065713</v>
      </c>
      <c r="C99" s="4">
        <f>C24+C40</f>
        <v>7145733275</v>
      </c>
      <c r="D99" s="4">
        <f>D24+D40</f>
        <v>1181420517</v>
      </c>
      <c r="E99" s="4">
        <v>0</v>
      </c>
      <c r="F99" s="4">
        <f>SUM(C99:E99)</f>
        <v>8327153792</v>
      </c>
      <c r="G99" s="6">
        <f t="shared" ref="G99:G104" si="12">B99/B$104</f>
        <v>0.5451916049941844</v>
      </c>
      <c r="K99" s="21"/>
    </row>
    <row r="100" spans="1:12" x14ac:dyDescent="0.2">
      <c r="A100" s="10" t="s">
        <v>46</v>
      </c>
      <c r="B100" s="4">
        <f>B47+B48+B49</f>
        <v>547210</v>
      </c>
      <c r="C100" s="4">
        <f>C47+C48+C49</f>
        <v>2406801668</v>
      </c>
      <c r="D100" s="4">
        <f>D47+D48+D49</f>
        <v>1273373390</v>
      </c>
      <c r="E100" s="4">
        <f>E47+E48+E49</f>
        <v>152572544</v>
      </c>
      <c r="F100" s="4">
        <f>SUM(C100:E100)</f>
        <v>3832747602</v>
      </c>
      <c r="G100" s="6">
        <f t="shared" si="12"/>
        <v>0.14442194930702748</v>
      </c>
      <c r="H100" s="12"/>
      <c r="I100" s="12"/>
      <c r="K100" s="21">
        <f>E100/B100</f>
        <v>278.81899819082253</v>
      </c>
      <c r="L100" s="21">
        <f>F100/B100</f>
        <v>7004.1622082929771</v>
      </c>
    </row>
    <row r="101" spans="1:12" x14ac:dyDescent="0.2">
      <c r="A101" s="10" t="s">
        <v>47</v>
      </c>
      <c r="B101" s="4">
        <f>B50+B51+B52+B53</f>
        <v>424710</v>
      </c>
      <c r="C101" s="4">
        <f>C50+C51+C52+C53</f>
        <v>1973589928</v>
      </c>
      <c r="D101" s="4">
        <f>D50+D51+D52+D53</f>
        <v>1496108243</v>
      </c>
      <c r="E101" s="4">
        <f>E50+E51+E52+E53</f>
        <v>526723359</v>
      </c>
      <c r="F101" s="4">
        <f>SUM(C101:E101)</f>
        <v>3996421530</v>
      </c>
      <c r="G101" s="6">
        <f t="shared" si="12"/>
        <v>0.11209123753255175</v>
      </c>
      <c r="H101" s="12"/>
      <c r="I101" s="12"/>
      <c r="K101" s="21">
        <f>E101/B101</f>
        <v>1240.1953309316946</v>
      </c>
      <c r="L101" s="21">
        <f>F101/B101</f>
        <v>9409.7655576746492</v>
      </c>
    </row>
    <row r="102" spans="1:12" x14ac:dyDescent="0.2">
      <c r="A102" s="10" t="s">
        <v>48</v>
      </c>
      <c r="B102" s="4">
        <f>B54+B55+B56+B57</f>
        <v>329627</v>
      </c>
      <c r="C102" s="4">
        <f>C54+C55+C56+C57</f>
        <v>1448810669</v>
      </c>
      <c r="D102" s="4">
        <f>D54+D55+D56+D57</f>
        <v>1379733522</v>
      </c>
      <c r="E102" s="4">
        <f>E54+E55+E56+E57</f>
        <v>926620886</v>
      </c>
      <c r="F102" s="4">
        <f>SUM(C102:E102)</f>
        <v>3755165077</v>
      </c>
      <c r="G102" s="6">
        <f t="shared" si="12"/>
        <v>8.6996534939470307E-2</v>
      </c>
      <c r="H102" s="12"/>
      <c r="I102" s="12"/>
      <c r="K102" s="21">
        <f>E102/B102</f>
        <v>2811.1194956723812</v>
      </c>
      <c r="L102" s="21">
        <f>F102/B102</f>
        <v>11392.164710415105</v>
      </c>
    </row>
    <row r="103" spans="1:12" x14ac:dyDescent="0.2">
      <c r="A103" s="10" t="s">
        <v>27</v>
      </c>
      <c r="B103" s="4">
        <f>B58</f>
        <v>421707</v>
      </c>
      <c r="C103" s="4">
        <f>C58</f>
        <v>1738877740</v>
      </c>
      <c r="D103" s="4">
        <f>D58</f>
        <v>1738877740</v>
      </c>
      <c r="E103" s="4">
        <f>E58</f>
        <v>3024468756</v>
      </c>
      <c r="F103" s="4">
        <f>SUM(C103:E103)</f>
        <v>6502224236</v>
      </c>
      <c r="G103" s="6">
        <f t="shared" si="12"/>
        <v>0.11129867322676602</v>
      </c>
      <c r="H103" s="11"/>
      <c r="I103" s="46"/>
      <c r="K103" s="21">
        <f>E103/B103</f>
        <v>7171.9671620343033</v>
      </c>
      <c r="L103" s="21">
        <f>F103/B103</f>
        <v>15418.819787198221</v>
      </c>
    </row>
    <row r="104" spans="1:12" x14ac:dyDescent="0.2">
      <c r="A104" s="10" t="s">
        <v>16</v>
      </c>
      <c r="B104" s="4">
        <f>SUM(B99:B103)</f>
        <v>3788967</v>
      </c>
      <c r="C104" s="4">
        <f>SUM(C99:C103)</f>
        <v>14713813280</v>
      </c>
      <c r="D104" s="4">
        <f>SUM(D99:D103)</f>
        <v>7069513412</v>
      </c>
      <c r="E104" s="4">
        <f>SUM(E99:E103)</f>
        <v>4630385545</v>
      </c>
      <c r="F104" s="4">
        <f>SUM(F99:F103)</f>
        <v>26413712237</v>
      </c>
      <c r="G104" s="6">
        <f t="shared" si="12"/>
        <v>1</v>
      </c>
      <c r="H104" s="12"/>
      <c r="I104" s="12"/>
      <c r="K104" s="21">
        <f>E104/B104</f>
        <v>1222.0706976334184</v>
      </c>
      <c r="L104" s="21">
        <f>F104/B104</f>
        <v>6971.2172834970588</v>
      </c>
    </row>
    <row r="105" spans="1:12" x14ac:dyDescent="0.2">
      <c r="G105" s="12"/>
    </row>
  </sheetData>
  <phoneticPr fontId="0" type="noConversion"/>
  <pageMargins left="0.75" right="0.75" top="1" bottom="1" header="0.5" footer="0.5"/>
  <pageSetup scale="88" orientation="portrait" r:id="rId1"/>
  <headerFooter alignWithMargins="0">
    <oddHeader>&amp;CPacific Gas and Electric Company
Rate Design Workpapers
3 Cent Surcharge</oddHeader>
    <oddFooter>&amp;L&amp;D  &amp;T&amp;R&amp;F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CPUCcomp</vt:lpstr>
      <vt:lpstr>Prices</vt:lpstr>
      <vt:lpstr>BillDet</vt:lpstr>
      <vt:lpstr>TierSum</vt:lpstr>
      <vt:lpstr>GT200%Rev</vt:lpstr>
      <vt:lpstr>CARE130%</vt:lpstr>
      <vt:lpstr>130%Baseline</vt:lpstr>
      <vt:lpstr>130%-200%</vt:lpstr>
      <vt:lpstr>200%Baseline</vt:lpstr>
      <vt:lpstr>Comps</vt:lpstr>
      <vt:lpstr>Summary</vt:lpstr>
      <vt:lpstr>'130%-200%'!Print_Area</vt:lpstr>
      <vt:lpstr>'130%Baseline'!Print_Area</vt:lpstr>
      <vt:lpstr>'200%Baseline'!Print_Area</vt:lpstr>
      <vt:lpstr>BillDet!Print_Area</vt:lpstr>
      <vt:lpstr>'CARE130%'!Print_Area</vt:lpstr>
      <vt:lpstr>Comps!Print_Area</vt:lpstr>
      <vt:lpstr>CPUCcomp!Print_Area</vt:lpstr>
      <vt:lpstr>'GT200%Rev'!Print_Area</vt:lpstr>
      <vt:lpstr>Prices!Print_Area</vt:lpstr>
      <vt:lpstr>Summary!Print_Area</vt:lpstr>
      <vt:lpstr>TierSum!Print_Area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2001-04-13T22:20:57Z</cp:lastPrinted>
  <dcterms:created xsi:type="dcterms:W3CDTF">2001-02-02T17:32:44Z</dcterms:created>
  <dcterms:modified xsi:type="dcterms:W3CDTF">2023-09-17T20:07:05Z</dcterms:modified>
</cp:coreProperties>
</file>