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3C3E09D-D27E-495C-A9E6-A96BC3D0761D}" xr6:coauthVersionLast="47" xr6:coauthVersionMax="47" xr10:uidLastSave="{00000000-0000-0000-0000-000000000000}"/>
  <bookViews>
    <workbookView xWindow="-120" yWindow="-120" windowWidth="38640" windowHeight="15720" activeTab="1"/>
  </bookViews>
  <sheets>
    <sheet name="Documentation" sheetId="13" r:id="rId1"/>
    <sheet name="Inputs and Assumptions" sheetId="8" r:id="rId2"/>
    <sheet name="Average Rate Summary" sheetId="10" state="hidden" r:id="rId3"/>
    <sheet name="RSP Surcharge Summary" sheetId="14" state="hidden" r:id="rId4"/>
    <sheet name="Development of RRQ" sheetId="15" r:id="rId5"/>
    <sheet name="Revenue Allocation" sheetId="2" r:id="rId6"/>
    <sheet name="RSP Surch Allocations" sheetId="11" r:id="rId7"/>
    <sheet name="Generation Calculations" sheetId="12" state="hidden" r:id="rId8"/>
    <sheet name="Test Year 2001 Sales and Revs." sheetId="1" r:id="rId9"/>
  </sheets>
  <externalReferences>
    <externalReference r:id="rId10"/>
  </externalReferences>
  <definedNames>
    <definedName name="allocation_method">'Inputs and Assumptions'!$AA$18</definedName>
    <definedName name="EPS">0.01</definedName>
    <definedName name="gen_choice">'Inputs and Assumptions'!$W$9</definedName>
    <definedName name="gen_equal">'Inputs and Assumptions'!$C$16</definedName>
    <definedName name="P_Equal">'Inputs and Assumptions'!$J$4</definedName>
    <definedName name="P_equal_gen">'Inputs and Assumptions'!$J$12</definedName>
    <definedName name="P_LF">'Inputs and Assumptions'!$C$25</definedName>
    <definedName name="_xlnm.Print_Area" localSheetId="2">'Average Rate Summary'!$C$8:$V$133</definedName>
    <definedName name="_xlnm.Print_Area" localSheetId="4">'Development of RRQ'!$A$1:$D$42</definedName>
    <definedName name="_xlnm.Print_Area" localSheetId="0">Documentation!$A$1:$N$240</definedName>
    <definedName name="_xlnm.Print_Area" localSheetId="7">'Generation Calculations'!$C$6:$P$130</definedName>
    <definedName name="_xlnm.Print_Area" localSheetId="1">'Inputs and Assumptions'!$A$1:$K$27</definedName>
    <definedName name="_xlnm.Print_Area" localSheetId="5">'Revenue Allocation'!$B$5:$AF$131</definedName>
    <definedName name="_xlnm.Print_Area" localSheetId="6">'RSP Surch Allocations'!$D$6:$E$127</definedName>
    <definedName name="_xlnm.Print_Area" localSheetId="3">'RSP Surcharge Summary'!$C$10:$N$133</definedName>
    <definedName name="_xlnm.Print_Area" localSheetId="8">'Test Year 2001 Sales and Revs.'!$C$5:$N$133</definedName>
    <definedName name="_xlnm.Print_Titles" localSheetId="2">'Average Rate Summary'!$A:$B,'Average Rate Summary'!$1:$8</definedName>
    <definedName name="_xlnm.Print_Titles" localSheetId="7">'Generation Calculations'!$A:$B,'Generation Calculations'!$1:$5</definedName>
    <definedName name="_xlnm.Print_Titles" localSheetId="5">'Revenue Allocation'!$B:$C,'Revenue Allocation'!$1:$4</definedName>
    <definedName name="_xlnm.Print_Titles" localSheetId="6">'RSP Surch Allocations'!$A:$B,'RSP Surch Allocations'!$1:$5</definedName>
    <definedName name="_xlnm.Print_Titles" localSheetId="3">'RSP Surcharge Summary'!$A:$B,'RSP Surcharge Summary'!$1:$8</definedName>
    <definedName name="_xlnm.Print_Titles" localSheetId="8">'Test Year 2001 Sales and Revs.'!$A:$B,'Test Year 2001 Sales and Revs.'!$1:$4</definedName>
    <definedName name="S_Equal">'Inputs and Assumptions'!$J$3</definedName>
    <definedName name="s_equal_gen">'Inputs and Assumptions'!$J$11</definedName>
    <definedName name="S_LF">'Inputs and Assumptions'!$C$26</definedName>
    <definedName name="surcharge" localSheetId="4">'Inputs and Assumptions'!$C$1</definedName>
    <definedName name="surcharge">'Inputs and Assumptions'!$C$1</definedName>
    <definedName name="surcharge_1">'Inputs and Assumptions'!$C$8</definedName>
    <definedName name="T_Equal">'Inputs and Assumptions'!$J$5</definedName>
    <definedName name="T_equal_gen">'Inputs and Assumptions'!$J$13</definedName>
    <definedName name="T_LF">'Inputs and Assumptions'!$C$24</definedName>
    <definedName name="wrn.workpapers." localSheetId="3" hidden="1">{#N/A,#N/A,FALSE,"Inputs And Assumptions";#N/A,#N/A,FALSE,"6-1-01 Proposed";#N/A,#N/A,FALSE,"RSP Surch Allocations";#N/A,#N/A,FALSE,"Generation Calculations";#N/A,#N/A,FALSE,"Test Year 2001 Sales and Revs."}</definedName>
    <definedName name="wrn.workpapers." hidden="1">{#N/A,#N/A,FALSE,"Inputs And Assumptions";#N/A,#N/A,FALSE,"Revenue Allocation";#N/A,#N/A,FALSE,"RSP Surch Allocations";#N/A,#N/A,FALSE,"Generation Calculations";#N/A,#N/A,FALSE,"Test Year 2001 Sales and Revs."}</definedName>
    <definedName name="_1ž__alloc_a">'[1]TRAlloc 98 sales, 96 MC''s'!#REF!</definedName>
    <definedName name="_2ž__net_a">'[1]TRAlloc 98 sales, 96 MC''s'!#REF!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" i="10" l="1"/>
  <c r="C10" i="10"/>
  <c r="E10" i="10"/>
  <c r="G10" i="10"/>
  <c r="I10" i="10"/>
  <c r="K10" i="10"/>
  <c r="M10" i="10"/>
  <c r="P10" i="10"/>
  <c r="R10" i="10"/>
  <c r="T10" i="10"/>
  <c r="V10" i="10"/>
  <c r="X10" i="10"/>
  <c r="Z10" i="10"/>
  <c r="C11" i="10"/>
  <c r="E11" i="10"/>
  <c r="G11" i="10"/>
  <c r="I11" i="10"/>
  <c r="K11" i="10"/>
  <c r="M11" i="10"/>
  <c r="P11" i="10"/>
  <c r="R11" i="10"/>
  <c r="T11" i="10"/>
  <c r="V11" i="10"/>
  <c r="X11" i="10"/>
  <c r="Z11" i="10"/>
  <c r="C12" i="10"/>
  <c r="E12" i="10"/>
  <c r="G12" i="10"/>
  <c r="I12" i="10"/>
  <c r="K12" i="10"/>
  <c r="M12" i="10"/>
  <c r="P12" i="10"/>
  <c r="R12" i="10"/>
  <c r="T12" i="10"/>
  <c r="V12" i="10"/>
  <c r="X12" i="10"/>
  <c r="Z12" i="10"/>
  <c r="C13" i="10"/>
  <c r="E13" i="10"/>
  <c r="G13" i="10"/>
  <c r="I13" i="10"/>
  <c r="K13" i="10"/>
  <c r="M13" i="10"/>
  <c r="P13" i="10"/>
  <c r="R13" i="10"/>
  <c r="T13" i="10"/>
  <c r="V13" i="10"/>
  <c r="X13" i="10"/>
  <c r="Z13" i="10"/>
  <c r="C14" i="10"/>
  <c r="E14" i="10"/>
  <c r="G14" i="10"/>
  <c r="I14" i="10"/>
  <c r="K14" i="10"/>
  <c r="M14" i="10"/>
  <c r="P14" i="10"/>
  <c r="R14" i="10"/>
  <c r="T14" i="10"/>
  <c r="V14" i="10"/>
  <c r="X14" i="10"/>
  <c r="Z14" i="10"/>
  <c r="C15" i="10"/>
  <c r="E15" i="10"/>
  <c r="G15" i="10"/>
  <c r="I15" i="10"/>
  <c r="K15" i="10"/>
  <c r="M15" i="10"/>
  <c r="P15" i="10"/>
  <c r="R15" i="10"/>
  <c r="T15" i="10"/>
  <c r="V15" i="10"/>
  <c r="X15" i="10"/>
  <c r="Z15" i="10"/>
  <c r="C16" i="10"/>
  <c r="Z16" i="10"/>
  <c r="C17" i="10"/>
  <c r="Z17" i="10"/>
  <c r="C18" i="10"/>
  <c r="E18" i="10"/>
  <c r="G18" i="10"/>
  <c r="I18" i="10"/>
  <c r="K18" i="10"/>
  <c r="M18" i="10"/>
  <c r="P18" i="10"/>
  <c r="R18" i="10"/>
  <c r="T18" i="10"/>
  <c r="V18" i="10"/>
  <c r="X18" i="10"/>
  <c r="Z18" i="10"/>
  <c r="C19" i="10"/>
  <c r="E19" i="10"/>
  <c r="G19" i="10"/>
  <c r="I19" i="10"/>
  <c r="K19" i="10"/>
  <c r="M19" i="10"/>
  <c r="P19" i="10"/>
  <c r="R19" i="10"/>
  <c r="T19" i="10"/>
  <c r="V19" i="10"/>
  <c r="X19" i="10"/>
  <c r="Z19" i="10"/>
  <c r="C20" i="10"/>
  <c r="E20" i="10"/>
  <c r="G20" i="10"/>
  <c r="I20" i="10"/>
  <c r="K20" i="10"/>
  <c r="M20" i="10"/>
  <c r="P20" i="10"/>
  <c r="R20" i="10"/>
  <c r="T20" i="10"/>
  <c r="V20" i="10"/>
  <c r="X20" i="10"/>
  <c r="Z20" i="10"/>
  <c r="C21" i="10"/>
  <c r="E21" i="10"/>
  <c r="G21" i="10"/>
  <c r="I21" i="10"/>
  <c r="K21" i="10"/>
  <c r="M21" i="10"/>
  <c r="P21" i="10"/>
  <c r="R21" i="10"/>
  <c r="T21" i="10"/>
  <c r="V21" i="10"/>
  <c r="X21" i="10"/>
  <c r="Z21" i="10"/>
  <c r="C22" i="10"/>
  <c r="E22" i="10"/>
  <c r="G22" i="10"/>
  <c r="I22" i="10"/>
  <c r="K22" i="10"/>
  <c r="M22" i="10"/>
  <c r="P22" i="10"/>
  <c r="R22" i="10"/>
  <c r="T22" i="10"/>
  <c r="V22" i="10"/>
  <c r="X22" i="10"/>
  <c r="Z22" i="10"/>
  <c r="C23" i="10"/>
  <c r="Z23" i="10"/>
  <c r="C24" i="10"/>
  <c r="Z24" i="10"/>
  <c r="C25" i="10"/>
  <c r="E25" i="10"/>
  <c r="G25" i="10"/>
  <c r="I25" i="10"/>
  <c r="K25" i="10"/>
  <c r="M25" i="10"/>
  <c r="P25" i="10"/>
  <c r="R25" i="10"/>
  <c r="T25" i="10"/>
  <c r="V25" i="10"/>
  <c r="X25" i="10"/>
  <c r="Z25" i="10"/>
  <c r="C26" i="10"/>
  <c r="E26" i="10"/>
  <c r="G26" i="10"/>
  <c r="I26" i="10"/>
  <c r="K26" i="10"/>
  <c r="M26" i="10"/>
  <c r="P26" i="10"/>
  <c r="R26" i="10"/>
  <c r="T26" i="10"/>
  <c r="V26" i="10"/>
  <c r="X26" i="10"/>
  <c r="Z26" i="10"/>
  <c r="C27" i="10"/>
  <c r="E27" i="10"/>
  <c r="G27" i="10"/>
  <c r="I27" i="10"/>
  <c r="K27" i="10"/>
  <c r="M27" i="10"/>
  <c r="P27" i="10"/>
  <c r="R27" i="10"/>
  <c r="T27" i="10"/>
  <c r="V27" i="10"/>
  <c r="X27" i="10"/>
  <c r="Z27" i="10"/>
  <c r="C28" i="10"/>
  <c r="Z28" i="10"/>
  <c r="C29" i="10"/>
  <c r="Z29" i="10"/>
  <c r="C30" i="10"/>
  <c r="E30" i="10"/>
  <c r="G30" i="10"/>
  <c r="I30" i="10"/>
  <c r="K30" i="10"/>
  <c r="M30" i="10"/>
  <c r="P30" i="10"/>
  <c r="R30" i="10"/>
  <c r="T30" i="10"/>
  <c r="V30" i="10"/>
  <c r="X30" i="10"/>
  <c r="Z30" i="10"/>
  <c r="C31" i="10"/>
  <c r="E31" i="10"/>
  <c r="G31" i="10"/>
  <c r="I31" i="10"/>
  <c r="K31" i="10"/>
  <c r="M31" i="10"/>
  <c r="P31" i="10"/>
  <c r="R31" i="10"/>
  <c r="T31" i="10"/>
  <c r="V31" i="10"/>
  <c r="X31" i="10"/>
  <c r="Z31" i="10"/>
  <c r="C32" i="10"/>
  <c r="Z32" i="10"/>
  <c r="C33" i="10"/>
  <c r="E33" i="10"/>
  <c r="G33" i="10"/>
  <c r="I33" i="10"/>
  <c r="K33" i="10"/>
  <c r="M33" i="10"/>
  <c r="P33" i="10"/>
  <c r="R33" i="10"/>
  <c r="T33" i="10"/>
  <c r="V33" i="10"/>
  <c r="X33" i="10"/>
  <c r="Z33" i="10"/>
  <c r="C34" i="10"/>
  <c r="Z34" i="10"/>
  <c r="C35" i="10"/>
  <c r="E35" i="10"/>
  <c r="G35" i="10"/>
  <c r="I35" i="10"/>
  <c r="K35" i="10"/>
  <c r="M35" i="10"/>
  <c r="P35" i="10"/>
  <c r="R35" i="10"/>
  <c r="T35" i="10"/>
  <c r="V35" i="10"/>
  <c r="X35" i="10"/>
  <c r="Z35" i="10"/>
  <c r="C36" i="10"/>
  <c r="E36" i="10"/>
  <c r="G36" i="10"/>
  <c r="I36" i="10"/>
  <c r="K36" i="10"/>
  <c r="M36" i="10"/>
  <c r="P36" i="10"/>
  <c r="R36" i="10"/>
  <c r="T36" i="10"/>
  <c r="V36" i="10"/>
  <c r="X36" i="10"/>
  <c r="Z36" i="10"/>
  <c r="C37" i="10"/>
  <c r="E37" i="10"/>
  <c r="G37" i="10"/>
  <c r="I37" i="10"/>
  <c r="K37" i="10"/>
  <c r="M37" i="10"/>
  <c r="P37" i="10"/>
  <c r="R37" i="10"/>
  <c r="T37" i="10"/>
  <c r="V37" i="10"/>
  <c r="X37" i="10"/>
  <c r="Z37" i="10"/>
  <c r="C38" i="10"/>
  <c r="E38" i="10"/>
  <c r="G38" i="10"/>
  <c r="I38" i="10"/>
  <c r="K38" i="10"/>
  <c r="M38" i="10"/>
  <c r="P38" i="10"/>
  <c r="R38" i="10"/>
  <c r="T38" i="10"/>
  <c r="V38" i="10"/>
  <c r="X38" i="10"/>
  <c r="Z38" i="10"/>
  <c r="C39" i="10"/>
  <c r="Z39" i="10"/>
  <c r="C40" i="10"/>
  <c r="E40" i="10"/>
  <c r="G40" i="10"/>
  <c r="I40" i="10"/>
  <c r="K40" i="10"/>
  <c r="M40" i="10"/>
  <c r="P40" i="10"/>
  <c r="R40" i="10"/>
  <c r="T40" i="10"/>
  <c r="V40" i="10"/>
  <c r="X40" i="10"/>
  <c r="Z40" i="10"/>
  <c r="C41" i="10"/>
  <c r="E41" i="10"/>
  <c r="G41" i="10"/>
  <c r="I41" i="10"/>
  <c r="K41" i="10"/>
  <c r="M41" i="10"/>
  <c r="P41" i="10"/>
  <c r="R41" i="10"/>
  <c r="T41" i="10"/>
  <c r="V41" i="10"/>
  <c r="X41" i="10"/>
  <c r="Z41" i="10"/>
  <c r="C42" i="10"/>
  <c r="E42" i="10"/>
  <c r="G42" i="10"/>
  <c r="I42" i="10"/>
  <c r="K42" i="10"/>
  <c r="M42" i="10"/>
  <c r="P42" i="10"/>
  <c r="R42" i="10"/>
  <c r="T42" i="10"/>
  <c r="V42" i="10"/>
  <c r="X42" i="10"/>
  <c r="Z42" i="10"/>
  <c r="C43" i="10"/>
  <c r="E43" i="10"/>
  <c r="G43" i="10"/>
  <c r="I43" i="10"/>
  <c r="K43" i="10"/>
  <c r="M43" i="10"/>
  <c r="P43" i="10"/>
  <c r="R43" i="10"/>
  <c r="T43" i="10"/>
  <c r="V43" i="10"/>
  <c r="X43" i="10"/>
  <c r="Z43" i="10"/>
  <c r="C44" i="10"/>
  <c r="Z44" i="10"/>
  <c r="C45" i="10"/>
  <c r="E45" i="10"/>
  <c r="G45" i="10"/>
  <c r="I45" i="10"/>
  <c r="K45" i="10"/>
  <c r="M45" i="10"/>
  <c r="P45" i="10"/>
  <c r="R45" i="10"/>
  <c r="T45" i="10"/>
  <c r="V45" i="10"/>
  <c r="X45" i="10"/>
  <c r="Z45" i="10"/>
  <c r="C46" i="10"/>
  <c r="Z46" i="10"/>
  <c r="C47" i="10"/>
  <c r="E47" i="10"/>
  <c r="G47" i="10"/>
  <c r="I47" i="10"/>
  <c r="K47" i="10"/>
  <c r="M47" i="10"/>
  <c r="P47" i="10"/>
  <c r="R47" i="10"/>
  <c r="T47" i="10"/>
  <c r="V47" i="10"/>
  <c r="X47" i="10"/>
  <c r="Z47" i="10"/>
  <c r="C48" i="10"/>
  <c r="E48" i="10"/>
  <c r="G48" i="10"/>
  <c r="I48" i="10"/>
  <c r="K48" i="10"/>
  <c r="M48" i="10"/>
  <c r="P48" i="10"/>
  <c r="R48" i="10"/>
  <c r="T48" i="10"/>
  <c r="V48" i="10"/>
  <c r="X48" i="10"/>
  <c r="Z48" i="10"/>
  <c r="C49" i="10"/>
  <c r="Z49" i="10"/>
  <c r="C50" i="10"/>
  <c r="E50" i="10"/>
  <c r="G50" i="10"/>
  <c r="I50" i="10"/>
  <c r="K50" i="10"/>
  <c r="M50" i="10"/>
  <c r="P50" i="10"/>
  <c r="R50" i="10"/>
  <c r="T50" i="10"/>
  <c r="V50" i="10"/>
  <c r="X50" i="10"/>
  <c r="Z50" i="10"/>
  <c r="C51" i="10"/>
  <c r="E51" i="10"/>
  <c r="G51" i="10"/>
  <c r="I51" i="10"/>
  <c r="K51" i="10"/>
  <c r="M51" i="10"/>
  <c r="P51" i="10"/>
  <c r="R51" i="10"/>
  <c r="T51" i="10"/>
  <c r="V51" i="10"/>
  <c r="X51" i="10"/>
  <c r="Z51" i="10"/>
  <c r="C52" i="10"/>
  <c r="E52" i="10"/>
  <c r="G52" i="10"/>
  <c r="I52" i="10"/>
  <c r="K52" i="10"/>
  <c r="M52" i="10"/>
  <c r="P52" i="10"/>
  <c r="R52" i="10"/>
  <c r="T52" i="10"/>
  <c r="V52" i="10"/>
  <c r="X52" i="10"/>
  <c r="Z52" i="10"/>
  <c r="C53" i="10"/>
  <c r="E53" i="10"/>
  <c r="G53" i="10"/>
  <c r="I53" i="10"/>
  <c r="K53" i="10"/>
  <c r="M53" i="10"/>
  <c r="P53" i="10"/>
  <c r="R53" i="10"/>
  <c r="T53" i="10"/>
  <c r="V53" i="10"/>
  <c r="X53" i="10"/>
  <c r="Z53" i="10"/>
  <c r="C54" i="10"/>
  <c r="Z54" i="10"/>
  <c r="C55" i="10"/>
  <c r="E55" i="10"/>
  <c r="G55" i="10"/>
  <c r="I55" i="10"/>
  <c r="K55" i="10"/>
  <c r="M55" i="10"/>
  <c r="P55" i="10"/>
  <c r="R55" i="10"/>
  <c r="T55" i="10"/>
  <c r="V55" i="10"/>
  <c r="X55" i="10"/>
  <c r="Z55" i="10"/>
  <c r="C56" i="10"/>
  <c r="Z56" i="10"/>
  <c r="C57" i="10"/>
  <c r="Z57" i="10"/>
  <c r="C58" i="10"/>
  <c r="Z58" i="10"/>
  <c r="C59" i="10"/>
  <c r="Z59" i="10"/>
  <c r="C60" i="10"/>
  <c r="Z60" i="10"/>
  <c r="C61" i="10"/>
  <c r="Z61" i="10"/>
  <c r="C62" i="10"/>
  <c r="Z62" i="10"/>
  <c r="C63" i="10"/>
  <c r="Z63" i="10"/>
  <c r="C64" i="10"/>
  <c r="Z64" i="10"/>
  <c r="C65" i="10"/>
  <c r="Z65" i="10"/>
  <c r="C66" i="10"/>
  <c r="Z66" i="10"/>
  <c r="C67" i="10"/>
  <c r="Z67" i="10"/>
  <c r="C68" i="10"/>
  <c r="E68" i="10"/>
  <c r="G68" i="10"/>
  <c r="I68" i="10"/>
  <c r="K68" i="10"/>
  <c r="M68" i="10"/>
  <c r="P68" i="10"/>
  <c r="R68" i="10"/>
  <c r="T68" i="10"/>
  <c r="V68" i="10"/>
  <c r="X68" i="10"/>
  <c r="Z68" i="10"/>
  <c r="C69" i="10"/>
  <c r="E69" i="10"/>
  <c r="G69" i="10"/>
  <c r="I69" i="10"/>
  <c r="K69" i="10"/>
  <c r="M69" i="10"/>
  <c r="P69" i="10"/>
  <c r="R69" i="10"/>
  <c r="T69" i="10"/>
  <c r="V69" i="10"/>
  <c r="X69" i="10"/>
  <c r="Z69" i="10"/>
  <c r="C70" i="10"/>
  <c r="E70" i="10"/>
  <c r="G70" i="10"/>
  <c r="I70" i="10"/>
  <c r="K70" i="10"/>
  <c r="M70" i="10"/>
  <c r="P70" i="10"/>
  <c r="R70" i="10"/>
  <c r="T70" i="10"/>
  <c r="V70" i="10"/>
  <c r="X70" i="10"/>
  <c r="Z70" i="10"/>
  <c r="C71" i="10"/>
  <c r="E71" i="10"/>
  <c r="G71" i="10"/>
  <c r="I71" i="10"/>
  <c r="K71" i="10"/>
  <c r="M71" i="10"/>
  <c r="P71" i="10"/>
  <c r="R71" i="10"/>
  <c r="T71" i="10"/>
  <c r="V71" i="10"/>
  <c r="X71" i="10"/>
  <c r="Z71" i="10"/>
  <c r="C72" i="10"/>
  <c r="Z72" i="10"/>
  <c r="C73" i="10"/>
  <c r="E73" i="10"/>
  <c r="G73" i="10"/>
  <c r="I73" i="10"/>
  <c r="K73" i="10"/>
  <c r="M73" i="10"/>
  <c r="P73" i="10"/>
  <c r="R73" i="10"/>
  <c r="T73" i="10"/>
  <c r="V73" i="10"/>
  <c r="X73" i="10"/>
  <c r="Z73" i="10"/>
  <c r="C74" i="10"/>
  <c r="E74" i="10"/>
  <c r="G74" i="10"/>
  <c r="I74" i="10"/>
  <c r="K74" i="10"/>
  <c r="M74" i="10"/>
  <c r="P74" i="10"/>
  <c r="R74" i="10"/>
  <c r="T74" i="10"/>
  <c r="V74" i="10"/>
  <c r="X74" i="10"/>
  <c r="Z74" i="10"/>
  <c r="C75" i="10"/>
  <c r="E75" i="10"/>
  <c r="G75" i="10"/>
  <c r="I75" i="10"/>
  <c r="K75" i="10"/>
  <c r="M75" i="10"/>
  <c r="P75" i="10"/>
  <c r="R75" i="10"/>
  <c r="T75" i="10"/>
  <c r="V75" i="10"/>
  <c r="X75" i="10"/>
  <c r="Z75" i="10"/>
  <c r="C76" i="10"/>
  <c r="E76" i="10"/>
  <c r="G76" i="10"/>
  <c r="I76" i="10"/>
  <c r="K76" i="10"/>
  <c r="M76" i="10"/>
  <c r="P76" i="10"/>
  <c r="R76" i="10"/>
  <c r="T76" i="10"/>
  <c r="V76" i="10"/>
  <c r="X76" i="10"/>
  <c r="Z76" i="10"/>
  <c r="C77" i="10"/>
  <c r="E77" i="10"/>
  <c r="G77" i="10"/>
  <c r="I77" i="10"/>
  <c r="K77" i="10"/>
  <c r="M77" i="10"/>
  <c r="P77" i="10"/>
  <c r="R77" i="10"/>
  <c r="T77" i="10"/>
  <c r="V77" i="10"/>
  <c r="X77" i="10"/>
  <c r="Z77" i="10"/>
  <c r="C78" i="10"/>
  <c r="E78" i="10"/>
  <c r="G78" i="10"/>
  <c r="I78" i="10"/>
  <c r="K78" i="10"/>
  <c r="M78" i="10"/>
  <c r="P78" i="10"/>
  <c r="R78" i="10"/>
  <c r="T78" i="10"/>
  <c r="V78" i="10"/>
  <c r="X78" i="10"/>
  <c r="Z78" i="10"/>
  <c r="C79" i="10"/>
  <c r="E79" i="10"/>
  <c r="G79" i="10"/>
  <c r="I79" i="10"/>
  <c r="K79" i="10"/>
  <c r="M79" i="10"/>
  <c r="P79" i="10"/>
  <c r="R79" i="10"/>
  <c r="T79" i="10"/>
  <c r="V79" i="10"/>
  <c r="X79" i="10"/>
  <c r="Z79" i="10"/>
  <c r="C80" i="10"/>
  <c r="E80" i="10"/>
  <c r="G80" i="10"/>
  <c r="I80" i="10"/>
  <c r="K80" i="10"/>
  <c r="M80" i="10"/>
  <c r="P80" i="10"/>
  <c r="R80" i="10"/>
  <c r="T80" i="10"/>
  <c r="V80" i="10"/>
  <c r="X80" i="10"/>
  <c r="Z80" i="10"/>
  <c r="C81" i="10"/>
  <c r="E81" i="10"/>
  <c r="G81" i="10"/>
  <c r="I81" i="10"/>
  <c r="K81" i="10"/>
  <c r="M81" i="10"/>
  <c r="P81" i="10"/>
  <c r="R81" i="10"/>
  <c r="T81" i="10"/>
  <c r="V81" i="10"/>
  <c r="X81" i="10"/>
  <c r="Z81" i="10"/>
  <c r="C82" i="10"/>
  <c r="E82" i="10"/>
  <c r="G82" i="10"/>
  <c r="I82" i="10"/>
  <c r="K82" i="10"/>
  <c r="M82" i="10"/>
  <c r="P82" i="10"/>
  <c r="R82" i="10"/>
  <c r="T82" i="10"/>
  <c r="V82" i="10"/>
  <c r="X82" i="10"/>
  <c r="Z82" i="10"/>
  <c r="C83" i="10"/>
  <c r="E83" i="10"/>
  <c r="G83" i="10"/>
  <c r="I83" i="10"/>
  <c r="K83" i="10"/>
  <c r="M83" i="10"/>
  <c r="P83" i="10"/>
  <c r="R83" i="10"/>
  <c r="T83" i="10"/>
  <c r="V83" i="10"/>
  <c r="X83" i="10"/>
  <c r="Z83" i="10"/>
  <c r="C84" i="10"/>
  <c r="E84" i="10"/>
  <c r="G84" i="10"/>
  <c r="I84" i="10"/>
  <c r="K84" i="10"/>
  <c r="M84" i="10"/>
  <c r="P84" i="10"/>
  <c r="R84" i="10"/>
  <c r="T84" i="10"/>
  <c r="V84" i="10"/>
  <c r="X84" i="10"/>
  <c r="Z84" i="10"/>
  <c r="C85" i="10"/>
  <c r="E85" i="10"/>
  <c r="G85" i="10"/>
  <c r="I85" i="10"/>
  <c r="K85" i="10"/>
  <c r="M85" i="10"/>
  <c r="P85" i="10"/>
  <c r="R85" i="10"/>
  <c r="T85" i="10"/>
  <c r="V85" i="10"/>
  <c r="X85" i="10"/>
  <c r="Z85" i="10"/>
  <c r="C86" i="10"/>
  <c r="E86" i="10"/>
  <c r="G86" i="10"/>
  <c r="I86" i="10"/>
  <c r="K86" i="10"/>
  <c r="M86" i="10"/>
  <c r="P86" i="10"/>
  <c r="R86" i="10"/>
  <c r="T86" i="10"/>
  <c r="V86" i="10"/>
  <c r="X86" i="10"/>
  <c r="Z86" i="10"/>
  <c r="C87" i="10"/>
  <c r="E87" i="10"/>
  <c r="G87" i="10"/>
  <c r="I87" i="10"/>
  <c r="K87" i="10"/>
  <c r="M87" i="10"/>
  <c r="P87" i="10"/>
  <c r="R87" i="10"/>
  <c r="T87" i="10"/>
  <c r="V87" i="10"/>
  <c r="X87" i="10"/>
  <c r="Z87" i="10"/>
  <c r="C88" i="10"/>
  <c r="E88" i="10"/>
  <c r="G88" i="10"/>
  <c r="I88" i="10"/>
  <c r="K88" i="10"/>
  <c r="M88" i="10"/>
  <c r="P88" i="10"/>
  <c r="R88" i="10"/>
  <c r="T88" i="10"/>
  <c r="V88" i="10"/>
  <c r="X88" i="10"/>
  <c r="Z88" i="10"/>
  <c r="C89" i="10"/>
  <c r="E89" i="10"/>
  <c r="G89" i="10"/>
  <c r="I89" i="10"/>
  <c r="K89" i="10"/>
  <c r="M89" i="10"/>
  <c r="P89" i="10"/>
  <c r="R89" i="10"/>
  <c r="T89" i="10"/>
  <c r="V89" i="10"/>
  <c r="X89" i="10"/>
  <c r="Z89" i="10"/>
  <c r="C90" i="10"/>
  <c r="E90" i="10"/>
  <c r="G90" i="10"/>
  <c r="I90" i="10"/>
  <c r="K90" i="10"/>
  <c r="M90" i="10"/>
  <c r="P90" i="10"/>
  <c r="R90" i="10"/>
  <c r="T90" i="10"/>
  <c r="V90" i="10"/>
  <c r="X90" i="10"/>
  <c r="Z90" i="10"/>
  <c r="C91" i="10"/>
  <c r="E91" i="10"/>
  <c r="G91" i="10"/>
  <c r="I91" i="10"/>
  <c r="K91" i="10"/>
  <c r="M91" i="10"/>
  <c r="P91" i="10"/>
  <c r="R91" i="10"/>
  <c r="T91" i="10"/>
  <c r="V91" i="10"/>
  <c r="X91" i="10"/>
  <c r="Z91" i="10"/>
  <c r="C92" i="10"/>
  <c r="E92" i="10"/>
  <c r="G92" i="10"/>
  <c r="I92" i="10"/>
  <c r="K92" i="10"/>
  <c r="M92" i="10"/>
  <c r="P92" i="10"/>
  <c r="R92" i="10"/>
  <c r="T92" i="10"/>
  <c r="V92" i="10"/>
  <c r="X92" i="10"/>
  <c r="Z92" i="10"/>
  <c r="C93" i="10"/>
  <c r="Z93" i="10"/>
  <c r="C94" i="10"/>
  <c r="Z94" i="10"/>
  <c r="C95" i="10"/>
  <c r="E95" i="10"/>
  <c r="G95" i="10"/>
  <c r="I95" i="10"/>
  <c r="K95" i="10"/>
  <c r="M95" i="10"/>
  <c r="P95" i="10"/>
  <c r="R95" i="10"/>
  <c r="T95" i="10"/>
  <c r="V95" i="10"/>
  <c r="X95" i="10"/>
  <c r="Z95" i="10"/>
  <c r="C96" i="10"/>
  <c r="E96" i="10"/>
  <c r="G96" i="10"/>
  <c r="I96" i="10"/>
  <c r="K96" i="10"/>
  <c r="M96" i="10"/>
  <c r="P96" i="10"/>
  <c r="R96" i="10"/>
  <c r="T96" i="10"/>
  <c r="V96" i="10"/>
  <c r="X96" i="10"/>
  <c r="Z96" i="10"/>
  <c r="C97" i="10"/>
  <c r="E97" i="10"/>
  <c r="G97" i="10"/>
  <c r="I97" i="10"/>
  <c r="K97" i="10"/>
  <c r="M97" i="10"/>
  <c r="P97" i="10"/>
  <c r="R97" i="10"/>
  <c r="T97" i="10"/>
  <c r="V97" i="10"/>
  <c r="X97" i="10"/>
  <c r="Z97" i="10"/>
  <c r="C98" i="10"/>
  <c r="Z98" i="10"/>
  <c r="C99" i="10"/>
  <c r="E99" i="10"/>
  <c r="G99" i="10"/>
  <c r="I99" i="10"/>
  <c r="K99" i="10"/>
  <c r="M99" i="10"/>
  <c r="P99" i="10"/>
  <c r="R99" i="10"/>
  <c r="T99" i="10"/>
  <c r="V99" i="10"/>
  <c r="X99" i="10"/>
  <c r="Z99" i="10"/>
  <c r="C100" i="10"/>
  <c r="E100" i="10"/>
  <c r="G100" i="10"/>
  <c r="I100" i="10"/>
  <c r="K100" i="10"/>
  <c r="M100" i="10"/>
  <c r="P100" i="10"/>
  <c r="R100" i="10"/>
  <c r="T100" i="10"/>
  <c r="V100" i="10"/>
  <c r="X100" i="10"/>
  <c r="Z100" i="10"/>
  <c r="C101" i="10"/>
  <c r="E101" i="10"/>
  <c r="G101" i="10"/>
  <c r="I101" i="10"/>
  <c r="K101" i="10"/>
  <c r="M101" i="10"/>
  <c r="P101" i="10"/>
  <c r="R101" i="10"/>
  <c r="T101" i="10"/>
  <c r="V101" i="10"/>
  <c r="X101" i="10"/>
  <c r="Z101" i="10"/>
  <c r="C102" i="10"/>
  <c r="Z102" i="10"/>
  <c r="C103" i="10"/>
  <c r="E103" i="10"/>
  <c r="G103" i="10"/>
  <c r="I103" i="10"/>
  <c r="K103" i="10"/>
  <c r="M103" i="10"/>
  <c r="P103" i="10"/>
  <c r="R103" i="10"/>
  <c r="T103" i="10"/>
  <c r="V103" i="10"/>
  <c r="X103" i="10"/>
  <c r="Z103" i="10"/>
  <c r="C104" i="10"/>
  <c r="E104" i="10"/>
  <c r="G104" i="10"/>
  <c r="I104" i="10"/>
  <c r="K104" i="10"/>
  <c r="M104" i="10"/>
  <c r="P104" i="10"/>
  <c r="R104" i="10"/>
  <c r="T104" i="10"/>
  <c r="V104" i="10"/>
  <c r="X104" i="10"/>
  <c r="Z104" i="10"/>
  <c r="C105" i="10"/>
  <c r="E105" i="10"/>
  <c r="G105" i="10"/>
  <c r="I105" i="10"/>
  <c r="K105" i="10"/>
  <c r="M105" i="10"/>
  <c r="P105" i="10"/>
  <c r="R105" i="10"/>
  <c r="T105" i="10"/>
  <c r="V105" i="10"/>
  <c r="X105" i="10"/>
  <c r="Z105" i="10"/>
  <c r="C106" i="10"/>
  <c r="Z106" i="10"/>
  <c r="C107" i="10"/>
  <c r="E107" i="10"/>
  <c r="G107" i="10"/>
  <c r="I107" i="10"/>
  <c r="K107" i="10"/>
  <c r="M107" i="10"/>
  <c r="P107" i="10"/>
  <c r="R107" i="10"/>
  <c r="T107" i="10"/>
  <c r="V107" i="10"/>
  <c r="X107" i="10"/>
  <c r="Z107" i="10"/>
  <c r="C108" i="10"/>
  <c r="Z108" i="10"/>
  <c r="C109" i="10"/>
  <c r="E109" i="10"/>
  <c r="G109" i="10"/>
  <c r="I109" i="10"/>
  <c r="K109" i="10"/>
  <c r="M109" i="10"/>
  <c r="P109" i="10"/>
  <c r="R109" i="10"/>
  <c r="T109" i="10"/>
  <c r="V109" i="10"/>
  <c r="X109" i="10"/>
  <c r="Z109" i="10"/>
  <c r="C110" i="10"/>
  <c r="E110" i="10"/>
  <c r="G110" i="10"/>
  <c r="I110" i="10"/>
  <c r="K110" i="10"/>
  <c r="M110" i="10"/>
  <c r="P110" i="10"/>
  <c r="R110" i="10"/>
  <c r="T110" i="10"/>
  <c r="V110" i="10"/>
  <c r="X110" i="10"/>
  <c r="Z110" i="10"/>
  <c r="C111" i="10"/>
  <c r="E111" i="10"/>
  <c r="G111" i="10"/>
  <c r="I111" i="10"/>
  <c r="K111" i="10"/>
  <c r="M111" i="10"/>
  <c r="P111" i="10"/>
  <c r="R111" i="10"/>
  <c r="T111" i="10"/>
  <c r="V111" i="10"/>
  <c r="X111" i="10"/>
  <c r="Z111" i="10"/>
  <c r="C112" i="10"/>
  <c r="Z112" i="10"/>
  <c r="C113" i="10"/>
  <c r="E113" i="10"/>
  <c r="G113" i="10"/>
  <c r="I113" i="10"/>
  <c r="K113" i="10"/>
  <c r="M113" i="10"/>
  <c r="P113" i="10"/>
  <c r="R113" i="10"/>
  <c r="T113" i="10"/>
  <c r="V113" i="10"/>
  <c r="X113" i="10"/>
  <c r="Z113" i="10"/>
  <c r="C114" i="10"/>
  <c r="E114" i="10"/>
  <c r="G114" i="10"/>
  <c r="I114" i="10"/>
  <c r="K114" i="10"/>
  <c r="M114" i="10"/>
  <c r="P114" i="10"/>
  <c r="R114" i="10"/>
  <c r="T114" i="10"/>
  <c r="V114" i="10"/>
  <c r="X114" i="10"/>
  <c r="Z114" i="10"/>
  <c r="C115" i="10"/>
  <c r="E115" i="10"/>
  <c r="G115" i="10"/>
  <c r="I115" i="10"/>
  <c r="K115" i="10"/>
  <c r="M115" i="10"/>
  <c r="P115" i="10"/>
  <c r="R115" i="10"/>
  <c r="T115" i="10"/>
  <c r="V115" i="10"/>
  <c r="X115" i="10"/>
  <c r="Z115" i="10"/>
  <c r="C116" i="10"/>
  <c r="E116" i="10"/>
  <c r="G116" i="10"/>
  <c r="I116" i="10"/>
  <c r="K116" i="10"/>
  <c r="M116" i="10"/>
  <c r="P116" i="10"/>
  <c r="R116" i="10"/>
  <c r="T116" i="10"/>
  <c r="V116" i="10"/>
  <c r="X116" i="10"/>
  <c r="Z116" i="10"/>
  <c r="C117" i="10"/>
  <c r="Z117" i="10"/>
  <c r="C118" i="10"/>
  <c r="E118" i="10"/>
  <c r="G118" i="10"/>
  <c r="I118" i="10"/>
  <c r="K118" i="10"/>
  <c r="M118" i="10"/>
  <c r="P118" i="10"/>
  <c r="R118" i="10"/>
  <c r="T118" i="10"/>
  <c r="V118" i="10"/>
  <c r="X118" i="10"/>
  <c r="Z118" i="10"/>
  <c r="C119" i="10"/>
  <c r="Z119" i="10"/>
  <c r="C120" i="10"/>
  <c r="E120" i="10"/>
  <c r="G120" i="10"/>
  <c r="I120" i="10"/>
  <c r="K120" i="10"/>
  <c r="M120" i="10"/>
  <c r="P120" i="10"/>
  <c r="R120" i="10"/>
  <c r="T120" i="10"/>
  <c r="V120" i="10"/>
  <c r="X120" i="10"/>
  <c r="Z120" i="10"/>
  <c r="C121" i="10"/>
  <c r="E121" i="10"/>
  <c r="G121" i="10"/>
  <c r="I121" i="10"/>
  <c r="K121" i="10"/>
  <c r="M121" i="10"/>
  <c r="P121" i="10"/>
  <c r="R121" i="10"/>
  <c r="T121" i="10"/>
  <c r="V121" i="10"/>
  <c r="X121" i="10"/>
  <c r="Z121" i="10"/>
  <c r="C122" i="10"/>
  <c r="Z122" i="10"/>
  <c r="C123" i="10"/>
  <c r="E123" i="10"/>
  <c r="G123" i="10"/>
  <c r="I123" i="10"/>
  <c r="K123" i="10"/>
  <c r="M123" i="10"/>
  <c r="P123" i="10"/>
  <c r="R123" i="10"/>
  <c r="T123" i="10"/>
  <c r="V123" i="10"/>
  <c r="X123" i="10"/>
  <c r="Z123" i="10"/>
  <c r="C124" i="10"/>
  <c r="E124" i="10"/>
  <c r="G124" i="10"/>
  <c r="I124" i="10"/>
  <c r="K124" i="10"/>
  <c r="M124" i="10"/>
  <c r="P124" i="10"/>
  <c r="R124" i="10"/>
  <c r="T124" i="10"/>
  <c r="V124" i="10"/>
  <c r="X124" i="10"/>
  <c r="Z124" i="10"/>
  <c r="C125" i="10"/>
  <c r="E125" i="10"/>
  <c r="G125" i="10"/>
  <c r="I125" i="10"/>
  <c r="K125" i="10"/>
  <c r="M125" i="10"/>
  <c r="P125" i="10"/>
  <c r="R125" i="10"/>
  <c r="T125" i="10"/>
  <c r="V125" i="10"/>
  <c r="X125" i="10"/>
  <c r="Z125" i="10"/>
  <c r="C126" i="10"/>
  <c r="E126" i="10"/>
  <c r="G126" i="10"/>
  <c r="I126" i="10"/>
  <c r="K126" i="10"/>
  <c r="M126" i="10"/>
  <c r="P126" i="10"/>
  <c r="R126" i="10"/>
  <c r="T126" i="10"/>
  <c r="V126" i="10"/>
  <c r="X126" i="10"/>
  <c r="Z126" i="10"/>
  <c r="C127" i="10"/>
  <c r="Z127" i="10"/>
  <c r="C128" i="10"/>
  <c r="E128" i="10"/>
  <c r="G128" i="10"/>
  <c r="I128" i="10"/>
  <c r="K128" i="10"/>
  <c r="M128" i="10"/>
  <c r="P128" i="10"/>
  <c r="R128" i="10"/>
  <c r="T128" i="10"/>
  <c r="V128" i="10"/>
  <c r="X128" i="10"/>
  <c r="Z128" i="10"/>
  <c r="C129" i="10"/>
  <c r="E129" i="10"/>
  <c r="G129" i="10"/>
  <c r="I129" i="10"/>
  <c r="K129" i="10"/>
  <c r="M129" i="10"/>
  <c r="P129" i="10"/>
  <c r="R129" i="10"/>
  <c r="T129" i="10"/>
  <c r="V129" i="10"/>
  <c r="X129" i="10"/>
  <c r="Z129" i="10"/>
  <c r="C130" i="10"/>
  <c r="E130" i="10"/>
  <c r="G130" i="10"/>
  <c r="I130" i="10"/>
  <c r="K130" i="10"/>
  <c r="M130" i="10"/>
  <c r="P130" i="10"/>
  <c r="R130" i="10"/>
  <c r="T130" i="10"/>
  <c r="V130" i="10"/>
  <c r="X130" i="10"/>
  <c r="Z130" i="10"/>
  <c r="C131" i="10"/>
  <c r="Z131" i="10"/>
  <c r="C132" i="10"/>
  <c r="E132" i="10"/>
  <c r="G132" i="10"/>
  <c r="I132" i="10"/>
  <c r="K132" i="10"/>
  <c r="M132" i="10"/>
  <c r="P132" i="10"/>
  <c r="R132" i="10"/>
  <c r="T132" i="10"/>
  <c r="V132" i="10"/>
  <c r="X132" i="10"/>
  <c r="Z132" i="10"/>
  <c r="C133" i="10"/>
  <c r="E133" i="10"/>
  <c r="G133" i="10"/>
  <c r="I133" i="10"/>
  <c r="K133" i="10"/>
  <c r="M133" i="10"/>
  <c r="P133" i="10"/>
  <c r="R133" i="10"/>
  <c r="T133" i="10"/>
  <c r="V133" i="10"/>
  <c r="X133" i="10"/>
  <c r="Z133" i="10"/>
  <c r="D5" i="15"/>
  <c r="D7" i="15"/>
  <c r="D18" i="15"/>
  <c r="D27" i="15"/>
  <c r="D32" i="15"/>
  <c r="D37" i="15"/>
  <c r="D39" i="15"/>
  <c r="D41" i="15"/>
  <c r="A11" i="13"/>
  <c r="A12" i="13"/>
  <c r="C7" i="12"/>
  <c r="D7" i="12"/>
  <c r="E7" i="12"/>
  <c r="F7" i="12"/>
  <c r="G7" i="12"/>
  <c r="K7" i="12"/>
  <c r="L7" i="12"/>
  <c r="M7" i="12"/>
  <c r="N7" i="12"/>
  <c r="O7" i="12"/>
  <c r="P7" i="12"/>
  <c r="C8" i="12"/>
  <c r="D8" i="12"/>
  <c r="E8" i="12"/>
  <c r="F8" i="12"/>
  <c r="G8" i="12"/>
  <c r="K8" i="12"/>
  <c r="L8" i="12"/>
  <c r="M8" i="12"/>
  <c r="N8" i="12"/>
  <c r="O8" i="12"/>
  <c r="P8" i="12"/>
  <c r="C9" i="12"/>
  <c r="D9" i="12"/>
  <c r="E9" i="12"/>
  <c r="F9" i="12"/>
  <c r="G9" i="12"/>
  <c r="K9" i="12"/>
  <c r="L9" i="12"/>
  <c r="M9" i="12"/>
  <c r="N9" i="12"/>
  <c r="O9" i="12"/>
  <c r="P9" i="12"/>
  <c r="C10" i="12"/>
  <c r="D10" i="12"/>
  <c r="E10" i="12"/>
  <c r="F10" i="12"/>
  <c r="G10" i="12"/>
  <c r="K10" i="12"/>
  <c r="L10" i="12"/>
  <c r="M10" i="12"/>
  <c r="N10" i="12"/>
  <c r="O10" i="12"/>
  <c r="P10" i="12"/>
  <c r="C11" i="12"/>
  <c r="D11" i="12"/>
  <c r="E11" i="12"/>
  <c r="F11" i="12"/>
  <c r="G11" i="12"/>
  <c r="K11" i="12"/>
  <c r="L11" i="12"/>
  <c r="M11" i="12"/>
  <c r="N11" i="12"/>
  <c r="O11" i="12"/>
  <c r="P11" i="12"/>
  <c r="C13" i="12"/>
  <c r="D13" i="12"/>
  <c r="E13" i="12"/>
  <c r="F13" i="12"/>
  <c r="G13" i="12"/>
  <c r="K13" i="12"/>
  <c r="L13" i="12"/>
  <c r="M13" i="12"/>
  <c r="N13" i="12"/>
  <c r="O13" i="12"/>
  <c r="P13" i="12"/>
  <c r="C16" i="12"/>
  <c r="D16" i="12"/>
  <c r="E16" i="12"/>
  <c r="F16" i="12"/>
  <c r="G16" i="12"/>
  <c r="K16" i="12"/>
  <c r="L16" i="12"/>
  <c r="M16" i="12"/>
  <c r="N16" i="12"/>
  <c r="O16" i="12"/>
  <c r="P16" i="12"/>
  <c r="C17" i="12"/>
  <c r="D17" i="12"/>
  <c r="E17" i="12"/>
  <c r="F17" i="12"/>
  <c r="G17" i="12"/>
  <c r="K17" i="12"/>
  <c r="L17" i="12"/>
  <c r="M17" i="12"/>
  <c r="N17" i="12"/>
  <c r="O17" i="12"/>
  <c r="P17" i="12"/>
  <c r="C19" i="12"/>
  <c r="D19" i="12"/>
  <c r="E19" i="12"/>
  <c r="F19" i="12"/>
  <c r="K19" i="12"/>
  <c r="L19" i="12"/>
  <c r="M19" i="12"/>
  <c r="N19" i="12"/>
  <c r="O19" i="12"/>
  <c r="P19" i="12"/>
  <c r="C20" i="12"/>
  <c r="D20" i="12"/>
  <c r="E20" i="12"/>
  <c r="F20" i="12"/>
  <c r="K20" i="12"/>
  <c r="L20" i="12"/>
  <c r="M20" i="12"/>
  <c r="N20" i="12"/>
  <c r="O20" i="12"/>
  <c r="P20" i="12"/>
  <c r="C22" i="12"/>
  <c r="D22" i="12"/>
  <c r="E22" i="12"/>
  <c r="F22" i="12"/>
  <c r="G22" i="12"/>
  <c r="K22" i="12"/>
  <c r="L22" i="12"/>
  <c r="M22" i="12"/>
  <c r="N22" i="12"/>
  <c r="O22" i="12"/>
  <c r="P22" i="12"/>
  <c r="C26" i="12"/>
  <c r="D26" i="12"/>
  <c r="E26" i="12"/>
  <c r="F26" i="12"/>
  <c r="G26" i="12"/>
  <c r="K26" i="12"/>
  <c r="L26" i="12"/>
  <c r="M26" i="12"/>
  <c r="N26" i="12"/>
  <c r="O26" i="12"/>
  <c r="P26" i="12"/>
  <c r="C27" i="12"/>
  <c r="D27" i="12"/>
  <c r="E27" i="12"/>
  <c r="F27" i="12"/>
  <c r="G27" i="12"/>
  <c r="K27" i="12"/>
  <c r="L27" i="12"/>
  <c r="M27" i="12"/>
  <c r="N27" i="12"/>
  <c r="O27" i="12"/>
  <c r="P27" i="12"/>
  <c r="C29" i="12"/>
  <c r="D29" i="12"/>
  <c r="E29" i="12"/>
  <c r="F29" i="12"/>
  <c r="G29" i="12"/>
  <c r="J29" i="12"/>
  <c r="K29" i="12"/>
  <c r="L29" i="12"/>
  <c r="M29" i="12"/>
  <c r="N29" i="12"/>
  <c r="O29" i="12"/>
  <c r="P29" i="12"/>
  <c r="C32" i="12"/>
  <c r="D32" i="12"/>
  <c r="E32" i="12"/>
  <c r="F32" i="12"/>
  <c r="G32" i="12"/>
  <c r="K32" i="12"/>
  <c r="L32" i="12"/>
  <c r="M32" i="12"/>
  <c r="N32" i="12"/>
  <c r="O32" i="12"/>
  <c r="P32" i="12"/>
  <c r="C33" i="12"/>
  <c r="D33" i="12"/>
  <c r="E33" i="12"/>
  <c r="F33" i="12"/>
  <c r="G33" i="12"/>
  <c r="K33" i="12"/>
  <c r="L33" i="12"/>
  <c r="M33" i="12"/>
  <c r="N33" i="12"/>
  <c r="O33" i="12"/>
  <c r="P33" i="12"/>
  <c r="C34" i="12"/>
  <c r="D34" i="12"/>
  <c r="E34" i="12"/>
  <c r="F34" i="12"/>
  <c r="G34" i="12"/>
  <c r="H34" i="12"/>
  <c r="K34" i="12"/>
  <c r="L34" i="12"/>
  <c r="M34" i="12"/>
  <c r="N34" i="12"/>
  <c r="C35" i="12"/>
  <c r="D35" i="12"/>
  <c r="E35" i="12"/>
  <c r="F35" i="12"/>
  <c r="G35" i="12"/>
  <c r="H35" i="12"/>
  <c r="J35" i="12"/>
  <c r="K35" i="12"/>
  <c r="L35" i="12"/>
  <c r="M35" i="12"/>
  <c r="N35" i="12"/>
  <c r="O35" i="12"/>
  <c r="P35" i="12"/>
  <c r="C37" i="12"/>
  <c r="D37" i="12"/>
  <c r="E37" i="12"/>
  <c r="F37" i="12"/>
  <c r="G37" i="12"/>
  <c r="K37" i="12"/>
  <c r="L37" i="12"/>
  <c r="M37" i="12"/>
  <c r="N37" i="12"/>
  <c r="O37" i="12"/>
  <c r="P37" i="12"/>
  <c r="C38" i="12"/>
  <c r="D38" i="12"/>
  <c r="E38" i="12"/>
  <c r="F38" i="12"/>
  <c r="G38" i="12"/>
  <c r="K38" i="12"/>
  <c r="L38" i="12"/>
  <c r="M38" i="12"/>
  <c r="N38" i="12"/>
  <c r="O38" i="12"/>
  <c r="P38" i="12"/>
  <c r="C39" i="12"/>
  <c r="D39" i="12"/>
  <c r="E39" i="12"/>
  <c r="F39" i="12"/>
  <c r="G39" i="12"/>
  <c r="H39" i="12"/>
  <c r="K39" i="12"/>
  <c r="L39" i="12"/>
  <c r="M39" i="12"/>
  <c r="N39" i="12"/>
  <c r="O39" i="12"/>
  <c r="P39" i="12"/>
  <c r="C40" i="12"/>
  <c r="D40" i="12"/>
  <c r="E40" i="12"/>
  <c r="F40" i="12"/>
  <c r="G40" i="12"/>
  <c r="H40" i="12"/>
  <c r="J40" i="12"/>
  <c r="K40" i="12"/>
  <c r="L40" i="12"/>
  <c r="M40" i="12"/>
  <c r="N40" i="12"/>
  <c r="O40" i="12"/>
  <c r="P40" i="12"/>
  <c r="C42" i="12"/>
  <c r="D42" i="12"/>
  <c r="E42" i="12"/>
  <c r="F42" i="12"/>
  <c r="G42" i="12"/>
  <c r="K42" i="12"/>
  <c r="L42" i="12"/>
  <c r="M42" i="12"/>
  <c r="N42" i="12"/>
  <c r="O42" i="12"/>
  <c r="P42" i="12"/>
  <c r="C43" i="12"/>
  <c r="D43" i="12"/>
  <c r="E43" i="12"/>
  <c r="F43" i="12"/>
  <c r="G43" i="12"/>
  <c r="K43" i="12"/>
  <c r="L43" i="12"/>
  <c r="M43" i="12"/>
  <c r="N43" i="12"/>
  <c r="O43" i="12"/>
  <c r="P43" i="12"/>
  <c r="C44" i="12"/>
  <c r="D44" i="12"/>
  <c r="E44" i="12"/>
  <c r="F44" i="12"/>
  <c r="G44" i="12"/>
  <c r="H44" i="12"/>
  <c r="K44" i="12"/>
  <c r="L44" i="12"/>
  <c r="M44" i="12"/>
  <c r="N44" i="12"/>
  <c r="O44" i="12"/>
  <c r="P44" i="12"/>
  <c r="C45" i="12"/>
  <c r="D45" i="12"/>
  <c r="E45" i="12"/>
  <c r="F45" i="12"/>
  <c r="G45" i="12"/>
  <c r="H45" i="12"/>
  <c r="J45" i="12"/>
  <c r="K45" i="12"/>
  <c r="L45" i="12"/>
  <c r="M45" i="12"/>
  <c r="N45" i="12"/>
  <c r="O45" i="12"/>
  <c r="P45" i="12"/>
  <c r="C47" i="12"/>
  <c r="D47" i="12"/>
  <c r="E47" i="12"/>
  <c r="K47" i="12"/>
  <c r="L47" i="12"/>
  <c r="M47" i="12"/>
  <c r="N47" i="12"/>
  <c r="O47" i="12"/>
  <c r="P47" i="12"/>
  <c r="C48" i="12"/>
  <c r="D48" i="12"/>
  <c r="E48" i="12"/>
  <c r="J48" i="12"/>
  <c r="K48" i="12"/>
  <c r="L48" i="12"/>
  <c r="M48" i="12"/>
  <c r="N48" i="12"/>
  <c r="O48" i="12"/>
  <c r="P48" i="12"/>
  <c r="C51" i="12"/>
  <c r="D51" i="12"/>
  <c r="E51" i="12"/>
  <c r="F51" i="12"/>
  <c r="G51" i="12"/>
  <c r="H51" i="12"/>
  <c r="J51" i="12"/>
  <c r="K51" i="12"/>
  <c r="L51" i="12"/>
  <c r="M51" i="12"/>
  <c r="N51" i="12"/>
  <c r="O51" i="12"/>
  <c r="P51" i="12"/>
  <c r="C52" i="12"/>
  <c r="D52" i="12"/>
  <c r="E52" i="12"/>
  <c r="F52" i="12"/>
  <c r="G52" i="12"/>
  <c r="H52" i="12"/>
  <c r="J52" i="12"/>
  <c r="K52" i="12"/>
  <c r="L52" i="12"/>
  <c r="M52" i="12"/>
  <c r="N52" i="12"/>
  <c r="O52" i="12"/>
  <c r="P52" i="12"/>
  <c r="C53" i="12"/>
  <c r="D53" i="12"/>
  <c r="E53" i="12"/>
  <c r="F53" i="12"/>
  <c r="G53" i="12"/>
  <c r="H53" i="12"/>
  <c r="J53" i="12"/>
  <c r="K53" i="12"/>
  <c r="L53" i="12"/>
  <c r="M53" i="12"/>
  <c r="N53" i="12"/>
  <c r="O53" i="12"/>
  <c r="P53" i="12"/>
  <c r="C54" i="12"/>
  <c r="D54" i="12"/>
  <c r="E54" i="12"/>
  <c r="F54" i="12"/>
  <c r="G54" i="12"/>
  <c r="H54" i="12"/>
  <c r="J54" i="12"/>
  <c r="K54" i="12"/>
  <c r="L54" i="12"/>
  <c r="M54" i="12"/>
  <c r="N54" i="12"/>
  <c r="O54" i="12"/>
  <c r="P54" i="12"/>
  <c r="C56" i="12"/>
  <c r="D56" i="12"/>
  <c r="E56" i="12"/>
  <c r="K56" i="12"/>
  <c r="L56" i="12"/>
  <c r="M56" i="12"/>
  <c r="N56" i="12"/>
  <c r="O56" i="12"/>
  <c r="P56" i="12"/>
  <c r="C69" i="12"/>
  <c r="D69" i="12"/>
  <c r="E69" i="12"/>
  <c r="K69" i="12"/>
  <c r="L69" i="12"/>
  <c r="M69" i="12"/>
  <c r="N69" i="12"/>
  <c r="O69" i="12"/>
  <c r="P69" i="12"/>
  <c r="C70" i="12"/>
  <c r="D70" i="12"/>
  <c r="E70" i="12"/>
  <c r="K70" i="12"/>
  <c r="L70" i="12"/>
  <c r="M70" i="12"/>
  <c r="N70" i="12"/>
  <c r="O70" i="12"/>
  <c r="P70" i="12"/>
  <c r="C71" i="12"/>
  <c r="D71" i="12"/>
  <c r="E71" i="12"/>
  <c r="K71" i="12"/>
  <c r="L71" i="12"/>
  <c r="M71" i="12"/>
  <c r="N71" i="12"/>
  <c r="O71" i="12"/>
  <c r="P71" i="12"/>
  <c r="J72" i="12"/>
  <c r="K72" i="12"/>
  <c r="L72" i="12"/>
  <c r="M72" i="12"/>
  <c r="N72" i="12"/>
  <c r="C73" i="12"/>
  <c r="D73" i="12"/>
  <c r="E73" i="12"/>
  <c r="M73" i="12"/>
  <c r="N73" i="12"/>
  <c r="O73" i="12"/>
  <c r="P73" i="12"/>
  <c r="C75" i="12"/>
  <c r="D75" i="12"/>
  <c r="E75" i="12"/>
  <c r="K75" i="12"/>
  <c r="L75" i="12"/>
  <c r="M75" i="12"/>
  <c r="N75" i="12"/>
  <c r="O75" i="12"/>
  <c r="P75" i="12"/>
  <c r="C76" i="12"/>
  <c r="D76" i="12"/>
  <c r="E76" i="12"/>
  <c r="K76" i="12"/>
  <c r="L76" i="12"/>
  <c r="M76" i="12"/>
  <c r="N76" i="12"/>
  <c r="O76" i="12"/>
  <c r="P76" i="12"/>
  <c r="C77" i="12"/>
  <c r="D77" i="12"/>
  <c r="E77" i="12"/>
  <c r="K77" i="12"/>
  <c r="L77" i="12"/>
  <c r="M77" i="12"/>
  <c r="N77" i="12"/>
  <c r="O77" i="12"/>
  <c r="P77" i="12"/>
  <c r="C78" i="12"/>
  <c r="D78" i="12"/>
  <c r="E78" i="12"/>
  <c r="K78" i="12"/>
  <c r="L78" i="12"/>
  <c r="M78" i="12"/>
  <c r="N78" i="12"/>
  <c r="O78" i="12"/>
  <c r="P78" i="12"/>
  <c r="C79" i="12"/>
  <c r="D79" i="12"/>
  <c r="E79" i="12"/>
  <c r="K79" i="12"/>
  <c r="L79" i="12"/>
  <c r="M79" i="12"/>
  <c r="N79" i="12"/>
  <c r="O79" i="12"/>
  <c r="P79" i="12"/>
  <c r="C80" i="12"/>
  <c r="D80" i="12"/>
  <c r="E80" i="12"/>
  <c r="K80" i="12"/>
  <c r="L80" i="12"/>
  <c r="M80" i="12"/>
  <c r="N80" i="12"/>
  <c r="O80" i="12"/>
  <c r="P80" i="12"/>
  <c r="C81" i="12"/>
  <c r="D81" i="12"/>
  <c r="E81" i="12"/>
  <c r="K81" i="12"/>
  <c r="L81" i="12"/>
  <c r="M81" i="12"/>
  <c r="N81" i="12"/>
  <c r="O81" i="12"/>
  <c r="P81" i="12"/>
  <c r="C82" i="12"/>
  <c r="D82" i="12"/>
  <c r="E82" i="12"/>
  <c r="K82" i="12"/>
  <c r="L82" i="12"/>
  <c r="M82" i="12"/>
  <c r="N82" i="12"/>
  <c r="O82" i="12"/>
  <c r="P82" i="12"/>
  <c r="C83" i="12"/>
  <c r="D83" i="12"/>
  <c r="K83" i="12"/>
  <c r="L83" i="12"/>
  <c r="C84" i="12"/>
  <c r="D84" i="12"/>
  <c r="K84" i="12"/>
  <c r="L84" i="12"/>
  <c r="C85" i="12"/>
  <c r="D85" i="12"/>
  <c r="E85" i="12"/>
  <c r="J85" i="12"/>
  <c r="K85" i="12"/>
  <c r="L85" i="12"/>
  <c r="M85" i="12"/>
  <c r="N85" i="12"/>
  <c r="O85" i="12"/>
  <c r="P85" i="12"/>
  <c r="C86" i="12"/>
  <c r="D86" i="12"/>
  <c r="E86" i="12"/>
  <c r="K86" i="12"/>
  <c r="L86" i="12"/>
  <c r="M86" i="12"/>
  <c r="N86" i="12"/>
  <c r="O86" i="12"/>
  <c r="P86" i="12"/>
  <c r="C87" i="12"/>
  <c r="D87" i="12"/>
  <c r="K87" i="12"/>
  <c r="L87" i="12"/>
  <c r="C88" i="12"/>
  <c r="D88" i="12"/>
  <c r="K88" i="12"/>
  <c r="L88" i="12"/>
  <c r="C89" i="12"/>
  <c r="D89" i="12"/>
  <c r="E89" i="12"/>
  <c r="J89" i="12"/>
  <c r="K89" i="12"/>
  <c r="L89" i="12"/>
  <c r="M89" i="12"/>
  <c r="N89" i="12"/>
  <c r="O89" i="12"/>
  <c r="P89" i="12"/>
  <c r="C90" i="12"/>
  <c r="D90" i="12"/>
  <c r="E90" i="12"/>
  <c r="K90" i="12"/>
  <c r="L90" i="12"/>
  <c r="M90" i="12"/>
  <c r="N90" i="12"/>
  <c r="O90" i="12"/>
  <c r="P90" i="12"/>
  <c r="C92" i="12"/>
  <c r="D92" i="12"/>
  <c r="E92" i="12"/>
  <c r="J92" i="12"/>
  <c r="K92" i="12"/>
  <c r="L92" i="12"/>
  <c r="M92" i="12"/>
  <c r="N92" i="12"/>
  <c r="O92" i="12"/>
  <c r="P92" i="12"/>
  <c r="C93" i="12"/>
  <c r="D93" i="12"/>
  <c r="E93" i="12"/>
  <c r="J93" i="12"/>
  <c r="K93" i="12"/>
  <c r="L93" i="12"/>
  <c r="M93" i="12"/>
  <c r="N93" i="12"/>
  <c r="O93" i="12"/>
  <c r="P93" i="12"/>
  <c r="C94" i="12"/>
  <c r="D94" i="12"/>
  <c r="E94" i="12"/>
  <c r="J94" i="12"/>
  <c r="K94" i="12"/>
  <c r="L94" i="12"/>
  <c r="M94" i="12"/>
  <c r="N94" i="12"/>
  <c r="O94" i="12"/>
  <c r="P94" i="12"/>
  <c r="C97" i="12"/>
  <c r="D97" i="12"/>
  <c r="E97" i="12"/>
  <c r="K97" i="12"/>
  <c r="L97" i="12"/>
  <c r="M97" i="12"/>
  <c r="N97" i="12"/>
  <c r="O97" i="12"/>
  <c r="P97" i="12"/>
  <c r="C98" i="12"/>
  <c r="D98" i="12"/>
  <c r="E98" i="12"/>
  <c r="H98" i="12"/>
  <c r="K98" i="12"/>
  <c r="L98" i="12"/>
  <c r="M98" i="12"/>
  <c r="N98" i="12"/>
  <c r="O98" i="12"/>
  <c r="P98" i="12"/>
  <c r="C99" i="12"/>
  <c r="D99" i="12"/>
  <c r="E99" i="12"/>
  <c r="H99" i="12"/>
  <c r="I99" i="12"/>
  <c r="J99" i="12"/>
  <c r="K99" i="12"/>
  <c r="L99" i="12"/>
  <c r="M99" i="12"/>
  <c r="N99" i="12"/>
  <c r="O99" i="12"/>
  <c r="P99" i="12"/>
  <c r="C101" i="12"/>
  <c r="D101" i="12"/>
  <c r="E101" i="12"/>
  <c r="K101" i="12"/>
  <c r="L101" i="12"/>
  <c r="M101" i="12"/>
  <c r="N101" i="12"/>
  <c r="O101" i="12"/>
  <c r="P101" i="12"/>
  <c r="C102" i="12"/>
  <c r="D102" i="12"/>
  <c r="E102" i="12"/>
  <c r="H102" i="12"/>
  <c r="K102" i="12"/>
  <c r="L102" i="12"/>
  <c r="M102" i="12"/>
  <c r="N102" i="12"/>
  <c r="O102" i="12"/>
  <c r="P102" i="12"/>
  <c r="C103" i="12"/>
  <c r="D103" i="12"/>
  <c r="E103" i="12"/>
  <c r="H103" i="12"/>
  <c r="I103" i="12"/>
  <c r="J103" i="12"/>
  <c r="K103" i="12"/>
  <c r="L103" i="12"/>
  <c r="M103" i="12"/>
  <c r="N103" i="12"/>
  <c r="O103" i="12"/>
  <c r="P103" i="12"/>
  <c r="C105" i="12"/>
  <c r="D105" i="12"/>
  <c r="E105" i="12"/>
  <c r="K105" i="12"/>
  <c r="L105" i="12"/>
  <c r="M105" i="12"/>
  <c r="N105" i="12"/>
  <c r="O105" i="12"/>
  <c r="P105" i="12"/>
  <c r="C106" i="12"/>
  <c r="D106" i="12"/>
  <c r="E106" i="12"/>
  <c r="H106" i="12"/>
  <c r="K106" i="12"/>
  <c r="L106" i="12"/>
  <c r="M106" i="12"/>
  <c r="N106" i="12"/>
  <c r="O106" i="12"/>
  <c r="P106" i="12"/>
  <c r="C107" i="12"/>
  <c r="D107" i="12"/>
  <c r="E107" i="12"/>
  <c r="H107" i="12"/>
  <c r="I107" i="12"/>
  <c r="J107" i="12"/>
  <c r="K107" i="12"/>
  <c r="L107" i="12"/>
  <c r="M107" i="12"/>
  <c r="N107" i="12"/>
  <c r="O107" i="12"/>
  <c r="P107" i="12"/>
  <c r="C109" i="12"/>
  <c r="D109" i="12"/>
  <c r="E109" i="12"/>
  <c r="K109" i="12"/>
  <c r="L109" i="12"/>
  <c r="M109" i="12"/>
  <c r="N109" i="12"/>
  <c r="O109" i="12"/>
  <c r="P109" i="12"/>
  <c r="C110" i="12"/>
  <c r="D110" i="12"/>
  <c r="E110" i="12"/>
  <c r="K110" i="12"/>
  <c r="L110" i="12"/>
  <c r="M110" i="12"/>
  <c r="N110" i="12"/>
  <c r="O110" i="12"/>
  <c r="P110" i="12"/>
  <c r="C111" i="12"/>
  <c r="D111" i="12"/>
  <c r="E111" i="12"/>
  <c r="I111" i="12"/>
  <c r="K111" i="12"/>
  <c r="L111" i="12"/>
  <c r="M111" i="12"/>
  <c r="N111" i="12"/>
  <c r="O111" i="12"/>
  <c r="P111" i="12"/>
  <c r="C113" i="12"/>
  <c r="D113" i="12"/>
  <c r="E113" i="12"/>
  <c r="H113" i="12"/>
  <c r="I113" i="12"/>
  <c r="J113" i="12"/>
  <c r="K113" i="12"/>
  <c r="L113" i="12"/>
  <c r="M113" i="12"/>
  <c r="N113" i="12"/>
  <c r="O113" i="12"/>
  <c r="P113" i="12"/>
  <c r="C114" i="12"/>
  <c r="D114" i="12"/>
  <c r="E114" i="12"/>
  <c r="H114" i="12"/>
  <c r="I114" i="12"/>
  <c r="J114" i="12"/>
  <c r="K114" i="12"/>
  <c r="L114" i="12"/>
  <c r="M114" i="12"/>
  <c r="N114" i="12"/>
  <c r="O114" i="12"/>
  <c r="P114" i="12"/>
  <c r="C115" i="12"/>
  <c r="D115" i="12"/>
  <c r="E115" i="12"/>
  <c r="H115" i="12"/>
  <c r="I115" i="12"/>
  <c r="J115" i="12"/>
  <c r="K115" i="12"/>
  <c r="L115" i="12"/>
  <c r="M115" i="12"/>
  <c r="N115" i="12"/>
  <c r="O115" i="12"/>
  <c r="P115" i="12"/>
  <c r="C116" i="12"/>
  <c r="D116" i="12"/>
  <c r="E116" i="12"/>
  <c r="H116" i="12"/>
  <c r="I116" i="12"/>
  <c r="J116" i="12"/>
  <c r="K116" i="12"/>
  <c r="L116" i="12"/>
  <c r="M116" i="12"/>
  <c r="N116" i="12"/>
  <c r="O116" i="12"/>
  <c r="P116" i="12"/>
  <c r="C118" i="12"/>
  <c r="D118" i="12"/>
  <c r="E118" i="12"/>
  <c r="K118" i="12"/>
  <c r="L118" i="12"/>
  <c r="M118" i="12"/>
  <c r="N118" i="12"/>
  <c r="O118" i="12"/>
  <c r="P118" i="12"/>
  <c r="E119" i="12"/>
  <c r="K119" i="12"/>
  <c r="L119" i="12"/>
  <c r="M119" i="12"/>
  <c r="N119" i="12"/>
  <c r="C120" i="12"/>
  <c r="D120" i="12"/>
  <c r="E120" i="12"/>
  <c r="K120" i="12"/>
  <c r="L120" i="12"/>
  <c r="M120" i="12"/>
  <c r="N120" i="12"/>
  <c r="O120" i="12"/>
  <c r="P120" i="12"/>
  <c r="C121" i="12"/>
  <c r="D121" i="12"/>
  <c r="E121" i="12"/>
  <c r="K121" i="12"/>
  <c r="L121" i="12"/>
  <c r="M121" i="12"/>
  <c r="N121" i="12"/>
  <c r="O121" i="12"/>
  <c r="P121" i="12"/>
  <c r="C123" i="12"/>
  <c r="D123" i="12"/>
  <c r="E123" i="12"/>
  <c r="H123" i="12"/>
  <c r="I123" i="12"/>
  <c r="J123" i="12"/>
  <c r="K123" i="12"/>
  <c r="L123" i="12"/>
  <c r="M123" i="12"/>
  <c r="N123" i="12"/>
  <c r="O123" i="12"/>
  <c r="P123" i="12"/>
  <c r="C124" i="12"/>
  <c r="D124" i="12"/>
  <c r="E124" i="12"/>
  <c r="H124" i="12"/>
  <c r="I124" i="12"/>
  <c r="J124" i="12"/>
  <c r="K124" i="12"/>
  <c r="L124" i="12"/>
  <c r="M124" i="12"/>
  <c r="N124" i="12"/>
  <c r="O124" i="12"/>
  <c r="P124" i="12"/>
  <c r="C125" i="12"/>
  <c r="D125" i="12"/>
  <c r="E125" i="12"/>
  <c r="H125" i="12"/>
  <c r="I125" i="12"/>
  <c r="J125" i="12"/>
  <c r="K125" i="12"/>
  <c r="L125" i="12"/>
  <c r="M125" i="12"/>
  <c r="N125" i="12"/>
  <c r="O125" i="12"/>
  <c r="P125" i="12"/>
  <c r="C126" i="12"/>
  <c r="D126" i="12"/>
  <c r="E126" i="12"/>
  <c r="H126" i="12"/>
  <c r="I126" i="12"/>
  <c r="J126" i="12"/>
  <c r="K126" i="12"/>
  <c r="L126" i="12"/>
  <c r="M126" i="12"/>
  <c r="N126" i="12"/>
  <c r="O126" i="12"/>
  <c r="P126" i="12"/>
  <c r="C130" i="12"/>
  <c r="D130" i="12"/>
  <c r="E130" i="12"/>
  <c r="F130" i="12"/>
  <c r="G130" i="12"/>
  <c r="H130" i="12"/>
  <c r="I130" i="12"/>
  <c r="J130" i="12"/>
  <c r="K130" i="12"/>
  <c r="L130" i="12"/>
  <c r="M130" i="12"/>
  <c r="N130" i="12"/>
  <c r="O130" i="12"/>
  <c r="P130" i="12"/>
  <c r="E131" i="12"/>
  <c r="F131" i="12"/>
  <c r="H131" i="12"/>
  <c r="G3" i="8"/>
  <c r="H3" i="8"/>
  <c r="I3" i="8"/>
  <c r="J3" i="8"/>
  <c r="K3" i="8"/>
  <c r="C4" i="8"/>
  <c r="G4" i="8"/>
  <c r="H4" i="8"/>
  <c r="I4" i="8"/>
  <c r="J4" i="8"/>
  <c r="K4" i="8"/>
  <c r="G5" i="8"/>
  <c r="H5" i="8"/>
  <c r="I5" i="8"/>
  <c r="J5" i="8"/>
  <c r="K5" i="8"/>
  <c r="C6" i="8"/>
  <c r="H6" i="8"/>
  <c r="I6" i="8"/>
  <c r="K6" i="8"/>
  <c r="C7" i="8"/>
  <c r="H7" i="8"/>
  <c r="I7" i="8"/>
  <c r="K7" i="8"/>
  <c r="C8" i="8"/>
  <c r="C11" i="8"/>
  <c r="G11" i="8"/>
  <c r="H11" i="8"/>
  <c r="I11" i="8"/>
  <c r="J11" i="8"/>
  <c r="K11" i="8"/>
  <c r="C12" i="8"/>
  <c r="G12" i="8"/>
  <c r="H12" i="8"/>
  <c r="I12" i="8"/>
  <c r="J12" i="8"/>
  <c r="K12" i="8"/>
  <c r="C13" i="8"/>
  <c r="G13" i="8"/>
  <c r="H13" i="8"/>
  <c r="I13" i="8"/>
  <c r="J13" i="8"/>
  <c r="K13" i="8"/>
  <c r="C14" i="8"/>
  <c r="H14" i="8"/>
  <c r="I14" i="8"/>
  <c r="K14" i="8"/>
  <c r="C15" i="8"/>
  <c r="H15" i="8"/>
  <c r="I15" i="8"/>
  <c r="K15" i="8"/>
  <c r="C16" i="8"/>
  <c r="C17" i="8"/>
  <c r="K2" i="2"/>
  <c r="N2" i="2"/>
  <c r="AA2" i="2"/>
  <c r="AB2" i="2"/>
  <c r="Z3" i="2"/>
  <c r="AA3" i="2"/>
  <c r="N4" i="2"/>
  <c r="D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F8" i="2"/>
  <c r="AG8" i="2"/>
  <c r="D9" i="2"/>
  <c r="J9" i="2"/>
  <c r="K9" i="2"/>
  <c r="L9" i="2"/>
  <c r="M9" i="2"/>
  <c r="N9" i="2"/>
  <c r="O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F9" i="2"/>
  <c r="AG9" i="2"/>
  <c r="D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F10" i="2"/>
  <c r="AG10" i="2"/>
  <c r="D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F11" i="2"/>
  <c r="AG11" i="2"/>
  <c r="D12" i="2"/>
  <c r="J12" i="2"/>
  <c r="K12" i="2"/>
  <c r="L12" i="2"/>
  <c r="M12" i="2"/>
  <c r="N12" i="2"/>
  <c r="O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F12" i="2"/>
  <c r="AG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F13" i="2"/>
  <c r="AG13" i="2"/>
  <c r="AG14" i="2"/>
  <c r="AG15" i="2"/>
  <c r="J16" i="2"/>
  <c r="K16" i="2"/>
  <c r="L16" i="2"/>
  <c r="M16" i="2"/>
  <c r="N16" i="2"/>
  <c r="O16" i="2"/>
  <c r="P16" i="2"/>
  <c r="R16" i="2"/>
  <c r="S16" i="2"/>
  <c r="T16" i="2"/>
  <c r="U16" i="2"/>
  <c r="V16" i="2"/>
  <c r="W16" i="2"/>
  <c r="X16" i="2"/>
  <c r="Y16" i="2"/>
  <c r="Z16" i="2"/>
  <c r="AA16" i="2"/>
  <c r="AB16" i="2"/>
  <c r="AC16" i="2"/>
  <c r="AF16" i="2"/>
  <c r="AG16" i="2"/>
  <c r="J17" i="2"/>
  <c r="K17" i="2"/>
  <c r="L17" i="2"/>
  <c r="M17" i="2"/>
  <c r="N17" i="2"/>
  <c r="O17" i="2"/>
  <c r="P17" i="2"/>
  <c r="R17" i="2"/>
  <c r="S17" i="2"/>
  <c r="T17" i="2"/>
  <c r="U17" i="2"/>
  <c r="V17" i="2"/>
  <c r="W17" i="2"/>
  <c r="X17" i="2"/>
  <c r="Y17" i="2"/>
  <c r="Z17" i="2"/>
  <c r="AA17" i="2"/>
  <c r="AB17" i="2"/>
  <c r="AC17" i="2"/>
  <c r="AF17" i="2"/>
  <c r="AG17" i="2"/>
  <c r="J18" i="2"/>
  <c r="L18" i="2"/>
  <c r="M18" i="2"/>
  <c r="N18" i="2"/>
  <c r="O18" i="2"/>
  <c r="P18" i="2"/>
  <c r="R18" i="2"/>
  <c r="S18" i="2"/>
  <c r="T18" i="2"/>
  <c r="U18" i="2"/>
  <c r="V18" i="2"/>
  <c r="W18" i="2"/>
  <c r="X18" i="2"/>
  <c r="Y18" i="2"/>
  <c r="Z18" i="2"/>
  <c r="AA18" i="2"/>
  <c r="AB18" i="2"/>
  <c r="AC18" i="2"/>
  <c r="AF18" i="2"/>
  <c r="AG18" i="2"/>
  <c r="J19" i="2"/>
  <c r="L19" i="2"/>
  <c r="M19" i="2"/>
  <c r="N19" i="2"/>
  <c r="O19" i="2"/>
  <c r="P19" i="2"/>
  <c r="R19" i="2"/>
  <c r="S19" i="2"/>
  <c r="T19" i="2"/>
  <c r="U19" i="2"/>
  <c r="V19" i="2"/>
  <c r="W19" i="2"/>
  <c r="X19" i="2"/>
  <c r="Y19" i="2"/>
  <c r="Z19" i="2"/>
  <c r="AA19" i="2"/>
  <c r="AB19" i="2"/>
  <c r="AC19" i="2"/>
  <c r="AF19" i="2"/>
  <c r="AG19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F20" i="2"/>
  <c r="AG20" i="2"/>
  <c r="AG21" i="2"/>
  <c r="AG22" i="2"/>
  <c r="D23" i="2"/>
  <c r="F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F23" i="2"/>
  <c r="AG23" i="2"/>
  <c r="J24" i="2"/>
  <c r="K24" i="2"/>
  <c r="L24" i="2"/>
  <c r="M24" i="2"/>
  <c r="N24" i="2"/>
  <c r="O24" i="2"/>
  <c r="P24" i="2"/>
  <c r="R24" i="2"/>
  <c r="S24" i="2"/>
  <c r="T24" i="2"/>
  <c r="U24" i="2"/>
  <c r="V24" i="2"/>
  <c r="W24" i="2"/>
  <c r="X24" i="2"/>
  <c r="Y24" i="2"/>
  <c r="Z24" i="2"/>
  <c r="AA24" i="2"/>
  <c r="AB24" i="2"/>
  <c r="AC24" i="2"/>
  <c r="AF24" i="2"/>
  <c r="AG24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F25" i="2"/>
  <c r="AG25" i="2"/>
  <c r="AG26" i="2"/>
  <c r="AG27" i="2"/>
  <c r="J28" i="2"/>
  <c r="L28" i="2"/>
  <c r="M28" i="2"/>
  <c r="N28" i="2"/>
  <c r="O28" i="2"/>
  <c r="P28" i="2"/>
  <c r="R28" i="2"/>
  <c r="S28" i="2"/>
  <c r="T28" i="2"/>
  <c r="U28" i="2"/>
  <c r="V28" i="2"/>
  <c r="W28" i="2"/>
  <c r="X28" i="2"/>
  <c r="Y28" i="2"/>
  <c r="Z28" i="2"/>
  <c r="AA28" i="2"/>
  <c r="AB28" i="2"/>
  <c r="AC28" i="2"/>
  <c r="AF28" i="2"/>
  <c r="AG28" i="2"/>
  <c r="J29" i="2"/>
  <c r="L29" i="2"/>
  <c r="M29" i="2"/>
  <c r="N29" i="2"/>
  <c r="O29" i="2"/>
  <c r="P29" i="2"/>
  <c r="R29" i="2"/>
  <c r="S29" i="2"/>
  <c r="T29" i="2"/>
  <c r="U29" i="2"/>
  <c r="V29" i="2"/>
  <c r="W29" i="2"/>
  <c r="X29" i="2"/>
  <c r="Y29" i="2"/>
  <c r="Z29" i="2"/>
  <c r="AA29" i="2"/>
  <c r="AB29" i="2"/>
  <c r="AC29" i="2"/>
  <c r="AF29" i="2"/>
  <c r="AG29" i="2"/>
  <c r="J30" i="2"/>
  <c r="L30" i="2"/>
  <c r="N30" i="2"/>
  <c r="O30" i="2"/>
  <c r="AG30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F31" i="2"/>
  <c r="AG31" i="2"/>
  <c r="AG32" i="2"/>
  <c r="D33" i="2"/>
  <c r="J33" i="2"/>
  <c r="L33" i="2"/>
  <c r="M33" i="2"/>
  <c r="N33" i="2"/>
  <c r="O33" i="2"/>
  <c r="P33" i="2"/>
  <c r="R33" i="2"/>
  <c r="S33" i="2"/>
  <c r="T33" i="2"/>
  <c r="U33" i="2"/>
  <c r="V33" i="2"/>
  <c r="W33" i="2"/>
  <c r="X33" i="2"/>
  <c r="Y33" i="2"/>
  <c r="Z33" i="2"/>
  <c r="AA33" i="2"/>
  <c r="AB33" i="2"/>
  <c r="AC33" i="2"/>
  <c r="AF33" i="2"/>
  <c r="AG33" i="2"/>
  <c r="J34" i="2"/>
  <c r="K34" i="2"/>
  <c r="L34" i="2"/>
  <c r="M34" i="2"/>
  <c r="N34" i="2"/>
  <c r="O34" i="2"/>
  <c r="P34" i="2"/>
  <c r="R34" i="2"/>
  <c r="S34" i="2"/>
  <c r="T34" i="2"/>
  <c r="U34" i="2"/>
  <c r="V34" i="2"/>
  <c r="W34" i="2"/>
  <c r="X34" i="2"/>
  <c r="Y34" i="2"/>
  <c r="Z34" i="2"/>
  <c r="AA34" i="2"/>
  <c r="AB34" i="2"/>
  <c r="AC34" i="2"/>
  <c r="AF34" i="2"/>
  <c r="AG34" i="2"/>
  <c r="J35" i="2"/>
  <c r="L35" i="2"/>
  <c r="M35" i="2"/>
  <c r="N35" i="2"/>
  <c r="O35" i="2"/>
  <c r="P35" i="2"/>
  <c r="R35" i="2"/>
  <c r="S35" i="2"/>
  <c r="T35" i="2"/>
  <c r="U35" i="2"/>
  <c r="V35" i="2"/>
  <c r="W35" i="2"/>
  <c r="X35" i="2"/>
  <c r="Y35" i="2"/>
  <c r="Z35" i="2"/>
  <c r="AA35" i="2"/>
  <c r="AB35" i="2"/>
  <c r="AC35" i="2"/>
  <c r="AF35" i="2"/>
  <c r="AG35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F36" i="2"/>
  <c r="AG36" i="2"/>
  <c r="AG37" i="2"/>
  <c r="J38" i="2"/>
  <c r="L38" i="2"/>
  <c r="M38" i="2"/>
  <c r="N38" i="2"/>
  <c r="O38" i="2"/>
  <c r="P38" i="2"/>
  <c r="R38" i="2"/>
  <c r="S38" i="2"/>
  <c r="T38" i="2"/>
  <c r="U38" i="2"/>
  <c r="V38" i="2"/>
  <c r="W38" i="2"/>
  <c r="X38" i="2"/>
  <c r="Y38" i="2"/>
  <c r="Z38" i="2"/>
  <c r="AA38" i="2"/>
  <c r="AB38" i="2"/>
  <c r="AC38" i="2"/>
  <c r="AF38" i="2"/>
  <c r="AG38" i="2"/>
  <c r="J39" i="2"/>
  <c r="K39" i="2"/>
  <c r="L39" i="2"/>
  <c r="M39" i="2"/>
  <c r="N39" i="2"/>
  <c r="O39" i="2"/>
  <c r="P39" i="2"/>
  <c r="R39" i="2"/>
  <c r="S39" i="2"/>
  <c r="T39" i="2"/>
  <c r="U39" i="2"/>
  <c r="V39" i="2"/>
  <c r="W39" i="2"/>
  <c r="X39" i="2"/>
  <c r="Y39" i="2"/>
  <c r="Z39" i="2"/>
  <c r="AA39" i="2"/>
  <c r="AB39" i="2"/>
  <c r="AC39" i="2"/>
  <c r="AF39" i="2"/>
  <c r="AG39" i="2"/>
  <c r="J40" i="2"/>
  <c r="L40" i="2"/>
  <c r="M40" i="2"/>
  <c r="N40" i="2"/>
  <c r="O40" i="2"/>
  <c r="P40" i="2"/>
  <c r="R40" i="2"/>
  <c r="S40" i="2"/>
  <c r="T40" i="2"/>
  <c r="U40" i="2"/>
  <c r="V40" i="2"/>
  <c r="W40" i="2"/>
  <c r="X40" i="2"/>
  <c r="Y40" i="2"/>
  <c r="Z40" i="2"/>
  <c r="AA40" i="2"/>
  <c r="AB40" i="2"/>
  <c r="AC40" i="2"/>
  <c r="AF40" i="2"/>
  <c r="AG40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F41" i="2"/>
  <c r="AG41" i="2"/>
  <c r="AG42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F43" i="2"/>
  <c r="AG43" i="2"/>
  <c r="AG44" i="2"/>
  <c r="J45" i="2"/>
  <c r="L45" i="2"/>
  <c r="M45" i="2"/>
  <c r="N45" i="2"/>
  <c r="O45" i="2"/>
  <c r="P45" i="2"/>
  <c r="R45" i="2"/>
  <c r="S45" i="2"/>
  <c r="T45" i="2"/>
  <c r="U45" i="2"/>
  <c r="V45" i="2"/>
  <c r="W45" i="2"/>
  <c r="X45" i="2"/>
  <c r="Y45" i="2"/>
  <c r="Z45" i="2"/>
  <c r="AA45" i="2"/>
  <c r="AB45" i="2"/>
  <c r="AC45" i="2"/>
  <c r="AF45" i="2"/>
  <c r="AG45" i="2"/>
  <c r="E46" i="2"/>
  <c r="G46" i="2"/>
  <c r="H46" i="2"/>
  <c r="I46" i="2"/>
  <c r="J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F46" i="2"/>
  <c r="AG46" i="2"/>
  <c r="AG47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F48" i="2"/>
  <c r="AG48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F49" i="2"/>
  <c r="AG49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F50" i="2"/>
  <c r="AG50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F51" i="2"/>
  <c r="AG51" i="2"/>
  <c r="AG52" i="2"/>
  <c r="J53" i="2"/>
  <c r="L53" i="2"/>
  <c r="M53" i="2"/>
  <c r="N53" i="2"/>
  <c r="O53" i="2"/>
  <c r="P53" i="2"/>
  <c r="R53" i="2"/>
  <c r="S53" i="2"/>
  <c r="T53" i="2"/>
  <c r="U53" i="2"/>
  <c r="V53" i="2"/>
  <c r="W53" i="2"/>
  <c r="X53" i="2"/>
  <c r="Y53" i="2"/>
  <c r="Z53" i="2"/>
  <c r="AA53" i="2"/>
  <c r="AB53" i="2"/>
  <c r="AC53" i="2"/>
  <c r="AF53" i="2"/>
  <c r="AG53" i="2"/>
  <c r="AG54" i="2"/>
  <c r="AG55" i="2"/>
  <c r="R56" i="2"/>
  <c r="S56" i="2"/>
  <c r="T56" i="2"/>
  <c r="U56" i="2"/>
  <c r="V56" i="2"/>
  <c r="W56" i="2"/>
  <c r="X56" i="2"/>
  <c r="Y56" i="2"/>
  <c r="Z56" i="2"/>
  <c r="AA56" i="2"/>
  <c r="AB56" i="2"/>
  <c r="AC56" i="2"/>
  <c r="AG56" i="2"/>
  <c r="R57" i="2"/>
  <c r="S57" i="2"/>
  <c r="T57" i="2"/>
  <c r="U57" i="2"/>
  <c r="V57" i="2"/>
  <c r="W57" i="2"/>
  <c r="X57" i="2"/>
  <c r="Y57" i="2"/>
  <c r="Z57" i="2"/>
  <c r="AA57" i="2"/>
  <c r="AB57" i="2"/>
  <c r="AC57" i="2"/>
  <c r="AG57" i="2"/>
  <c r="R58" i="2"/>
  <c r="S58" i="2"/>
  <c r="T58" i="2"/>
  <c r="U58" i="2"/>
  <c r="V58" i="2"/>
  <c r="W58" i="2"/>
  <c r="X58" i="2"/>
  <c r="Y58" i="2"/>
  <c r="Z58" i="2"/>
  <c r="AA58" i="2"/>
  <c r="AB58" i="2"/>
  <c r="AC58" i="2"/>
  <c r="AG58" i="2"/>
  <c r="R59" i="2"/>
  <c r="S59" i="2"/>
  <c r="T59" i="2"/>
  <c r="U59" i="2"/>
  <c r="V59" i="2"/>
  <c r="W59" i="2"/>
  <c r="X59" i="2"/>
  <c r="Y59" i="2"/>
  <c r="Z59" i="2"/>
  <c r="AA59" i="2"/>
  <c r="AB59" i="2"/>
  <c r="AC59" i="2"/>
  <c r="AG59" i="2"/>
  <c r="AG60" i="2"/>
  <c r="R61" i="2"/>
  <c r="S61" i="2"/>
  <c r="T61" i="2"/>
  <c r="U61" i="2"/>
  <c r="V61" i="2"/>
  <c r="W61" i="2"/>
  <c r="X61" i="2"/>
  <c r="Y61" i="2"/>
  <c r="Z61" i="2"/>
  <c r="AA61" i="2"/>
  <c r="AB61" i="2"/>
  <c r="AC61" i="2"/>
  <c r="AG61" i="2"/>
  <c r="R62" i="2"/>
  <c r="S62" i="2"/>
  <c r="T62" i="2"/>
  <c r="U62" i="2"/>
  <c r="V62" i="2"/>
  <c r="W62" i="2"/>
  <c r="X62" i="2"/>
  <c r="Y62" i="2"/>
  <c r="Z62" i="2"/>
  <c r="AA62" i="2"/>
  <c r="AB62" i="2"/>
  <c r="AC62" i="2"/>
  <c r="AG62" i="2"/>
  <c r="R63" i="2"/>
  <c r="S63" i="2"/>
  <c r="T63" i="2"/>
  <c r="U63" i="2"/>
  <c r="V63" i="2"/>
  <c r="W63" i="2"/>
  <c r="X63" i="2"/>
  <c r="Y63" i="2"/>
  <c r="Z63" i="2"/>
  <c r="AA63" i="2"/>
  <c r="AB63" i="2"/>
  <c r="AC63" i="2"/>
  <c r="AG63" i="2"/>
  <c r="R64" i="2"/>
  <c r="S64" i="2"/>
  <c r="T64" i="2"/>
  <c r="U64" i="2"/>
  <c r="V64" i="2"/>
  <c r="W64" i="2"/>
  <c r="X64" i="2"/>
  <c r="Y64" i="2"/>
  <c r="Z64" i="2"/>
  <c r="AA64" i="2"/>
  <c r="AB64" i="2"/>
  <c r="AC64" i="2"/>
  <c r="AG64" i="2"/>
  <c r="AG65" i="2"/>
  <c r="D66" i="2"/>
  <c r="J66" i="2"/>
  <c r="L66" i="2"/>
  <c r="M66" i="2"/>
  <c r="N66" i="2"/>
  <c r="O66" i="2"/>
  <c r="P66" i="2"/>
  <c r="R66" i="2"/>
  <c r="S66" i="2"/>
  <c r="T66" i="2"/>
  <c r="U66" i="2"/>
  <c r="V66" i="2"/>
  <c r="W66" i="2"/>
  <c r="X66" i="2"/>
  <c r="Y66" i="2"/>
  <c r="Z66" i="2"/>
  <c r="AA66" i="2"/>
  <c r="AB66" i="2"/>
  <c r="AC66" i="2"/>
  <c r="AF66" i="2"/>
  <c r="AG66" i="2"/>
  <c r="J67" i="2"/>
  <c r="L67" i="2"/>
  <c r="M67" i="2"/>
  <c r="N67" i="2"/>
  <c r="O67" i="2"/>
  <c r="P67" i="2"/>
  <c r="R67" i="2"/>
  <c r="S67" i="2"/>
  <c r="T67" i="2"/>
  <c r="U67" i="2"/>
  <c r="V67" i="2"/>
  <c r="W67" i="2"/>
  <c r="X67" i="2"/>
  <c r="Y67" i="2"/>
  <c r="Z67" i="2"/>
  <c r="AA67" i="2"/>
  <c r="AB67" i="2"/>
  <c r="AC67" i="2"/>
  <c r="AF67" i="2"/>
  <c r="AG67" i="2"/>
  <c r="J68" i="2"/>
  <c r="L68" i="2"/>
  <c r="M68" i="2"/>
  <c r="N68" i="2"/>
  <c r="O68" i="2"/>
  <c r="P68" i="2"/>
  <c r="R68" i="2"/>
  <c r="S68" i="2"/>
  <c r="T68" i="2"/>
  <c r="U68" i="2"/>
  <c r="V68" i="2"/>
  <c r="W68" i="2"/>
  <c r="X68" i="2"/>
  <c r="Y68" i="2"/>
  <c r="Z68" i="2"/>
  <c r="AA68" i="2"/>
  <c r="AB68" i="2"/>
  <c r="AC68" i="2"/>
  <c r="AF68" i="2"/>
  <c r="AG68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F69" i="2"/>
  <c r="AG69" i="2"/>
  <c r="AG70" i="2"/>
  <c r="J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F71" i="2"/>
  <c r="AG71" i="2"/>
  <c r="J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F72" i="2"/>
  <c r="AG72" i="2"/>
  <c r="J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F73" i="2"/>
  <c r="AG73" i="2"/>
  <c r="D74" i="2"/>
  <c r="J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F74" i="2"/>
  <c r="AG74" i="2"/>
  <c r="D75" i="2"/>
  <c r="J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F75" i="2"/>
  <c r="AG75" i="2"/>
  <c r="D76" i="2"/>
  <c r="J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F76" i="2"/>
  <c r="AG76" i="2"/>
  <c r="J77" i="2"/>
  <c r="L77" i="2"/>
  <c r="M77" i="2"/>
  <c r="N77" i="2"/>
  <c r="O77" i="2"/>
  <c r="P77" i="2"/>
  <c r="R77" i="2"/>
  <c r="S77" i="2"/>
  <c r="T77" i="2"/>
  <c r="U77" i="2"/>
  <c r="V77" i="2"/>
  <c r="W77" i="2"/>
  <c r="X77" i="2"/>
  <c r="Y77" i="2"/>
  <c r="Z77" i="2"/>
  <c r="AA77" i="2"/>
  <c r="AB77" i="2"/>
  <c r="AC77" i="2"/>
  <c r="AF77" i="2"/>
  <c r="AG77" i="2"/>
  <c r="J78" i="2"/>
  <c r="L78" i="2"/>
  <c r="M78" i="2"/>
  <c r="N78" i="2"/>
  <c r="O78" i="2"/>
  <c r="P78" i="2"/>
  <c r="R78" i="2"/>
  <c r="S78" i="2"/>
  <c r="T78" i="2"/>
  <c r="U78" i="2"/>
  <c r="V78" i="2"/>
  <c r="W78" i="2"/>
  <c r="X78" i="2"/>
  <c r="Y78" i="2"/>
  <c r="Z78" i="2"/>
  <c r="AA78" i="2"/>
  <c r="AB78" i="2"/>
  <c r="AC78" i="2"/>
  <c r="AF78" i="2"/>
  <c r="AG78" i="2"/>
  <c r="L79" i="2"/>
  <c r="P79" i="2"/>
  <c r="AG79" i="2"/>
  <c r="L80" i="2"/>
  <c r="P80" i="2"/>
  <c r="AG80" i="2"/>
  <c r="D81" i="2"/>
  <c r="J81" i="2"/>
  <c r="L81" i="2"/>
  <c r="M81" i="2"/>
  <c r="N81" i="2"/>
  <c r="O81" i="2"/>
  <c r="P81" i="2"/>
  <c r="R81" i="2"/>
  <c r="S81" i="2"/>
  <c r="T81" i="2"/>
  <c r="U81" i="2"/>
  <c r="V81" i="2"/>
  <c r="W81" i="2"/>
  <c r="X81" i="2"/>
  <c r="Y81" i="2"/>
  <c r="Z81" i="2"/>
  <c r="AA81" i="2"/>
  <c r="AB81" i="2"/>
  <c r="AC81" i="2"/>
  <c r="AF81" i="2"/>
  <c r="AG81" i="2"/>
  <c r="J82" i="2"/>
  <c r="L82" i="2"/>
  <c r="M82" i="2"/>
  <c r="N82" i="2"/>
  <c r="O82" i="2"/>
  <c r="P82" i="2"/>
  <c r="R82" i="2"/>
  <c r="S82" i="2"/>
  <c r="T82" i="2"/>
  <c r="U82" i="2"/>
  <c r="V82" i="2"/>
  <c r="W82" i="2"/>
  <c r="X82" i="2"/>
  <c r="Y82" i="2"/>
  <c r="Z82" i="2"/>
  <c r="AA82" i="2"/>
  <c r="AB82" i="2"/>
  <c r="AC82" i="2"/>
  <c r="AF82" i="2"/>
  <c r="AG82" i="2"/>
  <c r="N83" i="2"/>
  <c r="U83" i="2"/>
  <c r="X83" i="2"/>
  <c r="Y83" i="2"/>
  <c r="Z83" i="2"/>
  <c r="AA83" i="2"/>
  <c r="AB83" i="2"/>
  <c r="AG83" i="2"/>
  <c r="N84" i="2"/>
  <c r="U84" i="2"/>
  <c r="X84" i="2"/>
  <c r="Y84" i="2"/>
  <c r="Z84" i="2"/>
  <c r="AA84" i="2"/>
  <c r="AB84" i="2"/>
  <c r="AG84" i="2"/>
  <c r="N85" i="2"/>
  <c r="U85" i="2"/>
  <c r="X85" i="2"/>
  <c r="Y85" i="2"/>
  <c r="Z85" i="2"/>
  <c r="AA85" i="2"/>
  <c r="AB85" i="2"/>
  <c r="AG85" i="2"/>
  <c r="J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F86" i="2"/>
  <c r="AG86" i="2"/>
  <c r="J87" i="2"/>
  <c r="L87" i="2"/>
  <c r="M87" i="2"/>
  <c r="N87" i="2"/>
  <c r="O87" i="2"/>
  <c r="P87" i="2"/>
  <c r="R87" i="2"/>
  <c r="S87" i="2"/>
  <c r="T87" i="2"/>
  <c r="U87" i="2"/>
  <c r="V87" i="2"/>
  <c r="W87" i="2"/>
  <c r="X87" i="2"/>
  <c r="Y87" i="2"/>
  <c r="Z87" i="2"/>
  <c r="AA87" i="2"/>
  <c r="AB87" i="2"/>
  <c r="AC87" i="2"/>
  <c r="AF87" i="2"/>
  <c r="AG87" i="2"/>
  <c r="D88" i="2"/>
  <c r="E88" i="2"/>
  <c r="F88" i="2"/>
  <c r="G88" i="2"/>
  <c r="H88" i="2"/>
  <c r="I88" i="2"/>
  <c r="J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F88" i="2"/>
  <c r="AG88" i="2"/>
  <c r="D89" i="2"/>
  <c r="E89" i="2"/>
  <c r="F89" i="2"/>
  <c r="G89" i="2"/>
  <c r="H89" i="2"/>
  <c r="I89" i="2"/>
  <c r="J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F89" i="2"/>
  <c r="AG89" i="2"/>
  <c r="D90" i="2"/>
  <c r="E90" i="2"/>
  <c r="F90" i="2"/>
  <c r="G90" i="2"/>
  <c r="H90" i="2"/>
  <c r="I90" i="2"/>
  <c r="J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F90" i="2"/>
  <c r="AG90" i="2"/>
  <c r="AG91" i="2"/>
  <c r="AG92" i="2"/>
  <c r="J93" i="2"/>
  <c r="L93" i="2"/>
  <c r="M93" i="2"/>
  <c r="N93" i="2"/>
  <c r="O93" i="2"/>
  <c r="P93" i="2"/>
  <c r="R93" i="2"/>
  <c r="S93" i="2"/>
  <c r="T93" i="2"/>
  <c r="U93" i="2"/>
  <c r="V93" i="2"/>
  <c r="W93" i="2"/>
  <c r="X93" i="2"/>
  <c r="Y93" i="2"/>
  <c r="Z93" i="2"/>
  <c r="AA93" i="2"/>
  <c r="AB93" i="2"/>
  <c r="AC93" i="2"/>
  <c r="AF93" i="2"/>
  <c r="AG93" i="2"/>
  <c r="J94" i="2"/>
  <c r="L94" i="2"/>
  <c r="M94" i="2"/>
  <c r="N94" i="2"/>
  <c r="O94" i="2"/>
  <c r="P94" i="2"/>
  <c r="R94" i="2"/>
  <c r="S94" i="2"/>
  <c r="T94" i="2"/>
  <c r="U94" i="2"/>
  <c r="V94" i="2"/>
  <c r="W94" i="2"/>
  <c r="X94" i="2"/>
  <c r="Y94" i="2"/>
  <c r="Z94" i="2"/>
  <c r="AA94" i="2"/>
  <c r="AB94" i="2"/>
  <c r="AC94" i="2"/>
  <c r="AF94" i="2"/>
  <c r="AG94" i="2"/>
  <c r="E95" i="2"/>
  <c r="G95" i="2"/>
  <c r="H95" i="2"/>
  <c r="I95" i="2"/>
  <c r="J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F95" i="2"/>
  <c r="AG95" i="2"/>
  <c r="AG96" i="2"/>
  <c r="J97" i="2"/>
  <c r="L97" i="2"/>
  <c r="M97" i="2"/>
  <c r="N97" i="2"/>
  <c r="O97" i="2"/>
  <c r="P97" i="2"/>
  <c r="R97" i="2"/>
  <c r="S97" i="2"/>
  <c r="T97" i="2"/>
  <c r="U97" i="2"/>
  <c r="V97" i="2"/>
  <c r="W97" i="2"/>
  <c r="X97" i="2"/>
  <c r="Y97" i="2"/>
  <c r="Z97" i="2"/>
  <c r="AA97" i="2"/>
  <c r="AB97" i="2"/>
  <c r="AC97" i="2"/>
  <c r="AF97" i="2"/>
  <c r="AG97" i="2"/>
  <c r="J98" i="2"/>
  <c r="L98" i="2"/>
  <c r="M98" i="2"/>
  <c r="N98" i="2"/>
  <c r="O98" i="2"/>
  <c r="P98" i="2"/>
  <c r="R98" i="2"/>
  <c r="S98" i="2"/>
  <c r="T98" i="2"/>
  <c r="U98" i="2"/>
  <c r="V98" i="2"/>
  <c r="W98" i="2"/>
  <c r="X98" i="2"/>
  <c r="Y98" i="2"/>
  <c r="Z98" i="2"/>
  <c r="AA98" i="2"/>
  <c r="AB98" i="2"/>
  <c r="AC98" i="2"/>
  <c r="AF98" i="2"/>
  <c r="AG98" i="2"/>
  <c r="D99" i="2"/>
  <c r="E99" i="2"/>
  <c r="G99" i="2"/>
  <c r="H99" i="2"/>
  <c r="I99" i="2"/>
  <c r="J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F99" i="2"/>
  <c r="AG99" i="2"/>
  <c r="AG100" i="2"/>
  <c r="J101" i="2"/>
  <c r="L101" i="2"/>
  <c r="M101" i="2"/>
  <c r="N101" i="2"/>
  <c r="O101" i="2"/>
  <c r="P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F101" i="2"/>
  <c r="AG101" i="2"/>
  <c r="J102" i="2"/>
  <c r="L102" i="2"/>
  <c r="M102" i="2"/>
  <c r="N102" i="2"/>
  <c r="O102" i="2"/>
  <c r="P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F102" i="2"/>
  <c r="AG102" i="2"/>
  <c r="E103" i="2"/>
  <c r="G103" i="2"/>
  <c r="H103" i="2"/>
  <c r="I103" i="2"/>
  <c r="J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F103" i="2"/>
  <c r="AG103" i="2"/>
  <c r="AG104" i="2"/>
  <c r="D105" i="2"/>
  <c r="E105" i="2"/>
  <c r="F105" i="2"/>
  <c r="G105" i="2"/>
  <c r="H105" i="2"/>
  <c r="I105" i="2"/>
  <c r="J105" i="2"/>
  <c r="L105" i="2"/>
  <c r="M105" i="2"/>
  <c r="N105" i="2"/>
  <c r="O105" i="2"/>
  <c r="P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F105" i="2"/>
  <c r="AG105" i="2"/>
  <c r="AG106" i="2"/>
  <c r="J107" i="2"/>
  <c r="L107" i="2"/>
  <c r="M107" i="2"/>
  <c r="N107" i="2"/>
  <c r="O107" i="2"/>
  <c r="P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F107" i="2"/>
  <c r="AG107" i="2"/>
  <c r="J108" i="2"/>
  <c r="L108" i="2"/>
  <c r="M108" i="2"/>
  <c r="N108" i="2"/>
  <c r="O108" i="2"/>
  <c r="P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F108" i="2"/>
  <c r="AG108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F109" i="2"/>
  <c r="AG109" i="2"/>
  <c r="AG110" i="2"/>
  <c r="D111" i="2"/>
  <c r="E111" i="2"/>
  <c r="F111" i="2"/>
  <c r="G111" i="2"/>
  <c r="H111" i="2"/>
  <c r="I111" i="2"/>
  <c r="J111" i="2"/>
  <c r="L111" i="2"/>
  <c r="M111" i="2"/>
  <c r="N111" i="2"/>
  <c r="O111" i="2"/>
  <c r="P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F111" i="2"/>
  <c r="AG111" i="2"/>
  <c r="D112" i="2"/>
  <c r="E112" i="2"/>
  <c r="F112" i="2"/>
  <c r="G112" i="2"/>
  <c r="H112" i="2"/>
  <c r="I112" i="2"/>
  <c r="J112" i="2"/>
  <c r="L112" i="2"/>
  <c r="M112" i="2"/>
  <c r="N112" i="2"/>
  <c r="O112" i="2"/>
  <c r="P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F112" i="2"/>
  <c r="AG112" i="2"/>
  <c r="D113" i="2"/>
  <c r="E113" i="2"/>
  <c r="F113" i="2"/>
  <c r="G113" i="2"/>
  <c r="H113" i="2"/>
  <c r="I113" i="2"/>
  <c r="J113" i="2"/>
  <c r="L113" i="2"/>
  <c r="M113" i="2"/>
  <c r="N113" i="2"/>
  <c r="O113" i="2"/>
  <c r="P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F113" i="2"/>
  <c r="AG113" i="2"/>
  <c r="D114" i="2"/>
  <c r="E114" i="2"/>
  <c r="F114" i="2"/>
  <c r="G114" i="2"/>
  <c r="H114" i="2"/>
  <c r="I114" i="2"/>
  <c r="J114" i="2"/>
  <c r="L114" i="2"/>
  <c r="M114" i="2"/>
  <c r="N114" i="2"/>
  <c r="O114" i="2"/>
  <c r="P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F114" i="2"/>
  <c r="AG114" i="2"/>
  <c r="AG115" i="2"/>
  <c r="J116" i="2"/>
  <c r="L116" i="2"/>
  <c r="M116" i="2"/>
  <c r="N116" i="2"/>
  <c r="O116" i="2"/>
  <c r="P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F116" i="2"/>
  <c r="AG116" i="2"/>
  <c r="J117" i="2"/>
  <c r="L117" i="2"/>
  <c r="M117" i="2"/>
  <c r="N117" i="2"/>
  <c r="O117" i="2"/>
  <c r="P117" i="2"/>
  <c r="AG117" i="2"/>
  <c r="J118" i="2"/>
  <c r="L118" i="2"/>
  <c r="M118" i="2"/>
  <c r="N118" i="2"/>
  <c r="O118" i="2"/>
  <c r="P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F118" i="2"/>
  <c r="AG118" i="2"/>
  <c r="D119" i="2"/>
  <c r="E119" i="2"/>
  <c r="F119" i="2"/>
  <c r="G119" i="2"/>
  <c r="H119" i="2"/>
  <c r="I119" i="2"/>
  <c r="J119" i="2"/>
  <c r="L119" i="2"/>
  <c r="M119" i="2"/>
  <c r="N119" i="2"/>
  <c r="O119" i="2"/>
  <c r="P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F119" i="2"/>
  <c r="AG119" i="2"/>
  <c r="AG120" i="2"/>
  <c r="D121" i="2"/>
  <c r="E121" i="2"/>
  <c r="F121" i="2"/>
  <c r="G121" i="2"/>
  <c r="H121" i="2"/>
  <c r="I121" i="2"/>
  <c r="J121" i="2"/>
  <c r="L121" i="2"/>
  <c r="M121" i="2"/>
  <c r="N121" i="2"/>
  <c r="O121" i="2"/>
  <c r="P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F121" i="2"/>
  <c r="AG121" i="2"/>
  <c r="D122" i="2"/>
  <c r="E122" i="2"/>
  <c r="F122" i="2"/>
  <c r="G122" i="2"/>
  <c r="H122" i="2"/>
  <c r="I122" i="2"/>
  <c r="J122" i="2"/>
  <c r="L122" i="2"/>
  <c r="M122" i="2"/>
  <c r="N122" i="2"/>
  <c r="O122" i="2"/>
  <c r="P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F122" i="2"/>
  <c r="AG122" i="2"/>
  <c r="D123" i="2"/>
  <c r="E123" i="2"/>
  <c r="F123" i="2"/>
  <c r="G123" i="2"/>
  <c r="H123" i="2"/>
  <c r="I123" i="2"/>
  <c r="J123" i="2"/>
  <c r="L123" i="2"/>
  <c r="M123" i="2"/>
  <c r="N123" i="2"/>
  <c r="O123" i="2"/>
  <c r="P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F123" i="2"/>
  <c r="AG123" i="2"/>
  <c r="D124" i="2"/>
  <c r="E124" i="2"/>
  <c r="F124" i="2"/>
  <c r="G124" i="2"/>
  <c r="H124" i="2"/>
  <c r="I124" i="2"/>
  <c r="J124" i="2"/>
  <c r="L124" i="2"/>
  <c r="M124" i="2"/>
  <c r="N124" i="2"/>
  <c r="O124" i="2"/>
  <c r="P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F124" i="2"/>
  <c r="AG124" i="2"/>
  <c r="AG125" i="2"/>
  <c r="O126" i="2"/>
  <c r="P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F126" i="2"/>
  <c r="AG126" i="2"/>
  <c r="O127" i="2"/>
  <c r="P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F127" i="2"/>
  <c r="AG127" i="2"/>
  <c r="G128" i="2"/>
  <c r="H128" i="2"/>
  <c r="I128" i="2"/>
  <c r="O128" i="2"/>
  <c r="P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F128" i="2"/>
  <c r="AG128" i="2"/>
  <c r="AG129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F130" i="2"/>
  <c r="AG130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F131" i="2"/>
  <c r="AG131" i="2"/>
  <c r="M135" i="2"/>
  <c r="Q135" i="2"/>
  <c r="AA135" i="2"/>
  <c r="M136" i="2"/>
  <c r="Q136" i="2"/>
  <c r="AA136" i="2"/>
  <c r="M137" i="2"/>
  <c r="Q137" i="2"/>
  <c r="AA137" i="2"/>
  <c r="M138" i="2"/>
  <c r="Q138" i="2"/>
  <c r="AA138" i="2"/>
  <c r="P1" i="11"/>
  <c r="S1" i="11"/>
  <c r="AN2" i="11"/>
  <c r="AY2" i="11"/>
  <c r="Z5" i="11"/>
  <c r="D9" i="11"/>
  <c r="E9" i="11"/>
  <c r="G9" i="11"/>
  <c r="H9" i="11"/>
  <c r="I9" i="11"/>
  <c r="J9" i="11"/>
  <c r="M9" i="11"/>
  <c r="N9" i="11"/>
  <c r="P9" i="11"/>
  <c r="Q9" i="11"/>
  <c r="S9" i="11"/>
  <c r="U9" i="11"/>
  <c r="V9" i="11"/>
  <c r="X9" i="11"/>
  <c r="Y9" i="11"/>
  <c r="Z9" i="11"/>
  <c r="AA9" i="11"/>
  <c r="AC9" i="11"/>
  <c r="AD9" i="11"/>
  <c r="AE9" i="11"/>
  <c r="AF9" i="11"/>
  <c r="AG9" i="11"/>
  <c r="AH9" i="11"/>
  <c r="AI9" i="11"/>
  <c r="AJ9" i="11"/>
  <c r="AK9" i="11"/>
  <c r="AL9" i="11"/>
  <c r="AN9" i="11"/>
  <c r="AO9" i="11"/>
  <c r="AP9" i="11"/>
  <c r="AQ9" i="11"/>
  <c r="AR9" i="11"/>
  <c r="AS9" i="11"/>
  <c r="AT9" i="11"/>
  <c r="AU9" i="11"/>
  <c r="AV9" i="11"/>
  <c r="AW9" i="11"/>
  <c r="AY9" i="11"/>
  <c r="AZ9" i="11"/>
  <c r="BA9" i="11"/>
  <c r="BB9" i="11"/>
  <c r="BC9" i="11"/>
  <c r="BD9" i="11"/>
  <c r="BE9" i="11"/>
  <c r="BF9" i="11"/>
  <c r="BG9" i="11"/>
  <c r="BH9" i="11"/>
  <c r="BJ9" i="11"/>
  <c r="BK9" i="11"/>
  <c r="BL9" i="11"/>
  <c r="BM9" i="11"/>
  <c r="BN9" i="11"/>
  <c r="BO9" i="11"/>
  <c r="BP9" i="11"/>
  <c r="BQ9" i="11"/>
  <c r="BR9" i="11"/>
  <c r="BS9" i="11"/>
  <c r="BU9" i="11"/>
  <c r="BV9" i="11"/>
  <c r="BW9" i="11"/>
  <c r="BX9" i="11"/>
  <c r="BY9" i="11"/>
  <c r="BZ9" i="11"/>
  <c r="CA9" i="11"/>
  <c r="CB9" i="11"/>
  <c r="CC9" i="11"/>
  <c r="CD9" i="11"/>
  <c r="E10" i="11"/>
  <c r="H10" i="11"/>
  <c r="I10" i="11"/>
  <c r="J10" i="11"/>
  <c r="M10" i="11"/>
  <c r="N10" i="11"/>
  <c r="P10" i="11"/>
  <c r="Q10" i="11"/>
  <c r="U10" i="11"/>
  <c r="V10" i="11"/>
  <c r="X10" i="11"/>
  <c r="Y10" i="11"/>
  <c r="Z10" i="11"/>
  <c r="AA10" i="11"/>
  <c r="AC10" i="11"/>
  <c r="AF10" i="11"/>
  <c r="AG10" i="11"/>
  <c r="AI10" i="11"/>
  <c r="AJ10" i="11"/>
  <c r="AK10" i="11"/>
  <c r="AN10" i="11"/>
  <c r="AQ10" i="11"/>
  <c r="AR10" i="11"/>
  <c r="AT10" i="11"/>
  <c r="AU10" i="11"/>
  <c r="AV10" i="11"/>
  <c r="AY10" i="11"/>
  <c r="BB10" i="11"/>
  <c r="BC10" i="11"/>
  <c r="BE10" i="11"/>
  <c r="BF10" i="11"/>
  <c r="BG10" i="11"/>
  <c r="BJ10" i="11"/>
  <c r="BM10" i="11"/>
  <c r="BN10" i="11"/>
  <c r="BP10" i="11"/>
  <c r="BQ10" i="11"/>
  <c r="BR10" i="11"/>
  <c r="BU10" i="11"/>
  <c r="BX10" i="11"/>
  <c r="BY10" i="11"/>
  <c r="CA10" i="11"/>
  <c r="CB10" i="11"/>
  <c r="CC10" i="11"/>
  <c r="D11" i="11"/>
  <c r="E11" i="11"/>
  <c r="G11" i="11"/>
  <c r="H11" i="11"/>
  <c r="I11" i="11"/>
  <c r="J11" i="11"/>
  <c r="M11" i="11"/>
  <c r="N11" i="11"/>
  <c r="P11" i="11"/>
  <c r="Q11" i="11"/>
  <c r="S11" i="11"/>
  <c r="U11" i="11"/>
  <c r="V11" i="11"/>
  <c r="X11" i="11"/>
  <c r="Y11" i="11"/>
  <c r="Z11" i="11"/>
  <c r="AA11" i="11"/>
  <c r="AC11" i="11"/>
  <c r="AD11" i="11"/>
  <c r="AE11" i="11"/>
  <c r="AF11" i="11"/>
  <c r="AG11" i="11"/>
  <c r="AH11" i="11"/>
  <c r="AI11" i="11"/>
  <c r="AJ11" i="11"/>
  <c r="AK11" i="11"/>
  <c r="AL11" i="11"/>
  <c r="AN11" i="11"/>
  <c r="AO11" i="11"/>
  <c r="AP11" i="11"/>
  <c r="AQ11" i="11"/>
  <c r="AR11" i="11"/>
  <c r="AS11" i="11"/>
  <c r="AT11" i="11"/>
  <c r="AU11" i="11"/>
  <c r="AV11" i="11"/>
  <c r="AW11" i="11"/>
  <c r="AY11" i="11"/>
  <c r="AZ11" i="11"/>
  <c r="BA11" i="11"/>
  <c r="BB11" i="11"/>
  <c r="BC11" i="11"/>
  <c r="BD11" i="11"/>
  <c r="BE11" i="11"/>
  <c r="BF11" i="11"/>
  <c r="BG11" i="11"/>
  <c r="BH11" i="11"/>
  <c r="BJ11" i="11"/>
  <c r="BK11" i="11"/>
  <c r="BL11" i="11"/>
  <c r="BM11" i="11"/>
  <c r="BN11" i="11"/>
  <c r="BO11" i="11"/>
  <c r="BP11" i="11"/>
  <c r="BQ11" i="11"/>
  <c r="BR11" i="11"/>
  <c r="BS11" i="11"/>
  <c r="BU11" i="11"/>
  <c r="BV11" i="11"/>
  <c r="BW11" i="11"/>
  <c r="BX11" i="11"/>
  <c r="BY11" i="11"/>
  <c r="BZ11" i="11"/>
  <c r="CA11" i="11"/>
  <c r="CB11" i="11"/>
  <c r="CC11" i="11"/>
  <c r="CD11" i="11"/>
  <c r="D12" i="11"/>
  <c r="E12" i="11"/>
  <c r="G12" i="11"/>
  <c r="H12" i="11"/>
  <c r="I12" i="11"/>
  <c r="J12" i="11"/>
  <c r="M12" i="11"/>
  <c r="N12" i="11"/>
  <c r="P12" i="11"/>
  <c r="Q12" i="11"/>
  <c r="S12" i="11"/>
  <c r="U12" i="11"/>
  <c r="V12" i="11"/>
  <c r="X12" i="11"/>
  <c r="Y12" i="11"/>
  <c r="Z12" i="11"/>
  <c r="AA12" i="11"/>
  <c r="AC12" i="11"/>
  <c r="AD12" i="11"/>
  <c r="AE12" i="11"/>
  <c r="AF12" i="11"/>
  <c r="AG12" i="11"/>
  <c r="AH12" i="11"/>
  <c r="AI12" i="11"/>
  <c r="AJ12" i="11"/>
  <c r="AK12" i="11"/>
  <c r="AL12" i="11"/>
  <c r="AN12" i="11"/>
  <c r="AO12" i="11"/>
  <c r="AP12" i="11"/>
  <c r="AQ12" i="11"/>
  <c r="AR12" i="11"/>
  <c r="AS12" i="11"/>
  <c r="AT12" i="11"/>
  <c r="AU12" i="11"/>
  <c r="AV12" i="11"/>
  <c r="AW12" i="11"/>
  <c r="AY12" i="11"/>
  <c r="AZ12" i="11"/>
  <c r="BA12" i="11"/>
  <c r="BB12" i="11"/>
  <c r="BC12" i="11"/>
  <c r="BD12" i="11"/>
  <c r="BE12" i="11"/>
  <c r="BF12" i="11"/>
  <c r="BG12" i="11"/>
  <c r="BH12" i="11"/>
  <c r="BJ12" i="11"/>
  <c r="BK12" i="11"/>
  <c r="BL12" i="11"/>
  <c r="BM12" i="11"/>
  <c r="BN12" i="11"/>
  <c r="BO12" i="11"/>
  <c r="BP12" i="11"/>
  <c r="BQ12" i="11"/>
  <c r="BR12" i="11"/>
  <c r="BS12" i="11"/>
  <c r="BU12" i="11"/>
  <c r="BV12" i="11"/>
  <c r="BW12" i="11"/>
  <c r="BX12" i="11"/>
  <c r="BY12" i="11"/>
  <c r="BZ12" i="11"/>
  <c r="CA12" i="11"/>
  <c r="CB12" i="11"/>
  <c r="CC12" i="11"/>
  <c r="CD12" i="11"/>
  <c r="E13" i="11"/>
  <c r="H13" i="11"/>
  <c r="I13" i="11"/>
  <c r="J13" i="11"/>
  <c r="M13" i="11"/>
  <c r="N13" i="11"/>
  <c r="P13" i="11"/>
  <c r="Q13" i="11"/>
  <c r="U13" i="11"/>
  <c r="V13" i="11"/>
  <c r="X13" i="11"/>
  <c r="Y13" i="11"/>
  <c r="Z13" i="11"/>
  <c r="AA13" i="11"/>
  <c r="AC13" i="11"/>
  <c r="AD13" i="11"/>
  <c r="AF13" i="11"/>
  <c r="AG13" i="11"/>
  <c r="AI13" i="11"/>
  <c r="AJ13" i="11"/>
  <c r="AK13" i="11"/>
  <c r="AN13" i="11"/>
  <c r="AO13" i="11"/>
  <c r="AQ13" i="11"/>
  <c r="AR13" i="11"/>
  <c r="AT13" i="11"/>
  <c r="AU13" i="11"/>
  <c r="AV13" i="11"/>
  <c r="AY13" i="11"/>
  <c r="AZ13" i="11"/>
  <c r="BB13" i="11"/>
  <c r="BC13" i="11"/>
  <c r="BE13" i="11"/>
  <c r="BF13" i="11"/>
  <c r="BG13" i="11"/>
  <c r="BJ13" i="11"/>
  <c r="BK13" i="11"/>
  <c r="BM13" i="11"/>
  <c r="BN13" i="11"/>
  <c r="BP13" i="11"/>
  <c r="BQ13" i="11"/>
  <c r="BR13" i="11"/>
  <c r="BU13" i="11"/>
  <c r="BV13" i="11"/>
  <c r="BX13" i="11"/>
  <c r="BY13" i="11"/>
  <c r="CA13" i="11"/>
  <c r="CB13" i="11"/>
  <c r="CC13" i="11"/>
  <c r="D14" i="11"/>
  <c r="E14" i="11"/>
  <c r="H14" i="11"/>
  <c r="I14" i="11"/>
  <c r="J14" i="11"/>
  <c r="L14" i="11"/>
  <c r="M14" i="11"/>
  <c r="N14" i="11"/>
  <c r="Q14" i="11"/>
  <c r="U14" i="11"/>
  <c r="V14" i="11"/>
  <c r="X14" i="11"/>
  <c r="Y14" i="11"/>
  <c r="Z14" i="11"/>
  <c r="AA14" i="11"/>
  <c r="AC14" i="11"/>
  <c r="AD14" i="11"/>
  <c r="AE14" i="11"/>
  <c r="AF14" i="11"/>
  <c r="AG14" i="11"/>
  <c r="AH14" i="11"/>
  <c r="AI14" i="11"/>
  <c r="AJ14" i="11"/>
  <c r="AK14" i="11"/>
  <c r="AL14" i="11"/>
  <c r="AN14" i="11"/>
  <c r="AO14" i="11"/>
  <c r="AP14" i="11"/>
  <c r="AQ14" i="11"/>
  <c r="AR14" i="11"/>
  <c r="AS14" i="11"/>
  <c r="AT14" i="11"/>
  <c r="AU14" i="11"/>
  <c r="AV14" i="11"/>
  <c r="AW14" i="11"/>
  <c r="AY14" i="11"/>
  <c r="AZ14" i="11"/>
  <c r="BA14" i="11"/>
  <c r="BB14" i="11"/>
  <c r="BC14" i="11"/>
  <c r="BD14" i="11"/>
  <c r="BE14" i="11"/>
  <c r="BF14" i="11"/>
  <c r="BG14" i="11"/>
  <c r="BH14" i="11"/>
  <c r="BJ14" i="11"/>
  <c r="BK14" i="11"/>
  <c r="BL14" i="11"/>
  <c r="BM14" i="11"/>
  <c r="BN14" i="11"/>
  <c r="BO14" i="11"/>
  <c r="BP14" i="11"/>
  <c r="BQ14" i="11"/>
  <c r="BR14" i="11"/>
  <c r="BS14" i="11"/>
  <c r="BU14" i="11"/>
  <c r="BV14" i="11"/>
  <c r="BW14" i="11"/>
  <c r="BX14" i="11"/>
  <c r="BY14" i="11"/>
  <c r="BZ14" i="11"/>
  <c r="CA14" i="11"/>
  <c r="CB14" i="11"/>
  <c r="CC14" i="11"/>
  <c r="CD14" i="11"/>
  <c r="AL15" i="11"/>
  <c r="D17" i="11"/>
  <c r="E17" i="11"/>
  <c r="G17" i="11"/>
  <c r="H17" i="11"/>
  <c r="I17" i="11"/>
  <c r="J17" i="11"/>
  <c r="M17" i="11"/>
  <c r="N17" i="11"/>
  <c r="P17" i="11"/>
  <c r="Q17" i="11"/>
  <c r="S17" i="11"/>
  <c r="U17" i="11"/>
  <c r="V17" i="11"/>
  <c r="X17" i="11"/>
  <c r="Y17" i="11"/>
  <c r="Z17" i="11"/>
  <c r="AA17" i="11"/>
  <c r="AC17" i="11"/>
  <c r="AD17" i="11"/>
  <c r="AE17" i="11"/>
  <c r="AF17" i="11"/>
  <c r="AG17" i="11"/>
  <c r="AH17" i="11"/>
  <c r="AI17" i="11"/>
  <c r="AJ17" i="11"/>
  <c r="AK17" i="11"/>
  <c r="AL17" i="11"/>
  <c r="AN17" i="11"/>
  <c r="AO17" i="11"/>
  <c r="AP17" i="11"/>
  <c r="AQ17" i="11"/>
  <c r="AR17" i="11"/>
  <c r="AS17" i="11"/>
  <c r="AT17" i="11"/>
  <c r="AU17" i="11"/>
  <c r="AV17" i="11"/>
  <c r="AW17" i="11"/>
  <c r="AY17" i="11"/>
  <c r="AZ17" i="11"/>
  <c r="BA17" i="11"/>
  <c r="BB17" i="11"/>
  <c r="BC17" i="11"/>
  <c r="BD17" i="11"/>
  <c r="BE17" i="11"/>
  <c r="BF17" i="11"/>
  <c r="BG17" i="11"/>
  <c r="BH17" i="11"/>
  <c r="BJ17" i="11"/>
  <c r="BK17" i="11"/>
  <c r="BL17" i="11"/>
  <c r="BM17" i="11"/>
  <c r="BN17" i="11"/>
  <c r="BO17" i="11"/>
  <c r="BP17" i="11"/>
  <c r="BQ17" i="11"/>
  <c r="BR17" i="11"/>
  <c r="BS17" i="11"/>
  <c r="BU17" i="11"/>
  <c r="BV17" i="11"/>
  <c r="BW17" i="11"/>
  <c r="BX17" i="11"/>
  <c r="BY17" i="11"/>
  <c r="BZ17" i="11"/>
  <c r="CA17" i="11"/>
  <c r="CB17" i="11"/>
  <c r="CC17" i="11"/>
  <c r="CD17" i="11"/>
  <c r="D18" i="11"/>
  <c r="E18" i="11"/>
  <c r="G18" i="11"/>
  <c r="H18" i="11"/>
  <c r="I18" i="11"/>
  <c r="J18" i="11"/>
  <c r="M18" i="11"/>
  <c r="N18" i="11"/>
  <c r="P18" i="11"/>
  <c r="Q18" i="11"/>
  <c r="S18" i="11"/>
  <c r="U18" i="11"/>
  <c r="V18" i="11"/>
  <c r="X18" i="11"/>
  <c r="Y18" i="11"/>
  <c r="Z18" i="11"/>
  <c r="AA18" i="11"/>
  <c r="AC18" i="11"/>
  <c r="AD18" i="11"/>
  <c r="AE18" i="11"/>
  <c r="AF18" i="11"/>
  <c r="AG18" i="11"/>
  <c r="AH18" i="11"/>
  <c r="AI18" i="11"/>
  <c r="AJ18" i="11"/>
  <c r="AK18" i="11"/>
  <c r="AL18" i="11"/>
  <c r="AN18" i="11"/>
  <c r="AO18" i="11"/>
  <c r="AP18" i="11"/>
  <c r="AQ18" i="11"/>
  <c r="AR18" i="11"/>
  <c r="AS18" i="11"/>
  <c r="AT18" i="11"/>
  <c r="AU18" i="11"/>
  <c r="AV18" i="11"/>
  <c r="AW18" i="11"/>
  <c r="AY18" i="11"/>
  <c r="AZ18" i="11"/>
  <c r="BA18" i="11"/>
  <c r="BB18" i="11"/>
  <c r="BC18" i="11"/>
  <c r="BD18" i="11"/>
  <c r="BE18" i="11"/>
  <c r="BF18" i="11"/>
  <c r="BG18" i="11"/>
  <c r="BH18" i="11"/>
  <c r="BJ18" i="11"/>
  <c r="BK18" i="11"/>
  <c r="BL18" i="11"/>
  <c r="BM18" i="11"/>
  <c r="BN18" i="11"/>
  <c r="BO18" i="11"/>
  <c r="BP18" i="11"/>
  <c r="BQ18" i="11"/>
  <c r="BR18" i="11"/>
  <c r="BS18" i="11"/>
  <c r="BU18" i="11"/>
  <c r="BV18" i="11"/>
  <c r="BW18" i="11"/>
  <c r="BX18" i="11"/>
  <c r="BY18" i="11"/>
  <c r="BZ18" i="11"/>
  <c r="CA18" i="11"/>
  <c r="CB18" i="11"/>
  <c r="CC18" i="11"/>
  <c r="CD18" i="11"/>
  <c r="E19" i="11"/>
  <c r="G19" i="11"/>
  <c r="H19" i="11"/>
  <c r="I19" i="11"/>
  <c r="J19" i="11"/>
  <c r="M19" i="11"/>
  <c r="N19" i="11"/>
  <c r="P19" i="11"/>
  <c r="Q19" i="11"/>
  <c r="S19" i="11"/>
  <c r="U19" i="11"/>
  <c r="V19" i="11"/>
  <c r="X19" i="11"/>
  <c r="Y19" i="11"/>
  <c r="Z19" i="11"/>
  <c r="AA19" i="11"/>
  <c r="AC19" i="11"/>
  <c r="AD19" i="11"/>
  <c r="AE19" i="11"/>
  <c r="AF19" i="11"/>
  <c r="AG19" i="11"/>
  <c r="AH19" i="11"/>
  <c r="AI19" i="11"/>
  <c r="AJ19" i="11"/>
  <c r="AK19" i="11"/>
  <c r="AL19" i="11"/>
  <c r="AN19" i="11"/>
  <c r="AO19" i="11"/>
  <c r="AP19" i="11"/>
  <c r="AQ19" i="11"/>
  <c r="AR19" i="11"/>
  <c r="AS19" i="11"/>
  <c r="AT19" i="11"/>
  <c r="AU19" i="11"/>
  <c r="AV19" i="11"/>
  <c r="AW19" i="11"/>
  <c r="AY19" i="11"/>
  <c r="AZ19" i="11"/>
  <c r="BA19" i="11"/>
  <c r="BB19" i="11"/>
  <c r="BC19" i="11"/>
  <c r="BD19" i="11"/>
  <c r="BE19" i="11"/>
  <c r="BF19" i="11"/>
  <c r="BG19" i="11"/>
  <c r="BH19" i="11"/>
  <c r="BJ19" i="11"/>
  <c r="BK19" i="11"/>
  <c r="BL19" i="11"/>
  <c r="BM19" i="11"/>
  <c r="BN19" i="11"/>
  <c r="BO19" i="11"/>
  <c r="BP19" i="11"/>
  <c r="BQ19" i="11"/>
  <c r="BR19" i="11"/>
  <c r="BS19" i="11"/>
  <c r="BU19" i="11"/>
  <c r="BV19" i="11"/>
  <c r="BW19" i="11"/>
  <c r="BX19" i="11"/>
  <c r="BY19" i="11"/>
  <c r="BZ19" i="11"/>
  <c r="CA19" i="11"/>
  <c r="CB19" i="11"/>
  <c r="CC19" i="11"/>
  <c r="CD19" i="11"/>
  <c r="D20" i="11"/>
  <c r="E20" i="11"/>
  <c r="G20" i="11"/>
  <c r="H20" i="11"/>
  <c r="I20" i="11"/>
  <c r="J20" i="11"/>
  <c r="M20" i="11"/>
  <c r="N20" i="11"/>
  <c r="P20" i="11"/>
  <c r="Q20" i="11"/>
  <c r="S20" i="11"/>
  <c r="U20" i="11"/>
  <c r="V20" i="11"/>
  <c r="X20" i="11"/>
  <c r="Y20" i="11"/>
  <c r="Z20" i="11"/>
  <c r="AA20" i="11"/>
  <c r="AC20" i="11"/>
  <c r="AD20" i="11"/>
  <c r="AE20" i="11"/>
  <c r="AF20" i="11"/>
  <c r="AG20" i="11"/>
  <c r="AH20" i="11"/>
  <c r="AI20" i="11"/>
  <c r="AJ20" i="11"/>
  <c r="AK20" i="11"/>
  <c r="AL20" i="11"/>
  <c r="AN20" i="11"/>
  <c r="AO20" i="11"/>
  <c r="AP20" i="11"/>
  <c r="AQ20" i="11"/>
  <c r="AR20" i="11"/>
  <c r="AS20" i="11"/>
  <c r="AT20" i="11"/>
  <c r="AU20" i="11"/>
  <c r="AV20" i="11"/>
  <c r="AW20" i="11"/>
  <c r="AY20" i="11"/>
  <c r="AZ20" i="11"/>
  <c r="BA20" i="11"/>
  <c r="BB20" i="11"/>
  <c r="BC20" i="11"/>
  <c r="BD20" i="11"/>
  <c r="BE20" i="11"/>
  <c r="BF20" i="11"/>
  <c r="BG20" i="11"/>
  <c r="BH20" i="11"/>
  <c r="BJ20" i="11"/>
  <c r="BK20" i="11"/>
  <c r="BL20" i="11"/>
  <c r="BM20" i="11"/>
  <c r="BN20" i="11"/>
  <c r="BO20" i="11"/>
  <c r="BP20" i="11"/>
  <c r="BQ20" i="11"/>
  <c r="BR20" i="11"/>
  <c r="BS20" i="11"/>
  <c r="BU20" i="11"/>
  <c r="BV20" i="11"/>
  <c r="BW20" i="11"/>
  <c r="BX20" i="11"/>
  <c r="BY20" i="11"/>
  <c r="BZ20" i="11"/>
  <c r="CA20" i="11"/>
  <c r="CB20" i="11"/>
  <c r="CC20" i="11"/>
  <c r="CD20" i="11"/>
  <c r="D21" i="11"/>
  <c r="E21" i="11"/>
  <c r="H21" i="11"/>
  <c r="I21" i="11"/>
  <c r="J21" i="11"/>
  <c r="L21" i="11"/>
  <c r="M21" i="11"/>
  <c r="N21" i="11"/>
  <c r="Q21" i="11"/>
  <c r="U21" i="11"/>
  <c r="V21" i="11"/>
  <c r="X21" i="11"/>
  <c r="Y21" i="11"/>
  <c r="Z21" i="11"/>
  <c r="AA21" i="11"/>
  <c r="AC21" i="11"/>
  <c r="AD21" i="11"/>
  <c r="AE21" i="11"/>
  <c r="AF21" i="11"/>
  <c r="AG21" i="11"/>
  <c r="AH21" i="11"/>
  <c r="AI21" i="11"/>
  <c r="AJ21" i="11"/>
  <c r="AK21" i="11"/>
  <c r="AL21" i="11"/>
  <c r="AN21" i="11"/>
  <c r="AO21" i="11"/>
  <c r="AP21" i="11"/>
  <c r="AQ21" i="11"/>
  <c r="AR21" i="11"/>
  <c r="AS21" i="11"/>
  <c r="AT21" i="11"/>
  <c r="AU21" i="11"/>
  <c r="AV21" i="11"/>
  <c r="AW21" i="11"/>
  <c r="AY21" i="11"/>
  <c r="AZ21" i="11"/>
  <c r="BA21" i="11"/>
  <c r="BB21" i="11"/>
  <c r="BC21" i="11"/>
  <c r="BD21" i="11"/>
  <c r="BE21" i="11"/>
  <c r="BF21" i="11"/>
  <c r="BG21" i="11"/>
  <c r="BH21" i="11"/>
  <c r="BJ21" i="11"/>
  <c r="BK21" i="11"/>
  <c r="BL21" i="11"/>
  <c r="BM21" i="11"/>
  <c r="BN21" i="11"/>
  <c r="BO21" i="11"/>
  <c r="BP21" i="11"/>
  <c r="BQ21" i="11"/>
  <c r="BR21" i="11"/>
  <c r="BS21" i="11"/>
  <c r="BU21" i="11"/>
  <c r="BV21" i="11"/>
  <c r="BW21" i="11"/>
  <c r="BX21" i="11"/>
  <c r="BY21" i="11"/>
  <c r="BZ21" i="11"/>
  <c r="CA21" i="11"/>
  <c r="CB21" i="11"/>
  <c r="CC21" i="11"/>
  <c r="CD21" i="11"/>
  <c r="D24" i="11"/>
  <c r="E24" i="11"/>
  <c r="G24" i="11"/>
  <c r="H24" i="11"/>
  <c r="I24" i="11"/>
  <c r="J24" i="11"/>
  <c r="M24" i="11"/>
  <c r="N24" i="11"/>
  <c r="P24" i="11"/>
  <c r="Q24" i="11"/>
  <c r="S24" i="11"/>
  <c r="U24" i="11"/>
  <c r="V24" i="11"/>
  <c r="X24" i="11"/>
  <c r="Y24" i="11"/>
  <c r="Z24" i="11"/>
  <c r="AA24" i="11"/>
  <c r="AC24" i="11"/>
  <c r="AD24" i="11"/>
  <c r="AE24" i="11"/>
  <c r="AF24" i="11"/>
  <c r="AG24" i="11"/>
  <c r="AH24" i="11"/>
  <c r="AI24" i="11"/>
  <c r="AJ24" i="11"/>
  <c r="AK24" i="11"/>
  <c r="AL24" i="11"/>
  <c r="AN24" i="11"/>
  <c r="AO24" i="11"/>
  <c r="AP24" i="11"/>
  <c r="AQ24" i="11"/>
  <c r="AR24" i="11"/>
  <c r="AS24" i="11"/>
  <c r="AT24" i="11"/>
  <c r="AU24" i="11"/>
  <c r="AV24" i="11"/>
  <c r="AW24" i="11"/>
  <c r="AY24" i="11"/>
  <c r="AZ24" i="11"/>
  <c r="BA24" i="11"/>
  <c r="BB24" i="11"/>
  <c r="BC24" i="11"/>
  <c r="BD24" i="11"/>
  <c r="BE24" i="11"/>
  <c r="BF24" i="11"/>
  <c r="BG24" i="11"/>
  <c r="BH24" i="11"/>
  <c r="BJ24" i="11"/>
  <c r="BK24" i="11"/>
  <c r="BL24" i="11"/>
  <c r="BM24" i="11"/>
  <c r="BN24" i="11"/>
  <c r="BO24" i="11"/>
  <c r="BP24" i="11"/>
  <c r="BQ24" i="11"/>
  <c r="BR24" i="11"/>
  <c r="BS24" i="11"/>
  <c r="BU24" i="11"/>
  <c r="BV24" i="11"/>
  <c r="BW24" i="11"/>
  <c r="BX24" i="11"/>
  <c r="BY24" i="11"/>
  <c r="BZ24" i="11"/>
  <c r="CA24" i="11"/>
  <c r="CB24" i="11"/>
  <c r="CC24" i="11"/>
  <c r="CD24" i="11"/>
  <c r="D25" i="11"/>
  <c r="E25" i="11"/>
  <c r="G25" i="11"/>
  <c r="H25" i="11"/>
  <c r="I25" i="11"/>
  <c r="J25" i="11"/>
  <c r="M25" i="11"/>
  <c r="N25" i="11"/>
  <c r="P25" i="11"/>
  <c r="Q25" i="11"/>
  <c r="S25" i="11"/>
  <c r="U25" i="11"/>
  <c r="V25" i="11"/>
  <c r="X25" i="11"/>
  <c r="Y25" i="11"/>
  <c r="Z25" i="11"/>
  <c r="AA25" i="11"/>
  <c r="AC25" i="11"/>
  <c r="AD25" i="11"/>
  <c r="AE25" i="11"/>
  <c r="AF25" i="11"/>
  <c r="AG25" i="11"/>
  <c r="AH25" i="11"/>
  <c r="AI25" i="11"/>
  <c r="AJ25" i="11"/>
  <c r="AK25" i="11"/>
  <c r="AL25" i="11"/>
  <c r="AN25" i="11"/>
  <c r="AO25" i="11"/>
  <c r="AP25" i="11"/>
  <c r="AQ25" i="11"/>
  <c r="AR25" i="11"/>
  <c r="AS25" i="11"/>
  <c r="AT25" i="11"/>
  <c r="AU25" i="11"/>
  <c r="AV25" i="11"/>
  <c r="AW25" i="11"/>
  <c r="AY25" i="11"/>
  <c r="AZ25" i="11"/>
  <c r="BA25" i="11"/>
  <c r="BB25" i="11"/>
  <c r="BC25" i="11"/>
  <c r="BD25" i="11"/>
  <c r="BE25" i="11"/>
  <c r="BF25" i="11"/>
  <c r="BG25" i="11"/>
  <c r="BH25" i="11"/>
  <c r="BJ25" i="11"/>
  <c r="BK25" i="11"/>
  <c r="BL25" i="11"/>
  <c r="BM25" i="11"/>
  <c r="BN25" i="11"/>
  <c r="BO25" i="11"/>
  <c r="BP25" i="11"/>
  <c r="BQ25" i="11"/>
  <c r="BR25" i="11"/>
  <c r="BS25" i="11"/>
  <c r="BU25" i="11"/>
  <c r="BV25" i="11"/>
  <c r="BW25" i="11"/>
  <c r="BX25" i="11"/>
  <c r="BY25" i="11"/>
  <c r="BZ25" i="11"/>
  <c r="CA25" i="11"/>
  <c r="CB25" i="11"/>
  <c r="CC25" i="11"/>
  <c r="CD25" i="11"/>
  <c r="D26" i="11"/>
  <c r="E26" i="11"/>
  <c r="H26" i="11"/>
  <c r="I26" i="11"/>
  <c r="J26" i="11"/>
  <c r="L26" i="11"/>
  <c r="M26" i="11"/>
  <c r="N26" i="11"/>
  <c r="Q26" i="11"/>
  <c r="U26" i="11"/>
  <c r="V26" i="11"/>
  <c r="X26" i="11"/>
  <c r="Y26" i="11"/>
  <c r="Z26" i="11"/>
  <c r="AA26" i="11"/>
  <c r="AC26" i="11"/>
  <c r="AD26" i="11"/>
  <c r="AE26" i="11"/>
  <c r="AF26" i="11"/>
  <c r="AG26" i="11"/>
  <c r="AH26" i="11"/>
  <c r="AI26" i="11"/>
  <c r="AJ26" i="11"/>
  <c r="AK26" i="11"/>
  <c r="AL26" i="11"/>
  <c r="AN26" i="11"/>
  <c r="AO26" i="11"/>
  <c r="AP26" i="11"/>
  <c r="AQ26" i="11"/>
  <c r="AR26" i="11"/>
  <c r="AS26" i="11"/>
  <c r="AT26" i="11"/>
  <c r="AU26" i="11"/>
  <c r="AV26" i="11"/>
  <c r="AW26" i="11"/>
  <c r="AY26" i="11"/>
  <c r="AZ26" i="11"/>
  <c r="BA26" i="11"/>
  <c r="BB26" i="11"/>
  <c r="BC26" i="11"/>
  <c r="BD26" i="11"/>
  <c r="BE26" i="11"/>
  <c r="BF26" i="11"/>
  <c r="BG26" i="11"/>
  <c r="BH26" i="11"/>
  <c r="BJ26" i="11"/>
  <c r="BK26" i="11"/>
  <c r="BL26" i="11"/>
  <c r="BM26" i="11"/>
  <c r="BN26" i="11"/>
  <c r="BO26" i="11"/>
  <c r="BP26" i="11"/>
  <c r="BQ26" i="11"/>
  <c r="BR26" i="11"/>
  <c r="BS26" i="11"/>
  <c r="BU26" i="11"/>
  <c r="BV26" i="11"/>
  <c r="BW26" i="11"/>
  <c r="BX26" i="11"/>
  <c r="BY26" i="11"/>
  <c r="BZ26" i="11"/>
  <c r="CA26" i="11"/>
  <c r="CB26" i="11"/>
  <c r="CC26" i="11"/>
  <c r="CD26" i="11"/>
  <c r="AL27" i="11"/>
  <c r="D29" i="11"/>
  <c r="E29" i="11"/>
  <c r="G29" i="11"/>
  <c r="H29" i="11"/>
  <c r="I29" i="11"/>
  <c r="J29" i="11"/>
  <c r="M29" i="11"/>
  <c r="N29" i="11"/>
  <c r="P29" i="11"/>
  <c r="Q29" i="11"/>
  <c r="S29" i="11"/>
  <c r="U29" i="11"/>
  <c r="V29" i="11"/>
  <c r="X29" i="11"/>
  <c r="Y29" i="11"/>
  <c r="Z29" i="11"/>
  <c r="AA29" i="11"/>
  <c r="AC29" i="11"/>
  <c r="AD29" i="11"/>
  <c r="AE29" i="11"/>
  <c r="AF29" i="11"/>
  <c r="AG29" i="11"/>
  <c r="AH29" i="11"/>
  <c r="AI29" i="11"/>
  <c r="AJ29" i="11"/>
  <c r="AK29" i="11"/>
  <c r="AL29" i="11"/>
  <c r="AN29" i="11"/>
  <c r="AO29" i="11"/>
  <c r="AP29" i="11"/>
  <c r="AQ29" i="11"/>
  <c r="AR29" i="11"/>
  <c r="AS29" i="11"/>
  <c r="AT29" i="11"/>
  <c r="AU29" i="11"/>
  <c r="AV29" i="11"/>
  <c r="AW29" i="11"/>
  <c r="AY29" i="11"/>
  <c r="AZ29" i="11"/>
  <c r="BA29" i="11"/>
  <c r="BB29" i="11"/>
  <c r="BC29" i="11"/>
  <c r="BD29" i="11"/>
  <c r="BE29" i="11"/>
  <c r="BF29" i="11"/>
  <c r="BG29" i="11"/>
  <c r="BH29" i="11"/>
  <c r="BJ29" i="11"/>
  <c r="BK29" i="11"/>
  <c r="BL29" i="11"/>
  <c r="BM29" i="11"/>
  <c r="BN29" i="11"/>
  <c r="BO29" i="11"/>
  <c r="BP29" i="11"/>
  <c r="BQ29" i="11"/>
  <c r="BR29" i="11"/>
  <c r="BS29" i="11"/>
  <c r="BU29" i="11"/>
  <c r="BV29" i="11"/>
  <c r="BW29" i="11"/>
  <c r="BX29" i="11"/>
  <c r="BY29" i="11"/>
  <c r="BZ29" i="11"/>
  <c r="CA29" i="11"/>
  <c r="CB29" i="11"/>
  <c r="CC29" i="11"/>
  <c r="CD29" i="11"/>
  <c r="D30" i="11"/>
  <c r="E30" i="11"/>
  <c r="H30" i="11"/>
  <c r="I30" i="11"/>
  <c r="J30" i="11"/>
  <c r="M30" i="11"/>
  <c r="N30" i="11"/>
  <c r="P30" i="11"/>
  <c r="Q30" i="11"/>
  <c r="S30" i="11"/>
  <c r="U30" i="11"/>
  <c r="V30" i="11"/>
  <c r="X30" i="11"/>
  <c r="Y30" i="11"/>
  <c r="Z30" i="11"/>
  <c r="AA30" i="11"/>
  <c r="AC30" i="11"/>
  <c r="AD30" i="11"/>
  <c r="AE30" i="11"/>
  <c r="AF30" i="11"/>
  <c r="AG30" i="11"/>
  <c r="AH30" i="11"/>
  <c r="AI30" i="11"/>
  <c r="AJ30" i="11"/>
  <c r="AK30" i="11"/>
  <c r="AL30" i="11"/>
  <c r="AN30" i="11"/>
  <c r="AO30" i="11"/>
  <c r="AP30" i="11"/>
  <c r="AQ30" i="11"/>
  <c r="AR30" i="11"/>
  <c r="AS30" i="11"/>
  <c r="AT30" i="11"/>
  <c r="AU30" i="11"/>
  <c r="AV30" i="11"/>
  <c r="AW30" i="11"/>
  <c r="AY30" i="11"/>
  <c r="AZ30" i="11"/>
  <c r="BA30" i="11"/>
  <c r="BB30" i="11"/>
  <c r="BC30" i="11"/>
  <c r="BD30" i="11"/>
  <c r="BE30" i="11"/>
  <c r="BF30" i="11"/>
  <c r="BG30" i="11"/>
  <c r="BH30" i="11"/>
  <c r="BJ30" i="11"/>
  <c r="BK30" i="11"/>
  <c r="BL30" i="11"/>
  <c r="BM30" i="11"/>
  <c r="BN30" i="11"/>
  <c r="BO30" i="11"/>
  <c r="BP30" i="11"/>
  <c r="BQ30" i="11"/>
  <c r="BR30" i="11"/>
  <c r="BS30" i="11"/>
  <c r="BU30" i="11"/>
  <c r="BV30" i="11"/>
  <c r="BW30" i="11"/>
  <c r="BX30" i="11"/>
  <c r="BY30" i="11"/>
  <c r="BZ30" i="11"/>
  <c r="CA30" i="11"/>
  <c r="CB30" i="11"/>
  <c r="CC30" i="11"/>
  <c r="CD30" i="11"/>
  <c r="G31" i="11"/>
  <c r="H31" i="11"/>
  <c r="I31" i="11"/>
  <c r="J31" i="11"/>
  <c r="M31" i="11"/>
  <c r="N31" i="11"/>
  <c r="P31" i="11"/>
  <c r="Q31" i="11"/>
  <c r="S31" i="11"/>
  <c r="U31" i="11"/>
  <c r="V31" i="11"/>
  <c r="X31" i="11"/>
  <c r="Y31" i="11"/>
  <c r="Z31" i="11"/>
  <c r="AA31" i="11"/>
  <c r="AD31" i="11"/>
  <c r="AJ31" i="11"/>
  <c r="AK31" i="11"/>
  <c r="AL31" i="11"/>
  <c r="AO31" i="11"/>
  <c r="AU31" i="11"/>
  <c r="AW31" i="11"/>
  <c r="AZ31" i="11"/>
  <c r="BF31" i="11"/>
  <c r="BH31" i="11"/>
  <c r="BK31" i="11"/>
  <c r="BQ31" i="11"/>
  <c r="BS31" i="11"/>
  <c r="BV31" i="11"/>
  <c r="CB31" i="11"/>
  <c r="CD31" i="11"/>
  <c r="D32" i="11"/>
  <c r="E32" i="11"/>
  <c r="H32" i="11"/>
  <c r="I32" i="11"/>
  <c r="J32" i="11"/>
  <c r="L32" i="11"/>
  <c r="M32" i="11"/>
  <c r="N32" i="11"/>
  <c r="Q32" i="11"/>
  <c r="U32" i="11"/>
  <c r="V32" i="11"/>
  <c r="X32" i="11"/>
  <c r="Y32" i="11"/>
  <c r="Z32" i="11"/>
  <c r="AA32" i="11"/>
  <c r="AC32" i="11"/>
  <c r="AD32" i="11"/>
  <c r="AE32" i="11"/>
  <c r="AF32" i="11"/>
  <c r="AG32" i="11"/>
  <c r="AH32" i="11"/>
  <c r="AI32" i="11"/>
  <c r="AJ32" i="11"/>
  <c r="AK32" i="11"/>
  <c r="AL32" i="11"/>
  <c r="AN32" i="11"/>
  <c r="AO32" i="11"/>
  <c r="AP32" i="11"/>
  <c r="AQ32" i="11"/>
  <c r="AR32" i="11"/>
  <c r="AS32" i="11"/>
  <c r="AT32" i="11"/>
  <c r="AU32" i="11"/>
  <c r="AV32" i="11"/>
  <c r="AW32" i="11"/>
  <c r="AY32" i="11"/>
  <c r="AZ32" i="11"/>
  <c r="BA32" i="11"/>
  <c r="BB32" i="11"/>
  <c r="BC32" i="11"/>
  <c r="BD32" i="11"/>
  <c r="BE32" i="11"/>
  <c r="BF32" i="11"/>
  <c r="BG32" i="11"/>
  <c r="BH32" i="11"/>
  <c r="BJ32" i="11"/>
  <c r="BK32" i="11"/>
  <c r="BL32" i="11"/>
  <c r="BM32" i="11"/>
  <c r="BN32" i="11"/>
  <c r="BO32" i="11"/>
  <c r="BP32" i="11"/>
  <c r="BQ32" i="11"/>
  <c r="BR32" i="11"/>
  <c r="BS32" i="11"/>
  <c r="BU32" i="11"/>
  <c r="BV32" i="11"/>
  <c r="BW32" i="11"/>
  <c r="BX32" i="11"/>
  <c r="BY32" i="11"/>
  <c r="BZ32" i="11"/>
  <c r="CA32" i="11"/>
  <c r="CB32" i="11"/>
  <c r="CC32" i="11"/>
  <c r="CD32" i="11"/>
  <c r="D34" i="11"/>
  <c r="E34" i="11"/>
  <c r="G34" i="11"/>
  <c r="H34" i="11"/>
  <c r="I34" i="11"/>
  <c r="J34" i="11"/>
  <c r="M34" i="11"/>
  <c r="N34" i="11"/>
  <c r="P34" i="11"/>
  <c r="Q34" i="11"/>
  <c r="S34" i="11"/>
  <c r="U34" i="11"/>
  <c r="V34" i="11"/>
  <c r="X34" i="11"/>
  <c r="Y34" i="11"/>
  <c r="Z34" i="11"/>
  <c r="AA34" i="11"/>
  <c r="AC34" i="11"/>
  <c r="AD34" i="11"/>
  <c r="AE34" i="11"/>
  <c r="AF34" i="11"/>
  <c r="AG34" i="11"/>
  <c r="AH34" i="11"/>
  <c r="AI34" i="11"/>
  <c r="AJ34" i="11"/>
  <c r="AK34" i="11"/>
  <c r="AL34" i="11"/>
  <c r="AN34" i="11"/>
  <c r="AO34" i="11"/>
  <c r="AP34" i="11"/>
  <c r="AQ34" i="11"/>
  <c r="AR34" i="11"/>
  <c r="AS34" i="11"/>
  <c r="AT34" i="11"/>
  <c r="AU34" i="11"/>
  <c r="AV34" i="11"/>
  <c r="AW34" i="11"/>
  <c r="AY34" i="11"/>
  <c r="AZ34" i="11"/>
  <c r="BA34" i="11"/>
  <c r="BB34" i="11"/>
  <c r="BC34" i="11"/>
  <c r="BD34" i="11"/>
  <c r="BE34" i="11"/>
  <c r="BF34" i="11"/>
  <c r="BG34" i="11"/>
  <c r="BH34" i="11"/>
  <c r="BJ34" i="11"/>
  <c r="BK34" i="11"/>
  <c r="BL34" i="11"/>
  <c r="BM34" i="11"/>
  <c r="BN34" i="11"/>
  <c r="BO34" i="11"/>
  <c r="BP34" i="11"/>
  <c r="BQ34" i="11"/>
  <c r="BR34" i="11"/>
  <c r="BS34" i="11"/>
  <c r="BU34" i="11"/>
  <c r="BV34" i="11"/>
  <c r="BW34" i="11"/>
  <c r="BX34" i="11"/>
  <c r="BY34" i="11"/>
  <c r="BZ34" i="11"/>
  <c r="CA34" i="11"/>
  <c r="CB34" i="11"/>
  <c r="CC34" i="11"/>
  <c r="CD34" i="11"/>
  <c r="D35" i="11"/>
  <c r="E35" i="11"/>
  <c r="G35" i="11"/>
  <c r="H35" i="11"/>
  <c r="I35" i="11"/>
  <c r="J35" i="11"/>
  <c r="M35" i="11"/>
  <c r="N35" i="11"/>
  <c r="P35" i="11"/>
  <c r="Q35" i="11"/>
  <c r="S35" i="11"/>
  <c r="U35" i="11"/>
  <c r="V35" i="11"/>
  <c r="X35" i="11"/>
  <c r="Y35" i="11"/>
  <c r="Z35" i="11"/>
  <c r="AA35" i="11"/>
  <c r="AC35" i="11"/>
  <c r="AD35" i="11"/>
  <c r="AE35" i="11"/>
  <c r="AF35" i="11"/>
  <c r="AG35" i="11"/>
  <c r="AH35" i="11"/>
  <c r="AI35" i="11"/>
  <c r="AJ35" i="11"/>
  <c r="AK35" i="11"/>
  <c r="AL35" i="11"/>
  <c r="AN35" i="11"/>
  <c r="AO35" i="11"/>
  <c r="AP35" i="11"/>
  <c r="AQ35" i="11"/>
  <c r="AR35" i="11"/>
  <c r="AS35" i="11"/>
  <c r="AT35" i="11"/>
  <c r="AU35" i="11"/>
  <c r="AV35" i="11"/>
  <c r="AW35" i="11"/>
  <c r="AY35" i="11"/>
  <c r="AZ35" i="11"/>
  <c r="BA35" i="11"/>
  <c r="BB35" i="11"/>
  <c r="BC35" i="11"/>
  <c r="BD35" i="11"/>
  <c r="BE35" i="11"/>
  <c r="BF35" i="11"/>
  <c r="BG35" i="11"/>
  <c r="BH35" i="11"/>
  <c r="BJ35" i="11"/>
  <c r="BK35" i="11"/>
  <c r="BL35" i="11"/>
  <c r="BM35" i="11"/>
  <c r="BN35" i="11"/>
  <c r="BO35" i="11"/>
  <c r="BP35" i="11"/>
  <c r="BQ35" i="11"/>
  <c r="BR35" i="11"/>
  <c r="BS35" i="11"/>
  <c r="BU35" i="11"/>
  <c r="BV35" i="11"/>
  <c r="BW35" i="11"/>
  <c r="BX35" i="11"/>
  <c r="BY35" i="11"/>
  <c r="BZ35" i="11"/>
  <c r="CA35" i="11"/>
  <c r="CB35" i="11"/>
  <c r="CC35" i="11"/>
  <c r="CD35" i="11"/>
  <c r="D36" i="11"/>
  <c r="E36" i="11"/>
  <c r="G36" i="11"/>
  <c r="H36" i="11"/>
  <c r="I36" i="11"/>
  <c r="J36" i="11"/>
  <c r="M36" i="11"/>
  <c r="N36" i="11"/>
  <c r="P36" i="11"/>
  <c r="Q36" i="11"/>
  <c r="S36" i="11"/>
  <c r="U36" i="11"/>
  <c r="V36" i="11"/>
  <c r="X36" i="11"/>
  <c r="Y36" i="11"/>
  <c r="Z36" i="11"/>
  <c r="AA36" i="11"/>
  <c r="AC36" i="11"/>
  <c r="AD36" i="11"/>
  <c r="AE36" i="11"/>
  <c r="AF36" i="11"/>
  <c r="AG36" i="11"/>
  <c r="AH36" i="11"/>
  <c r="AI36" i="11"/>
  <c r="AJ36" i="11"/>
  <c r="AK36" i="11"/>
  <c r="AL36" i="11"/>
  <c r="AN36" i="11"/>
  <c r="AO36" i="11"/>
  <c r="AP36" i="11"/>
  <c r="AQ36" i="11"/>
  <c r="AR36" i="11"/>
  <c r="AS36" i="11"/>
  <c r="AT36" i="11"/>
  <c r="AU36" i="11"/>
  <c r="AV36" i="11"/>
  <c r="AW36" i="11"/>
  <c r="AY36" i="11"/>
  <c r="AZ36" i="11"/>
  <c r="BA36" i="11"/>
  <c r="BB36" i="11"/>
  <c r="BC36" i="11"/>
  <c r="BD36" i="11"/>
  <c r="BE36" i="11"/>
  <c r="BF36" i="11"/>
  <c r="BG36" i="11"/>
  <c r="BH36" i="11"/>
  <c r="BJ36" i="11"/>
  <c r="BK36" i="11"/>
  <c r="BL36" i="11"/>
  <c r="BM36" i="11"/>
  <c r="BN36" i="11"/>
  <c r="BO36" i="11"/>
  <c r="BP36" i="11"/>
  <c r="BQ36" i="11"/>
  <c r="BR36" i="11"/>
  <c r="BS36" i="11"/>
  <c r="BU36" i="11"/>
  <c r="BV36" i="11"/>
  <c r="BW36" i="11"/>
  <c r="BX36" i="11"/>
  <c r="BY36" i="11"/>
  <c r="BZ36" i="11"/>
  <c r="CA36" i="11"/>
  <c r="CB36" i="11"/>
  <c r="CC36" i="11"/>
  <c r="CD36" i="11"/>
  <c r="D37" i="11"/>
  <c r="E37" i="11"/>
  <c r="H37" i="11"/>
  <c r="I37" i="11"/>
  <c r="J37" i="11"/>
  <c r="L37" i="11"/>
  <c r="M37" i="11"/>
  <c r="N37" i="11"/>
  <c r="Q37" i="11"/>
  <c r="U37" i="11"/>
  <c r="V37" i="11"/>
  <c r="X37" i="11"/>
  <c r="Y37" i="11"/>
  <c r="Z37" i="11"/>
  <c r="AA37" i="11"/>
  <c r="AC37" i="11"/>
  <c r="AD37" i="11"/>
  <c r="AE37" i="11"/>
  <c r="AF37" i="11"/>
  <c r="AG37" i="11"/>
  <c r="AH37" i="11"/>
  <c r="AI37" i="11"/>
  <c r="AJ37" i="11"/>
  <c r="AK37" i="11"/>
  <c r="AL37" i="11"/>
  <c r="AN37" i="11"/>
  <c r="AO37" i="11"/>
  <c r="AP37" i="11"/>
  <c r="AQ37" i="11"/>
  <c r="AR37" i="11"/>
  <c r="AS37" i="11"/>
  <c r="AT37" i="11"/>
  <c r="AU37" i="11"/>
  <c r="AV37" i="11"/>
  <c r="AW37" i="11"/>
  <c r="AY37" i="11"/>
  <c r="AZ37" i="11"/>
  <c r="BA37" i="11"/>
  <c r="BB37" i="11"/>
  <c r="BC37" i="11"/>
  <c r="BD37" i="11"/>
  <c r="BE37" i="11"/>
  <c r="BF37" i="11"/>
  <c r="BG37" i="11"/>
  <c r="BH37" i="11"/>
  <c r="BJ37" i="11"/>
  <c r="BK37" i="11"/>
  <c r="BL37" i="11"/>
  <c r="BM37" i="11"/>
  <c r="BN37" i="11"/>
  <c r="BO37" i="11"/>
  <c r="BP37" i="11"/>
  <c r="BQ37" i="11"/>
  <c r="BR37" i="11"/>
  <c r="BS37" i="11"/>
  <c r="BU37" i="11"/>
  <c r="BV37" i="11"/>
  <c r="BW37" i="11"/>
  <c r="BX37" i="11"/>
  <c r="BY37" i="11"/>
  <c r="BZ37" i="11"/>
  <c r="CA37" i="11"/>
  <c r="CB37" i="11"/>
  <c r="CC37" i="11"/>
  <c r="CD37" i="11"/>
  <c r="D39" i="11"/>
  <c r="E39" i="11"/>
  <c r="G39" i="11"/>
  <c r="H39" i="11"/>
  <c r="I39" i="11"/>
  <c r="J39" i="11"/>
  <c r="M39" i="11"/>
  <c r="N39" i="11"/>
  <c r="P39" i="11"/>
  <c r="Q39" i="11"/>
  <c r="S39" i="11"/>
  <c r="U39" i="11"/>
  <c r="V39" i="11"/>
  <c r="X39" i="11"/>
  <c r="Y39" i="11"/>
  <c r="Z39" i="11"/>
  <c r="AA39" i="11"/>
  <c r="AC39" i="11"/>
  <c r="AD39" i="11"/>
  <c r="AE39" i="11"/>
  <c r="AF39" i="11"/>
  <c r="AG39" i="11"/>
  <c r="AH39" i="11"/>
  <c r="AI39" i="11"/>
  <c r="AJ39" i="11"/>
  <c r="AK39" i="11"/>
  <c r="AL39" i="11"/>
  <c r="AN39" i="11"/>
  <c r="AO39" i="11"/>
  <c r="AP39" i="11"/>
  <c r="AQ39" i="11"/>
  <c r="AR39" i="11"/>
  <c r="AS39" i="11"/>
  <c r="AT39" i="11"/>
  <c r="AU39" i="11"/>
  <c r="AV39" i="11"/>
  <c r="AW39" i="11"/>
  <c r="AY39" i="11"/>
  <c r="AZ39" i="11"/>
  <c r="BA39" i="11"/>
  <c r="BB39" i="11"/>
  <c r="BC39" i="11"/>
  <c r="BD39" i="11"/>
  <c r="BE39" i="11"/>
  <c r="BF39" i="11"/>
  <c r="BG39" i="11"/>
  <c r="BH39" i="11"/>
  <c r="BJ39" i="11"/>
  <c r="BK39" i="11"/>
  <c r="BL39" i="11"/>
  <c r="BM39" i="11"/>
  <c r="BN39" i="11"/>
  <c r="BO39" i="11"/>
  <c r="BP39" i="11"/>
  <c r="BQ39" i="11"/>
  <c r="BR39" i="11"/>
  <c r="BS39" i="11"/>
  <c r="BU39" i="11"/>
  <c r="BV39" i="11"/>
  <c r="BW39" i="11"/>
  <c r="BX39" i="11"/>
  <c r="BY39" i="11"/>
  <c r="BZ39" i="11"/>
  <c r="CA39" i="11"/>
  <c r="CB39" i="11"/>
  <c r="CC39" i="11"/>
  <c r="CD39" i="11"/>
  <c r="D40" i="11"/>
  <c r="E40" i="11"/>
  <c r="G40" i="11"/>
  <c r="H40" i="11"/>
  <c r="I40" i="11"/>
  <c r="J40" i="11"/>
  <c r="M40" i="11"/>
  <c r="N40" i="11"/>
  <c r="P40" i="11"/>
  <c r="Q40" i="11"/>
  <c r="S40" i="11"/>
  <c r="U40" i="11"/>
  <c r="V40" i="11"/>
  <c r="X40" i="11"/>
  <c r="Y40" i="11"/>
  <c r="Z40" i="11"/>
  <c r="AA40" i="11"/>
  <c r="AC40" i="11"/>
  <c r="AD40" i="11"/>
  <c r="AE40" i="11"/>
  <c r="AF40" i="11"/>
  <c r="AG40" i="11"/>
  <c r="AH40" i="11"/>
  <c r="AI40" i="11"/>
  <c r="AJ40" i="11"/>
  <c r="AK40" i="11"/>
  <c r="AL40" i="11"/>
  <c r="AN40" i="11"/>
  <c r="AO40" i="11"/>
  <c r="AP40" i="11"/>
  <c r="AQ40" i="11"/>
  <c r="AR40" i="11"/>
  <c r="AS40" i="11"/>
  <c r="AT40" i="11"/>
  <c r="AU40" i="11"/>
  <c r="AV40" i="11"/>
  <c r="AW40" i="11"/>
  <c r="AY40" i="11"/>
  <c r="AZ40" i="11"/>
  <c r="BA40" i="11"/>
  <c r="BB40" i="11"/>
  <c r="BC40" i="11"/>
  <c r="BD40" i="11"/>
  <c r="BE40" i="11"/>
  <c r="BF40" i="11"/>
  <c r="BG40" i="11"/>
  <c r="BH40" i="11"/>
  <c r="BJ40" i="11"/>
  <c r="BK40" i="11"/>
  <c r="BL40" i="11"/>
  <c r="BM40" i="11"/>
  <c r="BN40" i="11"/>
  <c r="BO40" i="11"/>
  <c r="BP40" i="11"/>
  <c r="BQ40" i="11"/>
  <c r="BR40" i="11"/>
  <c r="BS40" i="11"/>
  <c r="BU40" i="11"/>
  <c r="BV40" i="11"/>
  <c r="BW40" i="11"/>
  <c r="BX40" i="11"/>
  <c r="BY40" i="11"/>
  <c r="BZ40" i="11"/>
  <c r="CA40" i="11"/>
  <c r="CB40" i="11"/>
  <c r="CC40" i="11"/>
  <c r="CD40" i="11"/>
  <c r="D41" i="11"/>
  <c r="E41" i="11"/>
  <c r="G41" i="11"/>
  <c r="H41" i="11"/>
  <c r="I41" i="11"/>
  <c r="J41" i="11"/>
  <c r="M41" i="11"/>
  <c r="N41" i="11"/>
  <c r="P41" i="11"/>
  <c r="Q41" i="11"/>
  <c r="S41" i="11"/>
  <c r="U41" i="11"/>
  <c r="V41" i="11"/>
  <c r="X41" i="11"/>
  <c r="Y41" i="11"/>
  <c r="Z41" i="11"/>
  <c r="AA41" i="11"/>
  <c r="AC41" i="11"/>
  <c r="AD41" i="11"/>
  <c r="AE41" i="11"/>
  <c r="AF41" i="11"/>
  <c r="AG41" i="11"/>
  <c r="AH41" i="11"/>
  <c r="AI41" i="11"/>
  <c r="AJ41" i="11"/>
  <c r="AK41" i="11"/>
  <c r="AL41" i="11"/>
  <c r="AN41" i="11"/>
  <c r="AO41" i="11"/>
  <c r="AP41" i="11"/>
  <c r="AQ41" i="11"/>
  <c r="AR41" i="11"/>
  <c r="AS41" i="11"/>
  <c r="AT41" i="11"/>
  <c r="AU41" i="11"/>
  <c r="AV41" i="11"/>
  <c r="AW41" i="11"/>
  <c r="AY41" i="11"/>
  <c r="AZ41" i="11"/>
  <c r="BA41" i="11"/>
  <c r="BB41" i="11"/>
  <c r="BC41" i="11"/>
  <c r="BD41" i="11"/>
  <c r="BE41" i="11"/>
  <c r="BF41" i="11"/>
  <c r="BG41" i="11"/>
  <c r="BH41" i="11"/>
  <c r="BJ41" i="11"/>
  <c r="BK41" i="11"/>
  <c r="BL41" i="11"/>
  <c r="BM41" i="11"/>
  <c r="BN41" i="11"/>
  <c r="BO41" i="11"/>
  <c r="BP41" i="11"/>
  <c r="BQ41" i="11"/>
  <c r="BR41" i="11"/>
  <c r="BS41" i="11"/>
  <c r="BU41" i="11"/>
  <c r="BV41" i="11"/>
  <c r="BW41" i="11"/>
  <c r="BX41" i="11"/>
  <c r="BY41" i="11"/>
  <c r="BZ41" i="11"/>
  <c r="CA41" i="11"/>
  <c r="CB41" i="11"/>
  <c r="CC41" i="11"/>
  <c r="CD41" i="11"/>
  <c r="D42" i="11"/>
  <c r="E42" i="11"/>
  <c r="H42" i="11"/>
  <c r="I42" i="11"/>
  <c r="J42" i="11"/>
  <c r="L42" i="11"/>
  <c r="M42" i="11"/>
  <c r="N42" i="11"/>
  <c r="Q42" i="11"/>
  <c r="U42" i="11"/>
  <c r="V42" i="11"/>
  <c r="X42" i="11"/>
  <c r="Y42" i="11"/>
  <c r="Z42" i="11"/>
  <c r="AA42" i="11"/>
  <c r="AC42" i="11"/>
  <c r="AD42" i="11"/>
  <c r="AE42" i="11"/>
  <c r="AF42" i="11"/>
  <c r="AG42" i="11"/>
  <c r="AH42" i="11"/>
  <c r="AI42" i="11"/>
  <c r="AJ42" i="11"/>
  <c r="AK42" i="11"/>
  <c r="AL42" i="11"/>
  <c r="AN42" i="11"/>
  <c r="AO42" i="11"/>
  <c r="AP42" i="11"/>
  <c r="AQ42" i="11"/>
  <c r="AR42" i="11"/>
  <c r="AS42" i="11"/>
  <c r="AT42" i="11"/>
  <c r="AU42" i="11"/>
  <c r="AV42" i="11"/>
  <c r="AW42" i="11"/>
  <c r="AY42" i="11"/>
  <c r="AZ42" i="11"/>
  <c r="BA42" i="11"/>
  <c r="BB42" i="11"/>
  <c r="BC42" i="11"/>
  <c r="BD42" i="11"/>
  <c r="BE42" i="11"/>
  <c r="BF42" i="11"/>
  <c r="BG42" i="11"/>
  <c r="BH42" i="11"/>
  <c r="BJ42" i="11"/>
  <c r="BK42" i="11"/>
  <c r="BL42" i="11"/>
  <c r="BM42" i="11"/>
  <c r="BN42" i="11"/>
  <c r="BO42" i="11"/>
  <c r="BP42" i="11"/>
  <c r="BQ42" i="11"/>
  <c r="BR42" i="11"/>
  <c r="BS42" i="11"/>
  <c r="BU42" i="11"/>
  <c r="BV42" i="11"/>
  <c r="BW42" i="11"/>
  <c r="BX42" i="11"/>
  <c r="BY42" i="11"/>
  <c r="BZ42" i="11"/>
  <c r="CA42" i="11"/>
  <c r="CB42" i="11"/>
  <c r="CC42" i="11"/>
  <c r="CD42" i="11"/>
  <c r="D44" i="11"/>
  <c r="E44" i="11"/>
  <c r="H44" i="11"/>
  <c r="I44" i="11"/>
  <c r="J44" i="11"/>
  <c r="L44" i="11"/>
  <c r="M44" i="11"/>
  <c r="N44" i="11"/>
  <c r="Q44" i="11"/>
  <c r="V44" i="11"/>
  <c r="Y44" i="11"/>
  <c r="Z44" i="11"/>
  <c r="AA44" i="11"/>
  <c r="AC44" i="11"/>
  <c r="AD44" i="11"/>
  <c r="AE44" i="11"/>
  <c r="AF44" i="11"/>
  <c r="AG44" i="11"/>
  <c r="AH44" i="11"/>
  <c r="AI44" i="11"/>
  <c r="AJ44" i="11"/>
  <c r="AK44" i="11"/>
  <c r="AL44" i="11"/>
  <c r="AN44" i="11"/>
  <c r="AO44" i="11"/>
  <c r="AP44" i="11"/>
  <c r="AQ44" i="11"/>
  <c r="AR44" i="11"/>
  <c r="AS44" i="11"/>
  <c r="AT44" i="11"/>
  <c r="AU44" i="11"/>
  <c r="AV44" i="11"/>
  <c r="AW44" i="11"/>
  <c r="AY44" i="11"/>
  <c r="AZ44" i="11"/>
  <c r="BA44" i="11"/>
  <c r="BB44" i="11"/>
  <c r="BC44" i="11"/>
  <c r="BD44" i="11"/>
  <c r="BE44" i="11"/>
  <c r="BF44" i="11"/>
  <c r="BG44" i="11"/>
  <c r="BH44" i="11"/>
  <c r="BJ44" i="11"/>
  <c r="BK44" i="11"/>
  <c r="BL44" i="11"/>
  <c r="BM44" i="11"/>
  <c r="BN44" i="11"/>
  <c r="BO44" i="11"/>
  <c r="BP44" i="11"/>
  <c r="BQ44" i="11"/>
  <c r="BR44" i="11"/>
  <c r="BS44" i="11"/>
  <c r="BU44" i="11"/>
  <c r="BV44" i="11"/>
  <c r="BW44" i="11"/>
  <c r="BX44" i="11"/>
  <c r="BY44" i="11"/>
  <c r="BZ44" i="11"/>
  <c r="CA44" i="11"/>
  <c r="CB44" i="11"/>
  <c r="CC44" i="11"/>
  <c r="CD44" i="11"/>
  <c r="D46" i="11"/>
  <c r="E46" i="11"/>
  <c r="G46" i="11"/>
  <c r="H46" i="11"/>
  <c r="I46" i="11"/>
  <c r="J46" i="11"/>
  <c r="M46" i="11"/>
  <c r="N46" i="11"/>
  <c r="P46" i="11"/>
  <c r="Q46" i="11"/>
  <c r="S46" i="11"/>
  <c r="U46" i="11"/>
  <c r="V46" i="11"/>
  <c r="X46" i="11"/>
  <c r="Y46" i="11"/>
  <c r="Z46" i="11"/>
  <c r="AA46" i="11"/>
  <c r="AC46" i="11"/>
  <c r="AD46" i="11"/>
  <c r="AE46" i="11"/>
  <c r="AF46" i="11"/>
  <c r="AG46" i="11"/>
  <c r="AH46" i="11"/>
  <c r="AI46" i="11"/>
  <c r="AJ46" i="11"/>
  <c r="AK46" i="11"/>
  <c r="AL46" i="11"/>
  <c r="AN46" i="11"/>
  <c r="AO46" i="11"/>
  <c r="AP46" i="11"/>
  <c r="AQ46" i="11"/>
  <c r="AR46" i="11"/>
  <c r="AS46" i="11"/>
  <c r="AT46" i="11"/>
  <c r="AU46" i="11"/>
  <c r="AV46" i="11"/>
  <c r="AW46" i="11"/>
  <c r="AY46" i="11"/>
  <c r="AZ46" i="11"/>
  <c r="BA46" i="11"/>
  <c r="BB46" i="11"/>
  <c r="BC46" i="11"/>
  <c r="BD46" i="11"/>
  <c r="BE46" i="11"/>
  <c r="BF46" i="11"/>
  <c r="BG46" i="11"/>
  <c r="BH46" i="11"/>
  <c r="BJ46" i="11"/>
  <c r="BK46" i="11"/>
  <c r="BL46" i="11"/>
  <c r="BM46" i="11"/>
  <c r="BN46" i="11"/>
  <c r="BO46" i="11"/>
  <c r="BP46" i="11"/>
  <c r="BQ46" i="11"/>
  <c r="BR46" i="11"/>
  <c r="BS46" i="11"/>
  <c r="BU46" i="11"/>
  <c r="BV46" i="11"/>
  <c r="BW46" i="11"/>
  <c r="BX46" i="11"/>
  <c r="BY46" i="11"/>
  <c r="BZ46" i="11"/>
  <c r="CA46" i="11"/>
  <c r="CB46" i="11"/>
  <c r="CC46" i="11"/>
  <c r="CD46" i="11"/>
  <c r="D47" i="11"/>
  <c r="E47" i="11"/>
  <c r="H47" i="11"/>
  <c r="I47" i="11"/>
  <c r="J47" i="11"/>
  <c r="L47" i="11"/>
  <c r="M47" i="11"/>
  <c r="N47" i="11"/>
  <c r="Q47" i="11"/>
  <c r="U47" i="11"/>
  <c r="V47" i="11"/>
  <c r="X47" i="11"/>
  <c r="Y47" i="11"/>
  <c r="Z47" i="11"/>
  <c r="AA47" i="11"/>
  <c r="AC47" i="11"/>
  <c r="AD47" i="11"/>
  <c r="AE47" i="11"/>
  <c r="AF47" i="11"/>
  <c r="AG47" i="11"/>
  <c r="AH47" i="11"/>
  <c r="AI47" i="11"/>
  <c r="AJ47" i="11"/>
  <c r="AK47" i="11"/>
  <c r="AL47" i="11"/>
  <c r="AN47" i="11"/>
  <c r="AO47" i="11"/>
  <c r="AP47" i="11"/>
  <c r="AQ47" i="11"/>
  <c r="AR47" i="11"/>
  <c r="AS47" i="11"/>
  <c r="AT47" i="11"/>
  <c r="AU47" i="11"/>
  <c r="AV47" i="11"/>
  <c r="AW47" i="11"/>
  <c r="AY47" i="11"/>
  <c r="AZ47" i="11"/>
  <c r="BA47" i="11"/>
  <c r="BB47" i="11"/>
  <c r="BC47" i="11"/>
  <c r="BD47" i="11"/>
  <c r="BE47" i="11"/>
  <c r="BF47" i="11"/>
  <c r="BG47" i="11"/>
  <c r="BH47" i="11"/>
  <c r="BJ47" i="11"/>
  <c r="BK47" i="11"/>
  <c r="BL47" i="11"/>
  <c r="BM47" i="11"/>
  <c r="BN47" i="11"/>
  <c r="BO47" i="11"/>
  <c r="BP47" i="11"/>
  <c r="BQ47" i="11"/>
  <c r="BR47" i="11"/>
  <c r="BS47" i="11"/>
  <c r="BU47" i="11"/>
  <c r="BV47" i="11"/>
  <c r="BW47" i="11"/>
  <c r="BX47" i="11"/>
  <c r="BY47" i="11"/>
  <c r="BZ47" i="11"/>
  <c r="CA47" i="11"/>
  <c r="CB47" i="11"/>
  <c r="CC47" i="11"/>
  <c r="CD47" i="11"/>
  <c r="D49" i="11"/>
  <c r="E49" i="11"/>
  <c r="H49" i="11"/>
  <c r="I49" i="11"/>
  <c r="J49" i="11"/>
  <c r="L49" i="11"/>
  <c r="M49" i="11"/>
  <c r="N49" i="11"/>
  <c r="Q49" i="11"/>
  <c r="U49" i="11"/>
  <c r="V49" i="11"/>
  <c r="X49" i="11"/>
  <c r="Y49" i="11"/>
  <c r="Z49" i="11"/>
  <c r="AA49" i="11"/>
  <c r="AC49" i="11"/>
  <c r="AD49" i="11"/>
  <c r="AE49" i="11"/>
  <c r="AF49" i="11"/>
  <c r="AG49" i="11"/>
  <c r="AH49" i="11"/>
  <c r="AI49" i="11"/>
  <c r="AJ49" i="11"/>
  <c r="AK49" i="11"/>
  <c r="AL49" i="11"/>
  <c r="AN49" i="11"/>
  <c r="AO49" i="11"/>
  <c r="AP49" i="11"/>
  <c r="AQ49" i="11"/>
  <c r="AR49" i="11"/>
  <c r="AS49" i="11"/>
  <c r="AT49" i="11"/>
  <c r="AU49" i="11"/>
  <c r="AV49" i="11"/>
  <c r="AW49" i="11"/>
  <c r="AY49" i="11"/>
  <c r="AZ49" i="11"/>
  <c r="BA49" i="11"/>
  <c r="BB49" i="11"/>
  <c r="BC49" i="11"/>
  <c r="BD49" i="11"/>
  <c r="BE49" i="11"/>
  <c r="BF49" i="11"/>
  <c r="BG49" i="11"/>
  <c r="BH49" i="11"/>
  <c r="BJ49" i="11"/>
  <c r="BK49" i="11"/>
  <c r="BL49" i="11"/>
  <c r="BM49" i="11"/>
  <c r="BN49" i="11"/>
  <c r="BO49" i="11"/>
  <c r="BP49" i="11"/>
  <c r="BQ49" i="11"/>
  <c r="BR49" i="11"/>
  <c r="BS49" i="11"/>
  <c r="BU49" i="11"/>
  <c r="BV49" i="11"/>
  <c r="BW49" i="11"/>
  <c r="BX49" i="11"/>
  <c r="BY49" i="11"/>
  <c r="BZ49" i="11"/>
  <c r="CA49" i="11"/>
  <c r="CB49" i="11"/>
  <c r="CC49" i="11"/>
  <c r="CD49" i="11"/>
  <c r="D50" i="11"/>
  <c r="E50" i="11"/>
  <c r="H50" i="11"/>
  <c r="I50" i="11"/>
  <c r="J50" i="11"/>
  <c r="L50" i="11"/>
  <c r="M50" i="11"/>
  <c r="N50" i="11"/>
  <c r="Q50" i="11"/>
  <c r="U50" i="11"/>
  <c r="V50" i="11"/>
  <c r="X50" i="11"/>
  <c r="Y50" i="11"/>
  <c r="Z50" i="11"/>
  <c r="AA50" i="11"/>
  <c r="AC50" i="11"/>
  <c r="AD50" i="11"/>
  <c r="AE50" i="11"/>
  <c r="AF50" i="11"/>
  <c r="AG50" i="11"/>
  <c r="AH50" i="11"/>
  <c r="AI50" i="11"/>
  <c r="AJ50" i="11"/>
  <c r="AK50" i="11"/>
  <c r="AL50" i="11"/>
  <c r="AN50" i="11"/>
  <c r="AO50" i="11"/>
  <c r="AP50" i="11"/>
  <c r="AQ50" i="11"/>
  <c r="AR50" i="11"/>
  <c r="AS50" i="11"/>
  <c r="AT50" i="11"/>
  <c r="AU50" i="11"/>
  <c r="AV50" i="11"/>
  <c r="AW50" i="11"/>
  <c r="AY50" i="11"/>
  <c r="AZ50" i="11"/>
  <c r="BA50" i="11"/>
  <c r="BB50" i="11"/>
  <c r="BC50" i="11"/>
  <c r="BD50" i="11"/>
  <c r="BE50" i="11"/>
  <c r="BF50" i="11"/>
  <c r="BG50" i="11"/>
  <c r="BH50" i="11"/>
  <c r="BJ50" i="11"/>
  <c r="BK50" i="11"/>
  <c r="BL50" i="11"/>
  <c r="BM50" i="11"/>
  <c r="BN50" i="11"/>
  <c r="BO50" i="11"/>
  <c r="BP50" i="11"/>
  <c r="BQ50" i="11"/>
  <c r="BR50" i="11"/>
  <c r="BS50" i="11"/>
  <c r="BU50" i="11"/>
  <c r="BV50" i="11"/>
  <c r="BW50" i="11"/>
  <c r="BX50" i="11"/>
  <c r="BY50" i="11"/>
  <c r="BZ50" i="11"/>
  <c r="CA50" i="11"/>
  <c r="CB50" i="11"/>
  <c r="CC50" i="11"/>
  <c r="CD50" i="11"/>
  <c r="D51" i="11"/>
  <c r="E51" i="11"/>
  <c r="H51" i="11"/>
  <c r="I51" i="11"/>
  <c r="J51" i="11"/>
  <c r="L51" i="11"/>
  <c r="M51" i="11"/>
  <c r="N51" i="11"/>
  <c r="Q51" i="11"/>
  <c r="U51" i="11"/>
  <c r="V51" i="11"/>
  <c r="X51" i="11"/>
  <c r="Y51" i="11"/>
  <c r="Z51" i="11"/>
  <c r="AA51" i="11"/>
  <c r="AC51" i="11"/>
  <c r="AD51" i="11"/>
  <c r="AE51" i="11"/>
  <c r="AF51" i="11"/>
  <c r="AG51" i="11"/>
  <c r="AH51" i="11"/>
  <c r="AI51" i="11"/>
  <c r="AJ51" i="11"/>
  <c r="AK51" i="11"/>
  <c r="AL51" i="11"/>
  <c r="AN51" i="11"/>
  <c r="AO51" i="11"/>
  <c r="AP51" i="11"/>
  <c r="AQ51" i="11"/>
  <c r="AR51" i="11"/>
  <c r="AS51" i="11"/>
  <c r="AT51" i="11"/>
  <c r="AU51" i="11"/>
  <c r="AV51" i="11"/>
  <c r="AW51" i="11"/>
  <c r="AY51" i="11"/>
  <c r="AZ51" i="11"/>
  <c r="BA51" i="11"/>
  <c r="BB51" i="11"/>
  <c r="BC51" i="11"/>
  <c r="BD51" i="11"/>
  <c r="BE51" i="11"/>
  <c r="BF51" i="11"/>
  <c r="BG51" i="11"/>
  <c r="BH51" i="11"/>
  <c r="BJ51" i="11"/>
  <c r="BK51" i="11"/>
  <c r="BL51" i="11"/>
  <c r="BM51" i="11"/>
  <c r="BN51" i="11"/>
  <c r="BO51" i="11"/>
  <c r="BP51" i="11"/>
  <c r="BQ51" i="11"/>
  <c r="BR51" i="11"/>
  <c r="BS51" i="11"/>
  <c r="BU51" i="11"/>
  <c r="BV51" i="11"/>
  <c r="BW51" i="11"/>
  <c r="BX51" i="11"/>
  <c r="BY51" i="11"/>
  <c r="BZ51" i="11"/>
  <c r="CA51" i="11"/>
  <c r="CB51" i="11"/>
  <c r="CC51" i="11"/>
  <c r="CD51" i="11"/>
  <c r="D52" i="11"/>
  <c r="E52" i="11"/>
  <c r="H52" i="11"/>
  <c r="I52" i="11"/>
  <c r="J52" i="11"/>
  <c r="L52" i="11"/>
  <c r="M52" i="11"/>
  <c r="N52" i="11"/>
  <c r="Q52" i="11"/>
  <c r="U52" i="11"/>
  <c r="V52" i="11"/>
  <c r="X52" i="11"/>
  <c r="Y52" i="11"/>
  <c r="Z52" i="11"/>
  <c r="AA52" i="11"/>
  <c r="AC52" i="11"/>
  <c r="AD52" i="11"/>
  <c r="AE52" i="11"/>
  <c r="AF52" i="11"/>
  <c r="AG52" i="11"/>
  <c r="AH52" i="11"/>
  <c r="AI52" i="11"/>
  <c r="AJ52" i="11"/>
  <c r="AK52" i="11"/>
  <c r="AL52" i="11"/>
  <c r="AN52" i="11"/>
  <c r="AO52" i="11"/>
  <c r="AP52" i="11"/>
  <c r="AQ52" i="11"/>
  <c r="AR52" i="11"/>
  <c r="AS52" i="11"/>
  <c r="AT52" i="11"/>
  <c r="AU52" i="11"/>
  <c r="AV52" i="11"/>
  <c r="AW52" i="11"/>
  <c r="AY52" i="11"/>
  <c r="AZ52" i="11"/>
  <c r="BA52" i="11"/>
  <c r="BB52" i="11"/>
  <c r="BC52" i="11"/>
  <c r="BD52" i="11"/>
  <c r="BE52" i="11"/>
  <c r="BF52" i="11"/>
  <c r="BG52" i="11"/>
  <c r="BH52" i="11"/>
  <c r="BJ52" i="11"/>
  <c r="BK52" i="11"/>
  <c r="BL52" i="11"/>
  <c r="BM52" i="11"/>
  <c r="BN52" i="11"/>
  <c r="BO52" i="11"/>
  <c r="BP52" i="11"/>
  <c r="BQ52" i="11"/>
  <c r="BR52" i="11"/>
  <c r="BS52" i="11"/>
  <c r="BU52" i="11"/>
  <c r="BV52" i="11"/>
  <c r="BW52" i="11"/>
  <c r="BX52" i="11"/>
  <c r="BY52" i="11"/>
  <c r="BZ52" i="11"/>
  <c r="CA52" i="11"/>
  <c r="CB52" i="11"/>
  <c r="CC52" i="11"/>
  <c r="CD52" i="11"/>
  <c r="AL53" i="11"/>
  <c r="D54" i="11"/>
  <c r="E54" i="11"/>
  <c r="H54" i="11"/>
  <c r="I54" i="11"/>
  <c r="J54" i="11"/>
  <c r="M54" i="11"/>
  <c r="N54" i="11"/>
  <c r="P54" i="11"/>
  <c r="Q54" i="11"/>
  <c r="S54" i="11"/>
  <c r="U54" i="11"/>
  <c r="V54" i="11"/>
  <c r="X54" i="11"/>
  <c r="Y54" i="11"/>
  <c r="Z54" i="11"/>
  <c r="AA54" i="11"/>
  <c r="AC54" i="11"/>
  <c r="AD54" i="11"/>
  <c r="AE54" i="11"/>
  <c r="AF54" i="11"/>
  <c r="AG54" i="11"/>
  <c r="AH54" i="11"/>
  <c r="AI54" i="11"/>
  <c r="AJ54" i="11"/>
  <c r="AK54" i="11"/>
  <c r="AL54" i="11"/>
  <c r="AN54" i="11"/>
  <c r="AO54" i="11"/>
  <c r="AP54" i="11"/>
  <c r="AQ54" i="11"/>
  <c r="AR54" i="11"/>
  <c r="AS54" i="11"/>
  <c r="AT54" i="11"/>
  <c r="AU54" i="11"/>
  <c r="AV54" i="11"/>
  <c r="AW54" i="11"/>
  <c r="AY54" i="11"/>
  <c r="AZ54" i="11"/>
  <c r="BA54" i="11"/>
  <c r="BB54" i="11"/>
  <c r="BC54" i="11"/>
  <c r="BD54" i="11"/>
  <c r="BE54" i="11"/>
  <c r="BF54" i="11"/>
  <c r="BG54" i="11"/>
  <c r="BH54" i="11"/>
  <c r="BJ54" i="11"/>
  <c r="BK54" i="11"/>
  <c r="BL54" i="11"/>
  <c r="BM54" i="11"/>
  <c r="BN54" i="11"/>
  <c r="BO54" i="11"/>
  <c r="BP54" i="11"/>
  <c r="BQ54" i="11"/>
  <c r="BR54" i="11"/>
  <c r="BS54" i="11"/>
  <c r="BU54" i="11"/>
  <c r="BV54" i="11"/>
  <c r="BW54" i="11"/>
  <c r="BX54" i="11"/>
  <c r="BY54" i="11"/>
  <c r="BZ54" i="11"/>
  <c r="CA54" i="11"/>
  <c r="CB54" i="11"/>
  <c r="CC54" i="11"/>
  <c r="CD54" i="11"/>
  <c r="AL55" i="11"/>
  <c r="H57" i="11"/>
  <c r="Q57" i="11"/>
  <c r="AA57" i="11"/>
  <c r="AI57" i="11"/>
  <c r="AJ57" i="11"/>
  <c r="AT57" i="11"/>
  <c r="AU57" i="11"/>
  <c r="AV57" i="11"/>
  <c r="BE57" i="11"/>
  <c r="BF57" i="11"/>
  <c r="BG57" i="11"/>
  <c r="BP57" i="11"/>
  <c r="BQ57" i="11"/>
  <c r="BR57" i="11"/>
  <c r="CA57" i="11"/>
  <c r="CB57" i="11"/>
  <c r="CC57" i="11"/>
  <c r="H58" i="11"/>
  <c r="Q58" i="11"/>
  <c r="AA58" i="11"/>
  <c r="AI58" i="11"/>
  <c r="AJ58" i="11"/>
  <c r="AT58" i="11"/>
  <c r="AU58" i="11"/>
  <c r="AV58" i="11"/>
  <c r="BE58" i="11"/>
  <c r="BF58" i="11"/>
  <c r="BG58" i="11"/>
  <c r="BP58" i="11"/>
  <c r="BQ58" i="11"/>
  <c r="BR58" i="11"/>
  <c r="CA58" i="11"/>
  <c r="CB58" i="11"/>
  <c r="CC58" i="11"/>
  <c r="H59" i="11"/>
  <c r="Q59" i="11"/>
  <c r="AA59" i="11"/>
  <c r="AI59" i="11"/>
  <c r="AJ59" i="11"/>
  <c r="AT59" i="11"/>
  <c r="AU59" i="11"/>
  <c r="AV59" i="11"/>
  <c r="BE59" i="11"/>
  <c r="BF59" i="11"/>
  <c r="BG59" i="11"/>
  <c r="BP59" i="11"/>
  <c r="BQ59" i="11"/>
  <c r="BR59" i="11"/>
  <c r="CA59" i="11"/>
  <c r="CB59" i="11"/>
  <c r="CC59" i="11"/>
  <c r="H60" i="11"/>
  <c r="Q60" i="11"/>
  <c r="AA60" i="11"/>
  <c r="AI60" i="11"/>
  <c r="AJ60" i="11"/>
  <c r="AT60" i="11"/>
  <c r="AU60" i="11"/>
  <c r="AV60" i="11"/>
  <c r="BE60" i="11"/>
  <c r="BF60" i="11"/>
  <c r="BG60" i="11"/>
  <c r="BP60" i="11"/>
  <c r="BQ60" i="11"/>
  <c r="BR60" i="11"/>
  <c r="CA60" i="11"/>
  <c r="CB60" i="11"/>
  <c r="CC60" i="11"/>
  <c r="H61" i="11"/>
  <c r="Q61" i="11"/>
  <c r="AA61" i="11"/>
  <c r="AI61" i="11"/>
  <c r="AJ61" i="11"/>
  <c r="AT61" i="11"/>
  <c r="AU61" i="11"/>
  <c r="AV61" i="11"/>
  <c r="BE61" i="11"/>
  <c r="BF61" i="11"/>
  <c r="BG61" i="11"/>
  <c r="BP61" i="11"/>
  <c r="BQ61" i="11"/>
  <c r="BR61" i="11"/>
  <c r="CA61" i="11"/>
  <c r="CB61" i="11"/>
  <c r="CC61" i="11"/>
  <c r="H62" i="11"/>
  <c r="Q62" i="11"/>
  <c r="AA62" i="11"/>
  <c r="AI62" i="11"/>
  <c r="AJ62" i="11"/>
  <c r="AT62" i="11"/>
  <c r="AU62" i="11"/>
  <c r="AV62" i="11"/>
  <c r="BE62" i="11"/>
  <c r="BF62" i="11"/>
  <c r="BG62" i="11"/>
  <c r="BP62" i="11"/>
  <c r="BQ62" i="11"/>
  <c r="BR62" i="11"/>
  <c r="CA62" i="11"/>
  <c r="CB62" i="11"/>
  <c r="CC62" i="11"/>
  <c r="H63" i="11"/>
  <c r="Q63" i="11"/>
  <c r="AA63" i="11"/>
  <c r="AI63" i="11"/>
  <c r="AJ63" i="11"/>
  <c r="AT63" i="11"/>
  <c r="AU63" i="11"/>
  <c r="AV63" i="11"/>
  <c r="BE63" i="11"/>
  <c r="BF63" i="11"/>
  <c r="BG63" i="11"/>
  <c r="BP63" i="11"/>
  <c r="BQ63" i="11"/>
  <c r="BR63" i="11"/>
  <c r="CA63" i="11"/>
  <c r="CB63" i="11"/>
  <c r="CC63" i="11"/>
  <c r="H64" i="11"/>
  <c r="Q64" i="11"/>
  <c r="AA64" i="11"/>
  <c r="AI64" i="11"/>
  <c r="AJ64" i="11"/>
  <c r="AT64" i="11"/>
  <c r="AU64" i="11"/>
  <c r="AV64" i="11"/>
  <c r="BE64" i="11"/>
  <c r="BF64" i="11"/>
  <c r="BG64" i="11"/>
  <c r="BP64" i="11"/>
  <c r="BQ64" i="11"/>
  <c r="BR64" i="11"/>
  <c r="CA64" i="11"/>
  <c r="CB64" i="11"/>
  <c r="CC64" i="11"/>
  <c r="H65" i="11"/>
  <c r="Q65" i="11"/>
  <c r="AA65" i="11"/>
  <c r="AI65" i="11"/>
  <c r="AJ65" i="11"/>
  <c r="AT65" i="11"/>
  <c r="AU65" i="11"/>
  <c r="AV65" i="11"/>
  <c r="BE65" i="11"/>
  <c r="BF65" i="11"/>
  <c r="BG65" i="11"/>
  <c r="BP65" i="11"/>
  <c r="BQ65" i="11"/>
  <c r="BR65" i="11"/>
  <c r="CA65" i="11"/>
  <c r="CB65" i="11"/>
  <c r="CC65" i="11"/>
  <c r="H66" i="11"/>
  <c r="Q66" i="11"/>
  <c r="AA66" i="11"/>
  <c r="AI66" i="11"/>
  <c r="AJ66" i="11"/>
  <c r="AT66" i="11"/>
  <c r="AU66" i="11"/>
  <c r="AV66" i="11"/>
  <c r="BE66" i="11"/>
  <c r="BF66" i="11"/>
  <c r="BG66" i="11"/>
  <c r="BP66" i="11"/>
  <c r="BQ66" i="11"/>
  <c r="BR66" i="11"/>
  <c r="CA66" i="11"/>
  <c r="CB66" i="11"/>
  <c r="CC66" i="11"/>
  <c r="D67" i="11"/>
  <c r="E67" i="11"/>
  <c r="H67" i="11"/>
  <c r="I67" i="11"/>
  <c r="J67" i="11"/>
  <c r="M67" i="11"/>
  <c r="N67" i="11"/>
  <c r="P67" i="11"/>
  <c r="Q67" i="11"/>
  <c r="V67" i="11"/>
  <c r="Y67" i="11"/>
  <c r="Z67" i="11"/>
  <c r="AA67" i="11"/>
  <c r="AC67" i="11"/>
  <c r="AD67" i="11"/>
  <c r="AE67" i="11"/>
  <c r="AF67" i="11"/>
  <c r="AG67" i="11"/>
  <c r="AH67" i="11"/>
  <c r="AI67" i="11"/>
  <c r="AJ67" i="11"/>
  <c r="AK67" i="11"/>
  <c r="AL67" i="11"/>
  <c r="AN67" i="11"/>
  <c r="AO67" i="11"/>
  <c r="AP67" i="11"/>
  <c r="AQ67" i="11"/>
  <c r="AR67" i="11"/>
  <c r="AS67" i="11"/>
  <c r="AT67" i="11"/>
  <c r="AU67" i="11"/>
  <c r="AV67" i="11"/>
  <c r="AW67" i="11"/>
  <c r="AY67" i="11"/>
  <c r="AZ67" i="11"/>
  <c r="BA67" i="11"/>
  <c r="BB67" i="11"/>
  <c r="BC67" i="11"/>
  <c r="BD67" i="11"/>
  <c r="BE67" i="11"/>
  <c r="BF67" i="11"/>
  <c r="BG67" i="11"/>
  <c r="BH67" i="11"/>
  <c r="BJ67" i="11"/>
  <c r="BK67" i="11"/>
  <c r="BL67" i="11"/>
  <c r="BM67" i="11"/>
  <c r="BN67" i="11"/>
  <c r="BO67" i="11"/>
  <c r="BP67" i="11"/>
  <c r="BQ67" i="11"/>
  <c r="BR67" i="11"/>
  <c r="BS67" i="11"/>
  <c r="BU67" i="11"/>
  <c r="BV67" i="11"/>
  <c r="BW67" i="11"/>
  <c r="BX67" i="11"/>
  <c r="BY67" i="11"/>
  <c r="BZ67" i="11"/>
  <c r="CA67" i="11"/>
  <c r="CB67" i="11"/>
  <c r="CC67" i="11"/>
  <c r="CD67" i="11"/>
  <c r="D68" i="11"/>
  <c r="E68" i="11"/>
  <c r="G68" i="11"/>
  <c r="H68" i="11"/>
  <c r="I68" i="11"/>
  <c r="J68" i="11"/>
  <c r="M68" i="11"/>
  <c r="N68" i="11"/>
  <c r="P68" i="11"/>
  <c r="Q68" i="11"/>
  <c r="V68" i="11"/>
  <c r="Y68" i="11"/>
  <c r="Z68" i="11"/>
  <c r="AA68" i="11"/>
  <c r="AC68" i="11"/>
  <c r="AD68" i="11"/>
  <c r="AE68" i="11"/>
  <c r="AF68" i="11"/>
  <c r="AG68" i="11"/>
  <c r="AH68" i="11"/>
  <c r="AI68" i="11"/>
  <c r="AJ68" i="11"/>
  <c r="AK68" i="11"/>
  <c r="AL68" i="11"/>
  <c r="AN68" i="11"/>
  <c r="AO68" i="11"/>
  <c r="AP68" i="11"/>
  <c r="AQ68" i="11"/>
  <c r="AR68" i="11"/>
  <c r="AS68" i="11"/>
  <c r="AT68" i="11"/>
  <c r="AU68" i="11"/>
  <c r="AV68" i="11"/>
  <c r="AW68" i="11"/>
  <c r="AY68" i="11"/>
  <c r="AZ68" i="11"/>
  <c r="BA68" i="11"/>
  <c r="BB68" i="11"/>
  <c r="BC68" i="11"/>
  <c r="BD68" i="11"/>
  <c r="BE68" i="11"/>
  <c r="BF68" i="11"/>
  <c r="BG68" i="11"/>
  <c r="BH68" i="11"/>
  <c r="BJ68" i="11"/>
  <c r="BK68" i="11"/>
  <c r="BL68" i="11"/>
  <c r="BM68" i="11"/>
  <c r="BN68" i="11"/>
  <c r="BO68" i="11"/>
  <c r="BP68" i="11"/>
  <c r="BQ68" i="11"/>
  <c r="BR68" i="11"/>
  <c r="BS68" i="11"/>
  <c r="BU68" i="11"/>
  <c r="BV68" i="11"/>
  <c r="BW68" i="11"/>
  <c r="BX68" i="11"/>
  <c r="BY68" i="11"/>
  <c r="BZ68" i="11"/>
  <c r="CA68" i="11"/>
  <c r="CB68" i="11"/>
  <c r="CC68" i="11"/>
  <c r="CD68" i="11"/>
  <c r="D69" i="11"/>
  <c r="E69" i="11"/>
  <c r="G69" i="11"/>
  <c r="H69" i="11"/>
  <c r="I69" i="11"/>
  <c r="J69" i="11"/>
  <c r="M69" i="11"/>
  <c r="N69" i="11"/>
  <c r="P69" i="11"/>
  <c r="Q69" i="11"/>
  <c r="V69" i="11"/>
  <c r="Y69" i="11"/>
  <c r="Z69" i="11"/>
  <c r="AA69" i="11"/>
  <c r="AC69" i="11"/>
  <c r="AD69" i="11"/>
  <c r="AE69" i="11"/>
  <c r="AF69" i="11"/>
  <c r="AG69" i="11"/>
  <c r="AH69" i="11"/>
  <c r="AI69" i="11"/>
  <c r="AJ69" i="11"/>
  <c r="AK69" i="11"/>
  <c r="AL69" i="11"/>
  <c r="AN69" i="11"/>
  <c r="AO69" i="11"/>
  <c r="AP69" i="11"/>
  <c r="AQ69" i="11"/>
  <c r="AR69" i="11"/>
  <c r="AS69" i="11"/>
  <c r="AT69" i="11"/>
  <c r="AU69" i="11"/>
  <c r="AV69" i="11"/>
  <c r="AW69" i="11"/>
  <c r="AY69" i="11"/>
  <c r="AZ69" i="11"/>
  <c r="BA69" i="11"/>
  <c r="BB69" i="11"/>
  <c r="BC69" i="11"/>
  <c r="BD69" i="11"/>
  <c r="BE69" i="11"/>
  <c r="BF69" i="11"/>
  <c r="BG69" i="11"/>
  <c r="BH69" i="11"/>
  <c r="BJ69" i="11"/>
  <c r="BK69" i="11"/>
  <c r="BL69" i="11"/>
  <c r="BM69" i="11"/>
  <c r="BN69" i="11"/>
  <c r="BO69" i="11"/>
  <c r="BP69" i="11"/>
  <c r="BQ69" i="11"/>
  <c r="BR69" i="11"/>
  <c r="BS69" i="11"/>
  <c r="BU69" i="11"/>
  <c r="BV69" i="11"/>
  <c r="BW69" i="11"/>
  <c r="BX69" i="11"/>
  <c r="BY69" i="11"/>
  <c r="BZ69" i="11"/>
  <c r="CA69" i="11"/>
  <c r="CB69" i="11"/>
  <c r="CC69" i="11"/>
  <c r="CD69" i="11"/>
  <c r="D70" i="11"/>
  <c r="E70" i="11"/>
  <c r="H70" i="11"/>
  <c r="I70" i="11"/>
  <c r="J70" i="11"/>
  <c r="L70" i="11"/>
  <c r="M70" i="11"/>
  <c r="N70" i="11"/>
  <c r="Q70" i="11"/>
  <c r="U70" i="11"/>
  <c r="V70" i="11"/>
  <c r="X70" i="11"/>
  <c r="Y70" i="11"/>
  <c r="Z70" i="11"/>
  <c r="AA70" i="11"/>
  <c r="AC70" i="11"/>
  <c r="AD70" i="11"/>
  <c r="AE70" i="11"/>
  <c r="AF70" i="11"/>
  <c r="AG70" i="11"/>
  <c r="AH70" i="11"/>
  <c r="AI70" i="11"/>
  <c r="AJ70" i="11"/>
  <c r="AK70" i="11"/>
  <c r="AL70" i="11"/>
  <c r="AN70" i="11"/>
  <c r="AO70" i="11"/>
  <c r="AP70" i="11"/>
  <c r="AQ70" i="11"/>
  <c r="AR70" i="11"/>
  <c r="AS70" i="11"/>
  <c r="AT70" i="11"/>
  <c r="AU70" i="11"/>
  <c r="AV70" i="11"/>
  <c r="AW70" i="11"/>
  <c r="AY70" i="11"/>
  <c r="AZ70" i="11"/>
  <c r="BA70" i="11"/>
  <c r="BB70" i="11"/>
  <c r="BC70" i="11"/>
  <c r="BD70" i="11"/>
  <c r="BE70" i="11"/>
  <c r="BF70" i="11"/>
  <c r="BG70" i="11"/>
  <c r="BH70" i="11"/>
  <c r="BJ70" i="11"/>
  <c r="BK70" i="11"/>
  <c r="BL70" i="11"/>
  <c r="BM70" i="11"/>
  <c r="BN70" i="11"/>
  <c r="BO70" i="11"/>
  <c r="BP70" i="11"/>
  <c r="BQ70" i="11"/>
  <c r="BR70" i="11"/>
  <c r="BS70" i="11"/>
  <c r="BU70" i="11"/>
  <c r="BV70" i="11"/>
  <c r="BW70" i="11"/>
  <c r="BX70" i="11"/>
  <c r="BY70" i="11"/>
  <c r="BZ70" i="11"/>
  <c r="CA70" i="11"/>
  <c r="CB70" i="11"/>
  <c r="CC70" i="11"/>
  <c r="CD70" i="11"/>
  <c r="AL71" i="11"/>
  <c r="D72" i="11"/>
  <c r="E72" i="11"/>
  <c r="H72" i="11"/>
  <c r="I72" i="11"/>
  <c r="J72" i="11"/>
  <c r="M72" i="11"/>
  <c r="N72" i="11"/>
  <c r="P72" i="11"/>
  <c r="Q72" i="11"/>
  <c r="S72" i="11"/>
  <c r="U72" i="11"/>
  <c r="V72" i="11"/>
  <c r="X72" i="11"/>
  <c r="Y72" i="11"/>
  <c r="Z72" i="11"/>
  <c r="AA72" i="11"/>
  <c r="AC72" i="11"/>
  <c r="AD72" i="11"/>
  <c r="AE72" i="11"/>
  <c r="AF72" i="11"/>
  <c r="AG72" i="11"/>
  <c r="AH72" i="11"/>
  <c r="AI72" i="11"/>
  <c r="AJ72" i="11"/>
  <c r="AK72" i="11"/>
  <c r="AL72" i="11"/>
  <c r="AN72" i="11"/>
  <c r="AO72" i="11"/>
  <c r="AP72" i="11"/>
  <c r="AQ72" i="11"/>
  <c r="AR72" i="11"/>
  <c r="AS72" i="11"/>
  <c r="AT72" i="11"/>
  <c r="AU72" i="11"/>
  <c r="AV72" i="11"/>
  <c r="AW72" i="11"/>
  <c r="AY72" i="11"/>
  <c r="AZ72" i="11"/>
  <c r="BA72" i="11"/>
  <c r="BB72" i="11"/>
  <c r="BC72" i="11"/>
  <c r="BD72" i="11"/>
  <c r="BE72" i="11"/>
  <c r="BF72" i="11"/>
  <c r="BG72" i="11"/>
  <c r="BH72" i="11"/>
  <c r="BJ72" i="11"/>
  <c r="BK72" i="11"/>
  <c r="BL72" i="11"/>
  <c r="BM72" i="11"/>
  <c r="BN72" i="11"/>
  <c r="BO72" i="11"/>
  <c r="BP72" i="11"/>
  <c r="BQ72" i="11"/>
  <c r="BR72" i="11"/>
  <c r="BS72" i="11"/>
  <c r="BU72" i="11"/>
  <c r="BV72" i="11"/>
  <c r="BW72" i="11"/>
  <c r="BX72" i="11"/>
  <c r="BY72" i="11"/>
  <c r="BZ72" i="11"/>
  <c r="CA72" i="11"/>
  <c r="CB72" i="11"/>
  <c r="CC72" i="11"/>
  <c r="CD72" i="11"/>
  <c r="D73" i="11"/>
  <c r="E73" i="11"/>
  <c r="H73" i="11"/>
  <c r="I73" i="11"/>
  <c r="J73" i="11"/>
  <c r="M73" i="11"/>
  <c r="N73" i="11"/>
  <c r="P73" i="11"/>
  <c r="Q73" i="11"/>
  <c r="S73" i="11"/>
  <c r="U73" i="11"/>
  <c r="V73" i="11"/>
  <c r="X73" i="11"/>
  <c r="Y73" i="11"/>
  <c r="Z73" i="11"/>
  <c r="AA73" i="11"/>
  <c r="AC73" i="11"/>
  <c r="AD73" i="11"/>
  <c r="AE73" i="11"/>
  <c r="AF73" i="11"/>
  <c r="AG73" i="11"/>
  <c r="AH73" i="11"/>
  <c r="AI73" i="11"/>
  <c r="AJ73" i="11"/>
  <c r="AK73" i="11"/>
  <c r="AL73" i="11"/>
  <c r="AN73" i="11"/>
  <c r="AO73" i="11"/>
  <c r="AP73" i="11"/>
  <c r="AQ73" i="11"/>
  <c r="AR73" i="11"/>
  <c r="AS73" i="11"/>
  <c r="AT73" i="11"/>
  <c r="AU73" i="11"/>
  <c r="AV73" i="11"/>
  <c r="AW73" i="11"/>
  <c r="AY73" i="11"/>
  <c r="AZ73" i="11"/>
  <c r="BA73" i="11"/>
  <c r="BB73" i="11"/>
  <c r="BC73" i="11"/>
  <c r="BD73" i="11"/>
  <c r="BE73" i="11"/>
  <c r="BF73" i="11"/>
  <c r="BG73" i="11"/>
  <c r="BH73" i="11"/>
  <c r="BJ73" i="11"/>
  <c r="BK73" i="11"/>
  <c r="BL73" i="11"/>
  <c r="BM73" i="11"/>
  <c r="BN73" i="11"/>
  <c r="BO73" i="11"/>
  <c r="BP73" i="11"/>
  <c r="BQ73" i="11"/>
  <c r="BR73" i="11"/>
  <c r="BS73" i="11"/>
  <c r="BU73" i="11"/>
  <c r="BV73" i="11"/>
  <c r="BW73" i="11"/>
  <c r="BX73" i="11"/>
  <c r="BY73" i="11"/>
  <c r="BZ73" i="11"/>
  <c r="CA73" i="11"/>
  <c r="CB73" i="11"/>
  <c r="CC73" i="11"/>
  <c r="CD73" i="11"/>
  <c r="D74" i="11"/>
  <c r="E74" i="11"/>
  <c r="H74" i="11"/>
  <c r="I74" i="11"/>
  <c r="J74" i="11"/>
  <c r="M74" i="11"/>
  <c r="N74" i="11"/>
  <c r="P74" i="11"/>
  <c r="Q74" i="11"/>
  <c r="S74" i="11"/>
  <c r="U74" i="11"/>
  <c r="V74" i="11"/>
  <c r="X74" i="11"/>
  <c r="Y74" i="11"/>
  <c r="Z74" i="11"/>
  <c r="AA74" i="11"/>
  <c r="AC74" i="11"/>
  <c r="AD74" i="11"/>
  <c r="AE74" i="11"/>
  <c r="AF74" i="11"/>
  <c r="AG74" i="11"/>
  <c r="AH74" i="11"/>
  <c r="AI74" i="11"/>
  <c r="AJ74" i="11"/>
  <c r="AK74" i="11"/>
  <c r="AL74" i="11"/>
  <c r="AN74" i="11"/>
  <c r="AO74" i="11"/>
  <c r="AP74" i="11"/>
  <c r="AQ74" i="11"/>
  <c r="AR74" i="11"/>
  <c r="AS74" i="11"/>
  <c r="AT74" i="11"/>
  <c r="AU74" i="11"/>
  <c r="AV74" i="11"/>
  <c r="AW74" i="11"/>
  <c r="AY74" i="11"/>
  <c r="AZ74" i="11"/>
  <c r="BA74" i="11"/>
  <c r="BB74" i="11"/>
  <c r="BC74" i="11"/>
  <c r="BD74" i="11"/>
  <c r="BE74" i="11"/>
  <c r="BF74" i="11"/>
  <c r="BG74" i="11"/>
  <c r="BH74" i="11"/>
  <c r="BJ74" i="11"/>
  <c r="BK74" i="11"/>
  <c r="BL74" i="11"/>
  <c r="BM74" i="11"/>
  <c r="BN74" i="11"/>
  <c r="BO74" i="11"/>
  <c r="BP74" i="11"/>
  <c r="BQ74" i="11"/>
  <c r="BR74" i="11"/>
  <c r="BS74" i="11"/>
  <c r="BU74" i="11"/>
  <c r="BV74" i="11"/>
  <c r="BW74" i="11"/>
  <c r="BX74" i="11"/>
  <c r="BY74" i="11"/>
  <c r="BZ74" i="11"/>
  <c r="CA74" i="11"/>
  <c r="CB74" i="11"/>
  <c r="CC74" i="11"/>
  <c r="CD74" i="11"/>
  <c r="D75" i="11"/>
  <c r="E75" i="11"/>
  <c r="H75" i="11"/>
  <c r="I75" i="11"/>
  <c r="J75" i="11"/>
  <c r="M75" i="11"/>
  <c r="N75" i="11"/>
  <c r="P75" i="11"/>
  <c r="Q75" i="11"/>
  <c r="S75" i="11"/>
  <c r="U75" i="11"/>
  <c r="V75" i="11"/>
  <c r="X75" i="11"/>
  <c r="Y75" i="11"/>
  <c r="Z75" i="11"/>
  <c r="AA75" i="11"/>
  <c r="AC75" i="11"/>
  <c r="AD75" i="11"/>
  <c r="AE75" i="11"/>
  <c r="AF75" i="11"/>
  <c r="AG75" i="11"/>
  <c r="AH75" i="11"/>
  <c r="AI75" i="11"/>
  <c r="AJ75" i="11"/>
  <c r="AK75" i="11"/>
  <c r="AL75" i="11"/>
  <c r="AN75" i="11"/>
  <c r="AO75" i="11"/>
  <c r="AP75" i="11"/>
  <c r="AQ75" i="11"/>
  <c r="AR75" i="11"/>
  <c r="AS75" i="11"/>
  <c r="AT75" i="11"/>
  <c r="AU75" i="11"/>
  <c r="AV75" i="11"/>
  <c r="AW75" i="11"/>
  <c r="AY75" i="11"/>
  <c r="AZ75" i="11"/>
  <c r="BA75" i="11"/>
  <c r="BB75" i="11"/>
  <c r="BC75" i="11"/>
  <c r="BD75" i="11"/>
  <c r="BE75" i="11"/>
  <c r="BF75" i="11"/>
  <c r="BG75" i="11"/>
  <c r="BH75" i="11"/>
  <c r="BJ75" i="11"/>
  <c r="BK75" i="11"/>
  <c r="BL75" i="11"/>
  <c r="BM75" i="11"/>
  <c r="BN75" i="11"/>
  <c r="BO75" i="11"/>
  <c r="BP75" i="11"/>
  <c r="BQ75" i="11"/>
  <c r="BR75" i="11"/>
  <c r="BS75" i="11"/>
  <c r="BU75" i="11"/>
  <c r="BV75" i="11"/>
  <c r="BW75" i="11"/>
  <c r="BX75" i="11"/>
  <c r="BY75" i="11"/>
  <c r="BZ75" i="11"/>
  <c r="CA75" i="11"/>
  <c r="CB75" i="11"/>
  <c r="CC75" i="11"/>
  <c r="CD75" i="11"/>
  <c r="D76" i="11"/>
  <c r="E76" i="11"/>
  <c r="H76" i="11"/>
  <c r="I76" i="11"/>
  <c r="J76" i="11"/>
  <c r="M76" i="11"/>
  <c r="N76" i="11"/>
  <c r="P76" i="11"/>
  <c r="Q76" i="11"/>
  <c r="S76" i="11"/>
  <c r="U76" i="11"/>
  <c r="V76" i="11"/>
  <c r="X76" i="11"/>
  <c r="Y76" i="11"/>
  <c r="Z76" i="11"/>
  <c r="AA76" i="11"/>
  <c r="AC76" i="11"/>
  <c r="AD76" i="11"/>
  <c r="AE76" i="11"/>
  <c r="AF76" i="11"/>
  <c r="AG76" i="11"/>
  <c r="AH76" i="11"/>
  <c r="AI76" i="11"/>
  <c r="AJ76" i="11"/>
  <c r="AK76" i="11"/>
  <c r="AL76" i="11"/>
  <c r="AN76" i="11"/>
  <c r="AO76" i="11"/>
  <c r="AP76" i="11"/>
  <c r="AQ76" i="11"/>
  <c r="AR76" i="11"/>
  <c r="AS76" i="11"/>
  <c r="AT76" i="11"/>
  <c r="AU76" i="11"/>
  <c r="AV76" i="11"/>
  <c r="AW76" i="11"/>
  <c r="AY76" i="11"/>
  <c r="AZ76" i="11"/>
  <c r="BA76" i="11"/>
  <c r="BB76" i="11"/>
  <c r="BC76" i="11"/>
  <c r="BD76" i="11"/>
  <c r="BE76" i="11"/>
  <c r="BF76" i="11"/>
  <c r="BG76" i="11"/>
  <c r="BH76" i="11"/>
  <c r="BJ76" i="11"/>
  <c r="BK76" i="11"/>
  <c r="BL76" i="11"/>
  <c r="BM76" i="11"/>
  <c r="BN76" i="11"/>
  <c r="BO76" i="11"/>
  <c r="BP76" i="11"/>
  <c r="BQ76" i="11"/>
  <c r="BR76" i="11"/>
  <c r="BS76" i="11"/>
  <c r="BU76" i="11"/>
  <c r="BV76" i="11"/>
  <c r="BW76" i="11"/>
  <c r="BX76" i="11"/>
  <c r="BY76" i="11"/>
  <c r="BZ76" i="11"/>
  <c r="CA76" i="11"/>
  <c r="CB76" i="11"/>
  <c r="CC76" i="11"/>
  <c r="CD76" i="11"/>
  <c r="D77" i="11"/>
  <c r="E77" i="11"/>
  <c r="H77" i="11"/>
  <c r="I77" i="11"/>
  <c r="J77" i="11"/>
  <c r="M77" i="11"/>
  <c r="N77" i="11"/>
  <c r="P77" i="11"/>
  <c r="Q77" i="11"/>
  <c r="S77" i="11"/>
  <c r="U77" i="11"/>
  <c r="V77" i="11"/>
  <c r="X77" i="11"/>
  <c r="Y77" i="11"/>
  <c r="Z77" i="11"/>
  <c r="AA77" i="11"/>
  <c r="AC77" i="11"/>
  <c r="AD77" i="11"/>
  <c r="AE77" i="11"/>
  <c r="AF77" i="11"/>
  <c r="AG77" i="11"/>
  <c r="AH77" i="11"/>
  <c r="AI77" i="11"/>
  <c r="AJ77" i="11"/>
  <c r="AK77" i="11"/>
  <c r="AL77" i="11"/>
  <c r="AN77" i="11"/>
  <c r="AO77" i="11"/>
  <c r="AP77" i="11"/>
  <c r="AQ77" i="11"/>
  <c r="AR77" i="11"/>
  <c r="AS77" i="11"/>
  <c r="AT77" i="11"/>
  <c r="AU77" i="11"/>
  <c r="AV77" i="11"/>
  <c r="AW77" i="11"/>
  <c r="AY77" i="11"/>
  <c r="AZ77" i="11"/>
  <c r="BA77" i="11"/>
  <c r="BB77" i="11"/>
  <c r="BC77" i="11"/>
  <c r="BD77" i="11"/>
  <c r="BE77" i="11"/>
  <c r="BF77" i="11"/>
  <c r="BG77" i="11"/>
  <c r="BH77" i="11"/>
  <c r="BJ77" i="11"/>
  <c r="BK77" i="11"/>
  <c r="BL77" i="11"/>
  <c r="BM77" i="11"/>
  <c r="BN77" i="11"/>
  <c r="BO77" i="11"/>
  <c r="BP77" i="11"/>
  <c r="BQ77" i="11"/>
  <c r="BR77" i="11"/>
  <c r="BS77" i="11"/>
  <c r="BU77" i="11"/>
  <c r="BV77" i="11"/>
  <c r="BW77" i="11"/>
  <c r="BX77" i="11"/>
  <c r="BY77" i="11"/>
  <c r="BZ77" i="11"/>
  <c r="CA77" i="11"/>
  <c r="CB77" i="11"/>
  <c r="CC77" i="11"/>
  <c r="CD77" i="11"/>
  <c r="D78" i="11"/>
  <c r="E78" i="11"/>
  <c r="H78" i="11"/>
  <c r="I78" i="11"/>
  <c r="J78" i="11"/>
  <c r="M78" i="11"/>
  <c r="N78" i="11"/>
  <c r="P78" i="11"/>
  <c r="Q78" i="11"/>
  <c r="S78" i="11"/>
  <c r="U78" i="11"/>
  <c r="V78" i="11"/>
  <c r="X78" i="11"/>
  <c r="Y78" i="11"/>
  <c r="Z78" i="11"/>
  <c r="AA78" i="11"/>
  <c r="AC78" i="11"/>
  <c r="AD78" i="11"/>
  <c r="AE78" i="11"/>
  <c r="AF78" i="11"/>
  <c r="AG78" i="11"/>
  <c r="AH78" i="11"/>
  <c r="AI78" i="11"/>
  <c r="AJ78" i="11"/>
  <c r="AK78" i="11"/>
  <c r="AL78" i="11"/>
  <c r="AN78" i="11"/>
  <c r="AO78" i="11"/>
  <c r="AP78" i="11"/>
  <c r="AQ78" i="11"/>
  <c r="AR78" i="11"/>
  <c r="AS78" i="11"/>
  <c r="AT78" i="11"/>
  <c r="AU78" i="11"/>
  <c r="AV78" i="11"/>
  <c r="AW78" i="11"/>
  <c r="AY78" i="11"/>
  <c r="AZ78" i="11"/>
  <c r="BA78" i="11"/>
  <c r="BB78" i="11"/>
  <c r="BC78" i="11"/>
  <c r="BD78" i="11"/>
  <c r="BE78" i="11"/>
  <c r="BF78" i="11"/>
  <c r="BG78" i="11"/>
  <c r="BH78" i="11"/>
  <c r="BJ78" i="11"/>
  <c r="BK78" i="11"/>
  <c r="BL78" i="11"/>
  <c r="BM78" i="11"/>
  <c r="BN78" i="11"/>
  <c r="BO78" i="11"/>
  <c r="BP78" i="11"/>
  <c r="BQ78" i="11"/>
  <c r="BR78" i="11"/>
  <c r="BS78" i="11"/>
  <c r="BU78" i="11"/>
  <c r="BV78" i="11"/>
  <c r="BW78" i="11"/>
  <c r="BX78" i="11"/>
  <c r="BY78" i="11"/>
  <c r="BZ78" i="11"/>
  <c r="CA78" i="11"/>
  <c r="CB78" i="11"/>
  <c r="CC78" i="11"/>
  <c r="CD78" i="11"/>
  <c r="D79" i="11"/>
  <c r="E79" i="11"/>
  <c r="H79" i="11"/>
  <c r="I79" i="11"/>
  <c r="J79" i="11"/>
  <c r="M79" i="11"/>
  <c r="N79" i="11"/>
  <c r="P79" i="11"/>
  <c r="Q79" i="11"/>
  <c r="S79" i="11"/>
  <c r="U79" i="11"/>
  <c r="V79" i="11"/>
  <c r="X79" i="11"/>
  <c r="Y79" i="11"/>
  <c r="Z79" i="11"/>
  <c r="AA79" i="11"/>
  <c r="AC79" i="11"/>
  <c r="AD79" i="11"/>
  <c r="AE79" i="11"/>
  <c r="AF79" i="11"/>
  <c r="AG79" i="11"/>
  <c r="AH79" i="11"/>
  <c r="AI79" i="11"/>
  <c r="AJ79" i="11"/>
  <c r="AK79" i="11"/>
  <c r="AL79" i="11"/>
  <c r="AN79" i="11"/>
  <c r="AO79" i="11"/>
  <c r="AP79" i="11"/>
  <c r="AQ79" i="11"/>
  <c r="AR79" i="11"/>
  <c r="AS79" i="11"/>
  <c r="AT79" i="11"/>
  <c r="AU79" i="11"/>
  <c r="AV79" i="11"/>
  <c r="AW79" i="11"/>
  <c r="AY79" i="11"/>
  <c r="AZ79" i="11"/>
  <c r="BA79" i="11"/>
  <c r="BB79" i="11"/>
  <c r="BC79" i="11"/>
  <c r="BD79" i="11"/>
  <c r="BE79" i="11"/>
  <c r="BF79" i="11"/>
  <c r="BG79" i="11"/>
  <c r="BH79" i="11"/>
  <c r="BJ79" i="11"/>
  <c r="BK79" i="11"/>
  <c r="BL79" i="11"/>
  <c r="BM79" i="11"/>
  <c r="BN79" i="11"/>
  <c r="BO79" i="11"/>
  <c r="BP79" i="11"/>
  <c r="BQ79" i="11"/>
  <c r="BR79" i="11"/>
  <c r="BS79" i="11"/>
  <c r="BU79" i="11"/>
  <c r="BV79" i="11"/>
  <c r="BW79" i="11"/>
  <c r="BX79" i="11"/>
  <c r="BY79" i="11"/>
  <c r="BZ79" i="11"/>
  <c r="CA79" i="11"/>
  <c r="CB79" i="11"/>
  <c r="CC79" i="11"/>
  <c r="CD79" i="11"/>
  <c r="D80" i="11"/>
  <c r="E80" i="11"/>
  <c r="G80" i="11"/>
  <c r="H80" i="11"/>
  <c r="I80" i="11"/>
  <c r="J80" i="11"/>
  <c r="M80" i="11"/>
  <c r="N80" i="11"/>
  <c r="P80" i="11"/>
  <c r="Q80" i="11"/>
  <c r="S80" i="11"/>
  <c r="U80" i="11"/>
  <c r="V80" i="11"/>
  <c r="X80" i="11"/>
  <c r="Y80" i="11"/>
  <c r="Z80" i="11"/>
  <c r="AA80" i="11"/>
  <c r="AC80" i="11"/>
  <c r="AD80" i="11"/>
  <c r="AE80" i="11"/>
  <c r="AF80" i="11"/>
  <c r="AG80" i="11"/>
  <c r="AH80" i="11"/>
  <c r="AI80" i="11"/>
  <c r="AJ80" i="11"/>
  <c r="AK80" i="11"/>
  <c r="AL80" i="11"/>
  <c r="AN80" i="11"/>
  <c r="AO80" i="11"/>
  <c r="AP80" i="11"/>
  <c r="AQ80" i="11"/>
  <c r="AR80" i="11"/>
  <c r="AS80" i="11"/>
  <c r="AT80" i="11"/>
  <c r="AU80" i="11"/>
  <c r="AV80" i="11"/>
  <c r="AW80" i="11"/>
  <c r="AY80" i="11"/>
  <c r="AZ80" i="11"/>
  <c r="BA80" i="11"/>
  <c r="BB80" i="11"/>
  <c r="BC80" i="11"/>
  <c r="BD80" i="11"/>
  <c r="BE80" i="11"/>
  <c r="BF80" i="11"/>
  <c r="BG80" i="11"/>
  <c r="BH80" i="11"/>
  <c r="BJ80" i="11"/>
  <c r="BK80" i="11"/>
  <c r="BL80" i="11"/>
  <c r="BM80" i="11"/>
  <c r="BN80" i="11"/>
  <c r="BO80" i="11"/>
  <c r="BP80" i="11"/>
  <c r="BQ80" i="11"/>
  <c r="BR80" i="11"/>
  <c r="BS80" i="11"/>
  <c r="BU80" i="11"/>
  <c r="BV80" i="11"/>
  <c r="BW80" i="11"/>
  <c r="BX80" i="11"/>
  <c r="BY80" i="11"/>
  <c r="BZ80" i="11"/>
  <c r="CA80" i="11"/>
  <c r="CB80" i="11"/>
  <c r="CC80" i="11"/>
  <c r="CD80" i="11"/>
  <c r="D81" i="11"/>
  <c r="E81" i="11"/>
  <c r="H81" i="11"/>
  <c r="I81" i="11"/>
  <c r="J81" i="11"/>
  <c r="M81" i="11"/>
  <c r="N81" i="11"/>
  <c r="P81" i="11"/>
  <c r="Q81" i="11"/>
  <c r="S81" i="11"/>
  <c r="U81" i="11"/>
  <c r="V81" i="11"/>
  <c r="X81" i="11"/>
  <c r="Y81" i="11"/>
  <c r="Z81" i="11"/>
  <c r="AA81" i="11"/>
  <c r="AC81" i="11"/>
  <c r="AD81" i="11"/>
  <c r="AE81" i="11"/>
  <c r="AF81" i="11"/>
  <c r="AG81" i="11"/>
  <c r="AH81" i="11"/>
  <c r="AI81" i="11"/>
  <c r="AJ81" i="11"/>
  <c r="AL81" i="11"/>
  <c r="AN81" i="11"/>
  <c r="AO81" i="11"/>
  <c r="AP81" i="11"/>
  <c r="AQ81" i="11"/>
  <c r="AR81" i="11"/>
  <c r="AS81" i="11"/>
  <c r="AU81" i="11"/>
  <c r="AV81" i="11"/>
  <c r="AW81" i="11"/>
  <c r="AY81" i="11"/>
  <c r="AZ81" i="11"/>
  <c r="BA81" i="11"/>
  <c r="BB81" i="11"/>
  <c r="BC81" i="11"/>
  <c r="BD81" i="11"/>
  <c r="BE81" i="11"/>
  <c r="BF81" i="11"/>
  <c r="BG81" i="11"/>
  <c r="BH81" i="11"/>
  <c r="BJ81" i="11"/>
  <c r="BK81" i="11"/>
  <c r="BL81" i="11"/>
  <c r="BM81" i="11"/>
  <c r="BN81" i="11"/>
  <c r="BO81" i="11"/>
  <c r="BP81" i="11"/>
  <c r="BQ81" i="11"/>
  <c r="BR81" i="11"/>
  <c r="BS81" i="11"/>
  <c r="BU81" i="11"/>
  <c r="BV81" i="11"/>
  <c r="BW81" i="11"/>
  <c r="BX81" i="11"/>
  <c r="BY81" i="11"/>
  <c r="BZ81" i="11"/>
  <c r="CA81" i="11"/>
  <c r="CB81" i="11"/>
  <c r="CC81" i="11"/>
  <c r="CD81" i="11"/>
  <c r="D82" i="11"/>
  <c r="E82" i="11"/>
  <c r="H82" i="11"/>
  <c r="I82" i="11"/>
  <c r="J82" i="11"/>
  <c r="M82" i="11"/>
  <c r="N82" i="11"/>
  <c r="Q82" i="11"/>
  <c r="V82" i="11"/>
  <c r="Y82" i="11"/>
  <c r="AA82" i="11"/>
  <c r="AH82" i="11"/>
  <c r="AI82" i="11"/>
  <c r="AJ82" i="11"/>
  <c r="AK82" i="11"/>
  <c r="AL82" i="11"/>
  <c r="AS82" i="11"/>
  <c r="AT82" i="11"/>
  <c r="AU82" i="11"/>
  <c r="AV82" i="11"/>
  <c r="AW82" i="11"/>
  <c r="BD82" i="11"/>
  <c r="BE82" i="11"/>
  <c r="BF82" i="11"/>
  <c r="BG82" i="11"/>
  <c r="BH82" i="11"/>
  <c r="BO82" i="11"/>
  <c r="BP82" i="11"/>
  <c r="BQ82" i="11"/>
  <c r="BR82" i="11"/>
  <c r="BS82" i="11"/>
  <c r="BZ82" i="11"/>
  <c r="CA82" i="11"/>
  <c r="CB82" i="11"/>
  <c r="CC82" i="11"/>
  <c r="CD82" i="11"/>
  <c r="D83" i="11"/>
  <c r="E83" i="11"/>
  <c r="G83" i="11"/>
  <c r="H83" i="11"/>
  <c r="I83" i="11"/>
  <c r="J83" i="11"/>
  <c r="M83" i="11"/>
  <c r="N83" i="11"/>
  <c r="P83" i="11"/>
  <c r="Q83" i="11"/>
  <c r="S83" i="11"/>
  <c r="U83" i="11"/>
  <c r="V83" i="11"/>
  <c r="X83" i="11"/>
  <c r="Y83" i="11"/>
  <c r="Z83" i="11"/>
  <c r="AA83" i="11"/>
  <c r="AC83" i="11"/>
  <c r="AD83" i="11"/>
  <c r="AE83" i="11"/>
  <c r="AF83" i="11"/>
  <c r="AG83" i="11"/>
  <c r="AH83" i="11"/>
  <c r="AI83" i="11"/>
  <c r="AJ83" i="11"/>
  <c r="AK83" i="11"/>
  <c r="AL83" i="11"/>
  <c r="AN83" i="11"/>
  <c r="AO83" i="11"/>
  <c r="AP83" i="11"/>
  <c r="AQ83" i="11"/>
  <c r="AR83" i="11"/>
  <c r="AS83" i="11"/>
  <c r="AT83" i="11"/>
  <c r="AU83" i="11"/>
  <c r="AV83" i="11"/>
  <c r="AW83" i="11"/>
  <c r="AY83" i="11"/>
  <c r="AZ83" i="11"/>
  <c r="BA83" i="11"/>
  <c r="BB83" i="11"/>
  <c r="BC83" i="11"/>
  <c r="BD83" i="11"/>
  <c r="BE83" i="11"/>
  <c r="BF83" i="11"/>
  <c r="BG83" i="11"/>
  <c r="BH83" i="11"/>
  <c r="BJ83" i="11"/>
  <c r="BK83" i="11"/>
  <c r="BL83" i="11"/>
  <c r="BM83" i="11"/>
  <c r="BN83" i="11"/>
  <c r="BO83" i="11"/>
  <c r="BP83" i="11"/>
  <c r="BQ83" i="11"/>
  <c r="BR83" i="11"/>
  <c r="BS83" i="11"/>
  <c r="BU83" i="11"/>
  <c r="BV83" i="11"/>
  <c r="BW83" i="11"/>
  <c r="BX83" i="11"/>
  <c r="BY83" i="11"/>
  <c r="BZ83" i="11"/>
  <c r="CA83" i="11"/>
  <c r="CB83" i="11"/>
  <c r="CC83" i="11"/>
  <c r="CD83" i="11"/>
  <c r="D84" i="11"/>
  <c r="E84" i="11"/>
  <c r="G84" i="11"/>
  <c r="H84" i="11"/>
  <c r="I84" i="11"/>
  <c r="J84" i="11"/>
  <c r="M84" i="11"/>
  <c r="N84" i="11"/>
  <c r="P84" i="11"/>
  <c r="Q84" i="11"/>
  <c r="S84" i="11"/>
  <c r="U84" i="11"/>
  <c r="V84" i="11"/>
  <c r="X84" i="11"/>
  <c r="Y84" i="11"/>
  <c r="Z84" i="11"/>
  <c r="AA84" i="11"/>
  <c r="AC84" i="11"/>
  <c r="AD84" i="11"/>
  <c r="AE84" i="11"/>
  <c r="AF84" i="11"/>
  <c r="AG84" i="11"/>
  <c r="AH84" i="11"/>
  <c r="AI84" i="11"/>
  <c r="AJ84" i="11"/>
  <c r="AK84" i="11"/>
  <c r="AL84" i="11"/>
  <c r="AN84" i="11"/>
  <c r="AO84" i="11"/>
  <c r="AP84" i="11"/>
  <c r="AQ84" i="11"/>
  <c r="AR84" i="11"/>
  <c r="AS84" i="11"/>
  <c r="AT84" i="11"/>
  <c r="AU84" i="11"/>
  <c r="AV84" i="11"/>
  <c r="AW84" i="11"/>
  <c r="AY84" i="11"/>
  <c r="AZ84" i="11"/>
  <c r="BA84" i="11"/>
  <c r="BB84" i="11"/>
  <c r="BC84" i="11"/>
  <c r="BD84" i="11"/>
  <c r="BE84" i="11"/>
  <c r="BF84" i="11"/>
  <c r="BG84" i="11"/>
  <c r="BH84" i="11"/>
  <c r="BJ84" i="11"/>
  <c r="BK84" i="11"/>
  <c r="BL84" i="11"/>
  <c r="BM84" i="11"/>
  <c r="BN84" i="11"/>
  <c r="BO84" i="11"/>
  <c r="BP84" i="11"/>
  <c r="BQ84" i="11"/>
  <c r="BR84" i="11"/>
  <c r="BS84" i="11"/>
  <c r="BU84" i="11"/>
  <c r="BV84" i="11"/>
  <c r="BW84" i="11"/>
  <c r="BX84" i="11"/>
  <c r="BY84" i="11"/>
  <c r="BZ84" i="11"/>
  <c r="CA84" i="11"/>
  <c r="CB84" i="11"/>
  <c r="CC84" i="11"/>
  <c r="CD84" i="11"/>
  <c r="D85" i="11"/>
  <c r="E85" i="11"/>
  <c r="G85" i="11"/>
  <c r="H85" i="11"/>
  <c r="I85" i="11"/>
  <c r="J85" i="11"/>
  <c r="M85" i="11"/>
  <c r="N85" i="11"/>
  <c r="P85" i="11"/>
  <c r="Q85" i="11"/>
  <c r="S85" i="11"/>
  <c r="U85" i="11"/>
  <c r="V85" i="11"/>
  <c r="X85" i="11"/>
  <c r="Y85" i="11"/>
  <c r="Z85" i="11"/>
  <c r="AA85" i="11"/>
  <c r="AC85" i="11"/>
  <c r="AD85" i="11"/>
  <c r="AE85" i="11"/>
  <c r="AF85" i="11"/>
  <c r="AG85" i="11"/>
  <c r="AH85" i="11"/>
  <c r="AI85" i="11"/>
  <c r="AJ85" i="11"/>
  <c r="AL85" i="11"/>
  <c r="AN85" i="11"/>
  <c r="AO85" i="11"/>
  <c r="AP85" i="11"/>
  <c r="AQ85" i="11"/>
  <c r="AR85" i="11"/>
  <c r="AS85" i="11"/>
  <c r="AT85" i="11"/>
  <c r="AU85" i="11"/>
  <c r="AV85" i="11"/>
  <c r="AW85" i="11"/>
  <c r="AY85" i="11"/>
  <c r="AZ85" i="11"/>
  <c r="BA85" i="11"/>
  <c r="BB85" i="11"/>
  <c r="BC85" i="11"/>
  <c r="BD85" i="11"/>
  <c r="BE85" i="11"/>
  <c r="BF85" i="11"/>
  <c r="BG85" i="11"/>
  <c r="BH85" i="11"/>
  <c r="BJ85" i="11"/>
  <c r="BK85" i="11"/>
  <c r="BL85" i="11"/>
  <c r="BM85" i="11"/>
  <c r="BN85" i="11"/>
  <c r="BO85" i="11"/>
  <c r="BP85" i="11"/>
  <c r="BQ85" i="11"/>
  <c r="BR85" i="11"/>
  <c r="BS85" i="11"/>
  <c r="BU85" i="11"/>
  <c r="BV85" i="11"/>
  <c r="BW85" i="11"/>
  <c r="BX85" i="11"/>
  <c r="BY85" i="11"/>
  <c r="BZ85" i="11"/>
  <c r="CA85" i="11"/>
  <c r="CB85" i="11"/>
  <c r="CC85" i="11"/>
  <c r="CD85" i="11"/>
  <c r="E86" i="11"/>
  <c r="G86" i="11"/>
  <c r="H86" i="11"/>
  <c r="I86" i="11"/>
  <c r="J86" i="11"/>
  <c r="M86" i="11"/>
  <c r="N86" i="11"/>
  <c r="P86" i="11"/>
  <c r="Q86" i="11"/>
  <c r="S86" i="11"/>
  <c r="U86" i="11"/>
  <c r="V86" i="11"/>
  <c r="X86" i="11"/>
  <c r="Y86" i="11"/>
  <c r="Z86" i="11"/>
  <c r="AA86" i="11"/>
  <c r="AC86" i="11"/>
  <c r="AD86" i="11"/>
  <c r="AE86" i="11"/>
  <c r="AF86" i="11"/>
  <c r="AG86" i="11"/>
  <c r="AH86" i="11"/>
  <c r="AJ86" i="11"/>
  <c r="AL86" i="11"/>
  <c r="AN86" i="11"/>
  <c r="AO86" i="11"/>
  <c r="AP86" i="11"/>
  <c r="AQ86" i="11"/>
  <c r="AR86" i="11"/>
  <c r="AS86" i="11"/>
  <c r="AT86" i="11"/>
  <c r="AU86" i="11"/>
  <c r="AV86" i="11"/>
  <c r="AW86" i="11"/>
  <c r="AY86" i="11"/>
  <c r="AZ86" i="11"/>
  <c r="BA86" i="11"/>
  <c r="BB86" i="11"/>
  <c r="BC86" i="11"/>
  <c r="BD86" i="11"/>
  <c r="BE86" i="11"/>
  <c r="BF86" i="11"/>
  <c r="BG86" i="11"/>
  <c r="BH86" i="11"/>
  <c r="BJ86" i="11"/>
  <c r="BK86" i="11"/>
  <c r="BL86" i="11"/>
  <c r="BM86" i="11"/>
  <c r="BN86" i="11"/>
  <c r="BO86" i="11"/>
  <c r="BP86" i="11"/>
  <c r="BQ86" i="11"/>
  <c r="BR86" i="11"/>
  <c r="BS86" i="11"/>
  <c r="BU86" i="11"/>
  <c r="BV86" i="11"/>
  <c r="BW86" i="11"/>
  <c r="BX86" i="11"/>
  <c r="BY86" i="11"/>
  <c r="BZ86" i="11"/>
  <c r="CA86" i="11"/>
  <c r="CB86" i="11"/>
  <c r="CC86" i="11"/>
  <c r="CD86" i="11"/>
  <c r="D87" i="11"/>
  <c r="E87" i="11"/>
  <c r="H87" i="11"/>
  <c r="I87" i="11"/>
  <c r="J87" i="11"/>
  <c r="M87" i="11"/>
  <c r="N87" i="11"/>
  <c r="Q87" i="11"/>
  <c r="V87" i="11"/>
  <c r="Y87" i="11"/>
  <c r="Z87" i="11"/>
  <c r="AA87" i="11"/>
  <c r="AH87" i="11"/>
  <c r="AI87" i="11"/>
  <c r="AJ87" i="11"/>
  <c r="AK87" i="11"/>
  <c r="AL87" i="11"/>
  <c r="AS87" i="11"/>
  <c r="AT87" i="11"/>
  <c r="AU87" i="11"/>
  <c r="AV87" i="11"/>
  <c r="AW87" i="11"/>
  <c r="BD87" i="11"/>
  <c r="BE87" i="11"/>
  <c r="BF87" i="11"/>
  <c r="BG87" i="11"/>
  <c r="BH87" i="11"/>
  <c r="BO87" i="11"/>
  <c r="BP87" i="11"/>
  <c r="BQ87" i="11"/>
  <c r="BR87" i="11"/>
  <c r="BS87" i="11"/>
  <c r="BZ87" i="11"/>
  <c r="CA87" i="11"/>
  <c r="CB87" i="11"/>
  <c r="CC87" i="11"/>
  <c r="CD87" i="11"/>
  <c r="D88" i="11"/>
  <c r="E88" i="11"/>
  <c r="G88" i="11"/>
  <c r="H88" i="11"/>
  <c r="I88" i="11"/>
  <c r="J88" i="11"/>
  <c r="M88" i="11"/>
  <c r="N88" i="11"/>
  <c r="P88" i="11"/>
  <c r="Q88" i="11"/>
  <c r="S88" i="11"/>
  <c r="U88" i="11"/>
  <c r="V88" i="11"/>
  <c r="X88" i="11"/>
  <c r="Y88" i="11"/>
  <c r="Z88" i="11"/>
  <c r="AA88" i="11"/>
  <c r="AC88" i="11"/>
  <c r="AD88" i="11"/>
  <c r="AE88" i="11"/>
  <c r="AF88" i="11"/>
  <c r="AG88" i="11"/>
  <c r="AH88" i="11"/>
  <c r="AI88" i="11"/>
  <c r="AJ88" i="11"/>
  <c r="AK88" i="11"/>
  <c r="AL88" i="11"/>
  <c r="AN88" i="11"/>
  <c r="AO88" i="11"/>
  <c r="AP88" i="11"/>
  <c r="AQ88" i="11"/>
  <c r="AR88" i="11"/>
  <c r="AS88" i="11"/>
  <c r="AT88" i="11"/>
  <c r="AU88" i="11"/>
  <c r="AV88" i="11"/>
  <c r="AW88" i="11"/>
  <c r="AY88" i="11"/>
  <c r="AZ88" i="11"/>
  <c r="BA88" i="11"/>
  <c r="BB88" i="11"/>
  <c r="BC88" i="11"/>
  <c r="BD88" i="11"/>
  <c r="BE88" i="11"/>
  <c r="BF88" i="11"/>
  <c r="BG88" i="11"/>
  <c r="BH88" i="11"/>
  <c r="BJ88" i="11"/>
  <c r="BK88" i="11"/>
  <c r="BL88" i="11"/>
  <c r="BM88" i="11"/>
  <c r="BN88" i="11"/>
  <c r="BO88" i="11"/>
  <c r="BP88" i="11"/>
  <c r="BQ88" i="11"/>
  <c r="BR88" i="11"/>
  <c r="BS88" i="11"/>
  <c r="BU88" i="11"/>
  <c r="BV88" i="11"/>
  <c r="BW88" i="11"/>
  <c r="BX88" i="11"/>
  <c r="BY88" i="11"/>
  <c r="BZ88" i="11"/>
  <c r="CA88" i="11"/>
  <c r="CB88" i="11"/>
  <c r="CC88" i="11"/>
  <c r="CD88" i="11"/>
  <c r="D89" i="11"/>
  <c r="E89" i="11"/>
  <c r="H89" i="11"/>
  <c r="I89" i="11"/>
  <c r="J89" i="11"/>
  <c r="L89" i="11"/>
  <c r="M89" i="11"/>
  <c r="N89" i="11"/>
  <c r="Q89" i="11"/>
  <c r="U89" i="11"/>
  <c r="V89" i="11"/>
  <c r="X89" i="11"/>
  <c r="Y89" i="11"/>
  <c r="Z89" i="11"/>
  <c r="AA89" i="11"/>
  <c r="AH89" i="11"/>
  <c r="AI89" i="11"/>
  <c r="AJ89" i="11"/>
  <c r="AL89" i="11"/>
  <c r="AS89" i="11"/>
  <c r="AT89" i="11"/>
  <c r="AU89" i="11"/>
  <c r="AV89" i="11"/>
  <c r="AW89" i="11"/>
  <c r="BD89" i="11"/>
  <c r="BE89" i="11"/>
  <c r="BF89" i="11"/>
  <c r="BG89" i="11"/>
  <c r="BH89" i="11"/>
  <c r="BO89" i="11"/>
  <c r="BP89" i="11"/>
  <c r="BQ89" i="11"/>
  <c r="BR89" i="11"/>
  <c r="BS89" i="11"/>
  <c r="BZ89" i="11"/>
  <c r="CA89" i="11"/>
  <c r="CB89" i="11"/>
  <c r="CC89" i="11"/>
  <c r="CD89" i="11"/>
  <c r="D90" i="11"/>
  <c r="E90" i="11"/>
  <c r="H90" i="11"/>
  <c r="I90" i="11"/>
  <c r="J90" i="11"/>
  <c r="L90" i="11"/>
  <c r="M90" i="11"/>
  <c r="N90" i="11"/>
  <c r="Q90" i="11"/>
  <c r="U90" i="11"/>
  <c r="V90" i="11"/>
  <c r="X90" i="11"/>
  <c r="Y90" i="11"/>
  <c r="Z90" i="11"/>
  <c r="AA90" i="11"/>
  <c r="AH90" i="11"/>
  <c r="AI90" i="11"/>
  <c r="AJ90" i="11"/>
  <c r="AK90" i="11"/>
  <c r="AL90" i="11"/>
  <c r="AS90" i="11"/>
  <c r="AT90" i="11"/>
  <c r="AU90" i="11"/>
  <c r="AV90" i="11"/>
  <c r="AW90" i="11"/>
  <c r="BD90" i="11"/>
  <c r="BE90" i="11"/>
  <c r="BF90" i="11"/>
  <c r="BG90" i="11"/>
  <c r="BH90" i="11"/>
  <c r="BO90" i="11"/>
  <c r="BP90" i="11"/>
  <c r="BQ90" i="11"/>
  <c r="BR90" i="11"/>
  <c r="BS90" i="11"/>
  <c r="BZ90" i="11"/>
  <c r="CA90" i="11"/>
  <c r="CB90" i="11"/>
  <c r="CC90" i="11"/>
  <c r="CD90" i="11"/>
  <c r="D91" i="11"/>
  <c r="E91" i="11"/>
  <c r="H91" i="11"/>
  <c r="I91" i="11"/>
  <c r="J91" i="11"/>
  <c r="L91" i="11"/>
  <c r="M91" i="11"/>
  <c r="N91" i="11"/>
  <c r="Q91" i="11"/>
  <c r="U91" i="11"/>
  <c r="V91" i="11"/>
  <c r="X91" i="11"/>
  <c r="Y91" i="11"/>
  <c r="Z91" i="11"/>
  <c r="AA91" i="11"/>
  <c r="AC91" i="11"/>
  <c r="AD91" i="11"/>
  <c r="AE91" i="11"/>
  <c r="AF91" i="11"/>
  <c r="AG91" i="11"/>
  <c r="AH91" i="11"/>
  <c r="AI91" i="11"/>
  <c r="AJ91" i="11"/>
  <c r="AK91" i="11"/>
  <c r="AL91" i="11"/>
  <c r="AN91" i="11"/>
  <c r="AO91" i="11"/>
  <c r="AP91" i="11"/>
  <c r="AQ91" i="11"/>
  <c r="AR91" i="11"/>
  <c r="AS91" i="11"/>
  <c r="AT91" i="11"/>
  <c r="AU91" i="11"/>
  <c r="AV91" i="11"/>
  <c r="AW91" i="11"/>
  <c r="AY91" i="11"/>
  <c r="AZ91" i="11"/>
  <c r="BA91" i="11"/>
  <c r="BB91" i="11"/>
  <c r="BC91" i="11"/>
  <c r="BD91" i="11"/>
  <c r="BE91" i="11"/>
  <c r="BF91" i="11"/>
  <c r="BG91" i="11"/>
  <c r="BH91" i="11"/>
  <c r="BJ91" i="11"/>
  <c r="BK91" i="11"/>
  <c r="BL91" i="11"/>
  <c r="BM91" i="11"/>
  <c r="BN91" i="11"/>
  <c r="BO91" i="11"/>
  <c r="BP91" i="11"/>
  <c r="BQ91" i="11"/>
  <c r="BR91" i="11"/>
  <c r="BS91" i="11"/>
  <c r="BU91" i="11"/>
  <c r="BV91" i="11"/>
  <c r="BW91" i="11"/>
  <c r="BX91" i="11"/>
  <c r="BY91" i="11"/>
  <c r="BZ91" i="11"/>
  <c r="CA91" i="11"/>
  <c r="CB91" i="11"/>
  <c r="CC91" i="11"/>
  <c r="CD91" i="11"/>
  <c r="AL92" i="11"/>
  <c r="E94" i="11"/>
  <c r="G94" i="11"/>
  <c r="H94" i="11"/>
  <c r="I94" i="11"/>
  <c r="J94" i="11"/>
  <c r="M94" i="11"/>
  <c r="N94" i="11"/>
  <c r="P94" i="11"/>
  <c r="Q94" i="11"/>
  <c r="S94" i="11"/>
  <c r="U94" i="11"/>
  <c r="V94" i="11"/>
  <c r="X94" i="11"/>
  <c r="Y94" i="11"/>
  <c r="Z94" i="11"/>
  <c r="AA94" i="11"/>
  <c r="AC94" i="11"/>
  <c r="AD94" i="11"/>
  <c r="AE94" i="11"/>
  <c r="AF94" i="11"/>
  <c r="AG94" i="11"/>
  <c r="AH94" i="11"/>
  <c r="AI94" i="11"/>
  <c r="AJ94" i="11"/>
  <c r="AK94" i="11"/>
  <c r="AL94" i="11"/>
  <c r="AN94" i="11"/>
  <c r="AO94" i="11"/>
  <c r="AP94" i="11"/>
  <c r="AQ94" i="11"/>
  <c r="AR94" i="11"/>
  <c r="AS94" i="11"/>
  <c r="AT94" i="11"/>
  <c r="AU94" i="11"/>
  <c r="AV94" i="11"/>
  <c r="AW94" i="11"/>
  <c r="AY94" i="11"/>
  <c r="AZ94" i="11"/>
  <c r="BA94" i="11"/>
  <c r="BB94" i="11"/>
  <c r="BC94" i="11"/>
  <c r="BD94" i="11"/>
  <c r="BE94" i="11"/>
  <c r="BF94" i="11"/>
  <c r="BG94" i="11"/>
  <c r="BH94" i="11"/>
  <c r="BJ94" i="11"/>
  <c r="BK94" i="11"/>
  <c r="BL94" i="11"/>
  <c r="BM94" i="11"/>
  <c r="BN94" i="11"/>
  <c r="BO94" i="11"/>
  <c r="BP94" i="11"/>
  <c r="BQ94" i="11"/>
  <c r="BR94" i="11"/>
  <c r="BS94" i="11"/>
  <c r="BU94" i="11"/>
  <c r="BV94" i="11"/>
  <c r="BW94" i="11"/>
  <c r="BX94" i="11"/>
  <c r="BY94" i="11"/>
  <c r="BZ94" i="11"/>
  <c r="CA94" i="11"/>
  <c r="CB94" i="11"/>
  <c r="CC94" i="11"/>
  <c r="CD94" i="11"/>
  <c r="E95" i="11"/>
  <c r="G95" i="11"/>
  <c r="H95" i="11"/>
  <c r="I95" i="11"/>
  <c r="J95" i="11"/>
  <c r="M95" i="11"/>
  <c r="N95" i="11"/>
  <c r="P95" i="11"/>
  <c r="Q95" i="11"/>
  <c r="S95" i="11"/>
  <c r="U95" i="11"/>
  <c r="V95" i="11"/>
  <c r="X95" i="11"/>
  <c r="Y95" i="11"/>
  <c r="Z95" i="11"/>
  <c r="AA95" i="11"/>
  <c r="AC95" i="11"/>
  <c r="AD95" i="11"/>
  <c r="AE95" i="11"/>
  <c r="AF95" i="11"/>
  <c r="AG95" i="11"/>
  <c r="AH95" i="11"/>
  <c r="AI95" i="11"/>
  <c r="AJ95" i="11"/>
  <c r="AK95" i="11"/>
  <c r="AL95" i="11"/>
  <c r="AN95" i="11"/>
  <c r="AO95" i="11"/>
  <c r="AP95" i="11"/>
  <c r="AQ95" i="11"/>
  <c r="AR95" i="11"/>
  <c r="AS95" i="11"/>
  <c r="AT95" i="11"/>
  <c r="AU95" i="11"/>
  <c r="AV95" i="11"/>
  <c r="AW95" i="11"/>
  <c r="AY95" i="11"/>
  <c r="AZ95" i="11"/>
  <c r="BA95" i="11"/>
  <c r="BB95" i="11"/>
  <c r="BC95" i="11"/>
  <c r="BD95" i="11"/>
  <c r="BE95" i="11"/>
  <c r="BF95" i="11"/>
  <c r="BG95" i="11"/>
  <c r="BH95" i="11"/>
  <c r="BJ95" i="11"/>
  <c r="BK95" i="11"/>
  <c r="BL95" i="11"/>
  <c r="BM95" i="11"/>
  <c r="BN95" i="11"/>
  <c r="BO95" i="11"/>
  <c r="BP95" i="11"/>
  <c r="BQ95" i="11"/>
  <c r="BR95" i="11"/>
  <c r="BS95" i="11"/>
  <c r="BU95" i="11"/>
  <c r="BV95" i="11"/>
  <c r="BW95" i="11"/>
  <c r="BX95" i="11"/>
  <c r="BY95" i="11"/>
  <c r="BZ95" i="11"/>
  <c r="CA95" i="11"/>
  <c r="CB95" i="11"/>
  <c r="CC95" i="11"/>
  <c r="CD95" i="11"/>
  <c r="E96" i="11"/>
  <c r="H96" i="11"/>
  <c r="I96" i="11"/>
  <c r="J96" i="11"/>
  <c r="L96" i="11"/>
  <c r="M96" i="11"/>
  <c r="N96" i="11"/>
  <c r="Q96" i="11"/>
  <c r="U96" i="11"/>
  <c r="V96" i="11"/>
  <c r="X96" i="11"/>
  <c r="Y96" i="11"/>
  <c r="Z96" i="11"/>
  <c r="AA96" i="11"/>
  <c r="AC96" i="11"/>
  <c r="AD96" i="11"/>
  <c r="AE96" i="11"/>
  <c r="AF96" i="11"/>
  <c r="AG96" i="11"/>
  <c r="AH96" i="11"/>
  <c r="AI96" i="11"/>
  <c r="AJ96" i="11"/>
  <c r="AK96" i="11"/>
  <c r="AL96" i="11"/>
  <c r="AN96" i="11"/>
  <c r="AO96" i="11"/>
  <c r="AP96" i="11"/>
  <c r="AQ96" i="11"/>
  <c r="AR96" i="11"/>
  <c r="AS96" i="11"/>
  <c r="AT96" i="11"/>
  <c r="AU96" i="11"/>
  <c r="AV96" i="11"/>
  <c r="AW96" i="11"/>
  <c r="AY96" i="11"/>
  <c r="AZ96" i="11"/>
  <c r="BA96" i="11"/>
  <c r="BB96" i="11"/>
  <c r="BC96" i="11"/>
  <c r="BD96" i="11"/>
  <c r="BE96" i="11"/>
  <c r="BF96" i="11"/>
  <c r="BG96" i="11"/>
  <c r="BH96" i="11"/>
  <c r="BJ96" i="11"/>
  <c r="BK96" i="11"/>
  <c r="BL96" i="11"/>
  <c r="BM96" i="11"/>
  <c r="BN96" i="11"/>
  <c r="BO96" i="11"/>
  <c r="BP96" i="11"/>
  <c r="BQ96" i="11"/>
  <c r="BR96" i="11"/>
  <c r="BS96" i="11"/>
  <c r="BU96" i="11"/>
  <c r="BV96" i="11"/>
  <c r="BW96" i="11"/>
  <c r="BX96" i="11"/>
  <c r="BY96" i="11"/>
  <c r="BZ96" i="11"/>
  <c r="CA96" i="11"/>
  <c r="CB96" i="11"/>
  <c r="CC96" i="11"/>
  <c r="CD96" i="11"/>
  <c r="E98" i="11"/>
  <c r="G98" i="11"/>
  <c r="H98" i="11"/>
  <c r="I98" i="11"/>
  <c r="J98" i="11"/>
  <c r="M98" i="11"/>
  <c r="N98" i="11"/>
  <c r="P98" i="11"/>
  <c r="Q98" i="11"/>
  <c r="S98" i="11"/>
  <c r="U98" i="11"/>
  <c r="V98" i="11"/>
  <c r="X98" i="11"/>
  <c r="Y98" i="11"/>
  <c r="Z98" i="11"/>
  <c r="AA98" i="11"/>
  <c r="AC98" i="11"/>
  <c r="AD98" i="11"/>
  <c r="AE98" i="11"/>
  <c r="AF98" i="11"/>
  <c r="AG98" i="11"/>
  <c r="AH98" i="11"/>
  <c r="AI98" i="11"/>
  <c r="AJ98" i="11"/>
  <c r="AK98" i="11"/>
  <c r="AL98" i="11"/>
  <c r="AN98" i="11"/>
  <c r="AO98" i="11"/>
  <c r="AP98" i="11"/>
  <c r="AQ98" i="11"/>
  <c r="AR98" i="11"/>
  <c r="AS98" i="11"/>
  <c r="AT98" i="11"/>
  <c r="AU98" i="11"/>
  <c r="AV98" i="11"/>
  <c r="AW98" i="11"/>
  <c r="AY98" i="11"/>
  <c r="AZ98" i="11"/>
  <c r="BA98" i="11"/>
  <c r="BB98" i="11"/>
  <c r="BC98" i="11"/>
  <c r="BD98" i="11"/>
  <c r="BE98" i="11"/>
  <c r="BF98" i="11"/>
  <c r="BG98" i="11"/>
  <c r="BH98" i="11"/>
  <c r="BJ98" i="11"/>
  <c r="BK98" i="11"/>
  <c r="BL98" i="11"/>
  <c r="BM98" i="11"/>
  <c r="BN98" i="11"/>
  <c r="BO98" i="11"/>
  <c r="BP98" i="11"/>
  <c r="BQ98" i="11"/>
  <c r="BR98" i="11"/>
  <c r="BS98" i="11"/>
  <c r="BU98" i="11"/>
  <c r="BV98" i="11"/>
  <c r="BW98" i="11"/>
  <c r="BX98" i="11"/>
  <c r="BY98" i="11"/>
  <c r="BZ98" i="11"/>
  <c r="CA98" i="11"/>
  <c r="CB98" i="11"/>
  <c r="CC98" i="11"/>
  <c r="CD98" i="11"/>
  <c r="E99" i="11"/>
  <c r="G99" i="11"/>
  <c r="H99" i="11"/>
  <c r="I99" i="11"/>
  <c r="J99" i="11"/>
  <c r="M99" i="11"/>
  <c r="N99" i="11"/>
  <c r="P99" i="11"/>
  <c r="Q99" i="11"/>
  <c r="S99" i="11"/>
  <c r="U99" i="11"/>
  <c r="V99" i="11"/>
  <c r="X99" i="11"/>
  <c r="Y99" i="11"/>
  <c r="Z99" i="11"/>
  <c r="AA99" i="11"/>
  <c r="AC99" i="11"/>
  <c r="AD99" i="11"/>
  <c r="AE99" i="11"/>
  <c r="AF99" i="11"/>
  <c r="AG99" i="11"/>
  <c r="AH99" i="11"/>
  <c r="AI99" i="11"/>
  <c r="AJ99" i="11"/>
  <c r="AK99" i="11"/>
  <c r="AL99" i="11"/>
  <c r="AN99" i="11"/>
  <c r="AO99" i="11"/>
  <c r="AP99" i="11"/>
  <c r="AQ99" i="11"/>
  <c r="AR99" i="11"/>
  <c r="AS99" i="11"/>
  <c r="AT99" i="11"/>
  <c r="AU99" i="11"/>
  <c r="AV99" i="11"/>
  <c r="AW99" i="11"/>
  <c r="AY99" i="11"/>
  <c r="AZ99" i="11"/>
  <c r="BA99" i="11"/>
  <c r="BB99" i="11"/>
  <c r="BC99" i="11"/>
  <c r="BD99" i="11"/>
  <c r="BE99" i="11"/>
  <c r="BF99" i="11"/>
  <c r="BG99" i="11"/>
  <c r="BH99" i="11"/>
  <c r="BJ99" i="11"/>
  <c r="BK99" i="11"/>
  <c r="BL99" i="11"/>
  <c r="BM99" i="11"/>
  <c r="BN99" i="11"/>
  <c r="BO99" i="11"/>
  <c r="BP99" i="11"/>
  <c r="BQ99" i="11"/>
  <c r="BR99" i="11"/>
  <c r="BS99" i="11"/>
  <c r="BU99" i="11"/>
  <c r="BV99" i="11"/>
  <c r="BW99" i="11"/>
  <c r="BX99" i="11"/>
  <c r="BY99" i="11"/>
  <c r="BZ99" i="11"/>
  <c r="CA99" i="11"/>
  <c r="CB99" i="11"/>
  <c r="CC99" i="11"/>
  <c r="CD99" i="11"/>
  <c r="E100" i="11"/>
  <c r="H100" i="11"/>
  <c r="I100" i="11"/>
  <c r="J100" i="11"/>
  <c r="L100" i="11"/>
  <c r="M100" i="11"/>
  <c r="N100" i="11"/>
  <c r="Q100" i="11"/>
  <c r="U100" i="11"/>
  <c r="V100" i="11"/>
  <c r="X100" i="11"/>
  <c r="Y100" i="11"/>
  <c r="Z100" i="11"/>
  <c r="AA100" i="11"/>
  <c r="AC100" i="11"/>
  <c r="AD100" i="11"/>
  <c r="AE100" i="11"/>
  <c r="AF100" i="11"/>
  <c r="AG100" i="11"/>
  <c r="AH100" i="11"/>
  <c r="AI100" i="11"/>
  <c r="AJ100" i="11"/>
  <c r="AK100" i="11"/>
  <c r="AL100" i="11"/>
  <c r="AN100" i="11"/>
  <c r="AO100" i="11"/>
  <c r="AP100" i="11"/>
  <c r="AQ100" i="11"/>
  <c r="AR100" i="11"/>
  <c r="AS100" i="11"/>
  <c r="AT100" i="11"/>
  <c r="AU100" i="11"/>
  <c r="AV100" i="11"/>
  <c r="AW100" i="11"/>
  <c r="AY100" i="11"/>
  <c r="AZ100" i="11"/>
  <c r="BA100" i="11"/>
  <c r="BB100" i="11"/>
  <c r="BC100" i="11"/>
  <c r="BD100" i="11"/>
  <c r="BE100" i="11"/>
  <c r="BF100" i="11"/>
  <c r="BG100" i="11"/>
  <c r="BH100" i="11"/>
  <c r="BJ100" i="11"/>
  <c r="BK100" i="11"/>
  <c r="BL100" i="11"/>
  <c r="BM100" i="11"/>
  <c r="BN100" i="11"/>
  <c r="BO100" i="11"/>
  <c r="BP100" i="11"/>
  <c r="BQ100" i="11"/>
  <c r="BR100" i="11"/>
  <c r="BS100" i="11"/>
  <c r="BU100" i="11"/>
  <c r="BV100" i="11"/>
  <c r="BW100" i="11"/>
  <c r="BX100" i="11"/>
  <c r="BY100" i="11"/>
  <c r="BZ100" i="11"/>
  <c r="CA100" i="11"/>
  <c r="CB100" i="11"/>
  <c r="CC100" i="11"/>
  <c r="CD100" i="11"/>
  <c r="E102" i="11"/>
  <c r="G102" i="11"/>
  <c r="H102" i="11"/>
  <c r="I102" i="11"/>
  <c r="J102" i="11"/>
  <c r="M102" i="11"/>
  <c r="N102" i="11"/>
  <c r="P102" i="11"/>
  <c r="Q102" i="11"/>
  <c r="S102" i="11"/>
  <c r="U102" i="11"/>
  <c r="V102" i="11"/>
  <c r="X102" i="11"/>
  <c r="Y102" i="11"/>
  <c r="Z102" i="11"/>
  <c r="AA102" i="11"/>
  <c r="AC102" i="11"/>
  <c r="AD102" i="11"/>
  <c r="AE102" i="11"/>
  <c r="AF102" i="11"/>
  <c r="AG102" i="11"/>
  <c r="AH102" i="11"/>
  <c r="AI102" i="11"/>
  <c r="AJ102" i="11"/>
  <c r="AK102" i="11"/>
  <c r="AL102" i="11"/>
  <c r="AN102" i="11"/>
  <c r="AO102" i="11"/>
  <c r="AP102" i="11"/>
  <c r="AQ102" i="11"/>
  <c r="AR102" i="11"/>
  <c r="AS102" i="11"/>
  <c r="AT102" i="11"/>
  <c r="AU102" i="11"/>
  <c r="AV102" i="11"/>
  <c r="AW102" i="11"/>
  <c r="AY102" i="11"/>
  <c r="AZ102" i="11"/>
  <c r="BA102" i="11"/>
  <c r="BB102" i="11"/>
  <c r="BC102" i="11"/>
  <c r="BD102" i="11"/>
  <c r="BE102" i="11"/>
  <c r="BF102" i="11"/>
  <c r="BG102" i="11"/>
  <c r="BH102" i="11"/>
  <c r="BJ102" i="11"/>
  <c r="BK102" i="11"/>
  <c r="BL102" i="11"/>
  <c r="BM102" i="11"/>
  <c r="BN102" i="11"/>
  <c r="BO102" i="11"/>
  <c r="BP102" i="11"/>
  <c r="BQ102" i="11"/>
  <c r="BR102" i="11"/>
  <c r="BS102" i="11"/>
  <c r="BU102" i="11"/>
  <c r="BV102" i="11"/>
  <c r="BW102" i="11"/>
  <c r="BX102" i="11"/>
  <c r="BY102" i="11"/>
  <c r="BZ102" i="11"/>
  <c r="CA102" i="11"/>
  <c r="CB102" i="11"/>
  <c r="CC102" i="11"/>
  <c r="CD102" i="11"/>
  <c r="E103" i="11"/>
  <c r="G103" i="11"/>
  <c r="H103" i="11"/>
  <c r="I103" i="11"/>
  <c r="J103" i="11"/>
  <c r="M103" i="11"/>
  <c r="N103" i="11"/>
  <c r="P103" i="11"/>
  <c r="Q103" i="11"/>
  <c r="S103" i="11"/>
  <c r="U103" i="11"/>
  <c r="V103" i="11"/>
  <c r="X103" i="11"/>
  <c r="Y103" i="11"/>
  <c r="Z103" i="11"/>
  <c r="AA103" i="11"/>
  <c r="AC103" i="11"/>
  <c r="AD103" i="11"/>
  <c r="AE103" i="11"/>
  <c r="AF103" i="11"/>
  <c r="AG103" i="11"/>
  <c r="AH103" i="11"/>
  <c r="AI103" i="11"/>
  <c r="AJ103" i="11"/>
  <c r="AK103" i="11"/>
  <c r="AL103" i="11"/>
  <c r="AN103" i="11"/>
  <c r="AO103" i="11"/>
  <c r="AP103" i="11"/>
  <c r="AQ103" i="11"/>
  <c r="AR103" i="11"/>
  <c r="AS103" i="11"/>
  <c r="AT103" i="11"/>
  <c r="AU103" i="11"/>
  <c r="AV103" i="11"/>
  <c r="AW103" i="11"/>
  <c r="AY103" i="11"/>
  <c r="AZ103" i="11"/>
  <c r="BA103" i="11"/>
  <c r="BB103" i="11"/>
  <c r="BC103" i="11"/>
  <c r="BD103" i="11"/>
  <c r="BE103" i="11"/>
  <c r="BF103" i="11"/>
  <c r="BG103" i="11"/>
  <c r="BH103" i="11"/>
  <c r="BJ103" i="11"/>
  <c r="BK103" i="11"/>
  <c r="BL103" i="11"/>
  <c r="BM103" i="11"/>
  <c r="BN103" i="11"/>
  <c r="BO103" i="11"/>
  <c r="BP103" i="11"/>
  <c r="BQ103" i="11"/>
  <c r="BR103" i="11"/>
  <c r="BS103" i="11"/>
  <c r="BU103" i="11"/>
  <c r="BV103" i="11"/>
  <c r="BW103" i="11"/>
  <c r="BX103" i="11"/>
  <c r="BY103" i="11"/>
  <c r="BZ103" i="11"/>
  <c r="CA103" i="11"/>
  <c r="CB103" i="11"/>
  <c r="CC103" i="11"/>
  <c r="CD103" i="11"/>
  <c r="E104" i="11"/>
  <c r="H104" i="11"/>
  <c r="I104" i="11"/>
  <c r="J104" i="11"/>
  <c r="L104" i="11"/>
  <c r="M104" i="11"/>
  <c r="N104" i="11"/>
  <c r="Q104" i="11"/>
  <c r="U104" i="11"/>
  <c r="V104" i="11"/>
  <c r="X104" i="11"/>
  <c r="Y104" i="11"/>
  <c r="Z104" i="11"/>
  <c r="AA104" i="11"/>
  <c r="AC104" i="11"/>
  <c r="AD104" i="11"/>
  <c r="AE104" i="11"/>
  <c r="AF104" i="11"/>
  <c r="AG104" i="11"/>
  <c r="AH104" i="11"/>
  <c r="AI104" i="11"/>
  <c r="AJ104" i="11"/>
  <c r="AK104" i="11"/>
  <c r="AL104" i="11"/>
  <c r="AN104" i="11"/>
  <c r="AO104" i="11"/>
  <c r="AP104" i="11"/>
  <c r="AQ104" i="11"/>
  <c r="AR104" i="11"/>
  <c r="AS104" i="11"/>
  <c r="AT104" i="11"/>
  <c r="AU104" i="11"/>
  <c r="AV104" i="11"/>
  <c r="AW104" i="11"/>
  <c r="AY104" i="11"/>
  <c r="AZ104" i="11"/>
  <c r="BA104" i="11"/>
  <c r="BB104" i="11"/>
  <c r="BC104" i="11"/>
  <c r="BD104" i="11"/>
  <c r="BE104" i="11"/>
  <c r="BF104" i="11"/>
  <c r="BG104" i="11"/>
  <c r="BH104" i="11"/>
  <c r="BJ104" i="11"/>
  <c r="BK104" i="11"/>
  <c r="BL104" i="11"/>
  <c r="BM104" i="11"/>
  <c r="BN104" i="11"/>
  <c r="BO104" i="11"/>
  <c r="BP104" i="11"/>
  <c r="BQ104" i="11"/>
  <c r="BR104" i="11"/>
  <c r="BS104" i="11"/>
  <c r="BU104" i="11"/>
  <c r="BV104" i="11"/>
  <c r="BW104" i="11"/>
  <c r="BX104" i="11"/>
  <c r="BY104" i="11"/>
  <c r="BZ104" i="11"/>
  <c r="CA104" i="11"/>
  <c r="CB104" i="11"/>
  <c r="CC104" i="11"/>
  <c r="CD104" i="11"/>
  <c r="E106" i="11"/>
  <c r="H106" i="11"/>
  <c r="I106" i="11"/>
  <c r="J106" i="11"/>
  <c r="L106" i="11"/>
  <c r="M106" i="11"/>
  <c r="N106" i="11"/>
  <c r="Q106" i="11"/>
  <c r="V106" i="11"/>
  <c r="Y106" i="11"/>
  <c r="Z106" i="11"/>
  <c r="AA106" i="11"/>
  <c r="AC106" i="11"/>
  <c r="AD106" i="11"/>
  <c r="AE106" i="11"/>
  <c r="AF106" i="11"/>
  <c r="AG106" i="11"/>
  <c r="AH106" i="11"/>
  <c r="AI106" i="11"/>
  <c r="AJ106" i="11"/>
  <c r="AK106" i="11"/>
  <c r="AL106" i="11"/>
  <c r="AN106" i="11"/>
  <c r="AO106" i="11"/>
  <c r="AP106" i="11"/>
  <c r="AQ106" i="11"/>
  <c r="AR106" i="11"/>
  <c r="AS106" i="11"/>
  <c r="AT106" i="11"/>
  <c r="AU106" i="11"/>
  <c r="AV106" i="11"/>
  <c r="AW106" i="11"/>
  <c r="AY106" i="11"/>
  <c r="AZ106" i="11"/>
  <c r="BA106" i="11"/>
  <c r="BB106" i="11"/>
  <c r="BC106" i="11"/>
  <c r="BD106" i="11"/>
  <c r="BE106" i="11"/>
  <c r="BF106" i="11"/>
  <c r="BG106" i="11"/>
  <c r="BH106" i="11"/>
  <c r="BJ106" i="11"/>
  <c r="BK106" i="11"/>
  <c r="BL106" i="11"/>
  <c r="BM106" i="11"/>
  <c r="BN106" i="11"/>
  <c r="BO106" i="11"/>
  <c r="BP106" i="11"/>
  <c r="BQ106" i="11"/>
  <c r="BR106" i="11"/>
  <c r="BS106" i="11"/>
  <c r="BU106" i="11"/>
  <c r="BV106" i="11"/>
  <c r="BW106" i="11"/>
  <c r="BX106" i="11"/>
  <c r="BY106" i="11"/>
  <c r="BZ106" i="11"/>
  <c r="CA106" i="11"/>
  <c r="CB106" i="11"/>
  <c r="CC106" i="11"/>
  <c r="CD106" i="11"/>
  <c r="E108" i="11"/>
  <c r="G108" i="11"/>
  <c r="H108" i="11"/>
  <c r="I108" i="11"/>
  <c r="J108" i="11"/>
  <c r="M108" i="11"/>
  <c r="N108" i="11"/>
  <c r="P108" i="11"/>
  <c r="Q108" i="11"/>
  <c r="S108" i="11"/>
  <c r="U108" i="11"/>
  <c r="V108" i="11"/>
  <c r="X108" i="11"/>
  <c r="Y108" i="11"/>
  <c r="Z108" i="11"/>
  <c r="AA108" i="11"/>
  <c r="AC108" i="11"/>
  <c r="AD108" i="11"/>
  <c r="AE108" i="11"/>
  <c r="AF108" i="11"/>
  <c r="AG108" i="11"/>
  <c r="AH108" i="11"/>
  <c r="AI108" i="11"/>
  <c r="AJ108" i="11"/>
  <c r="AK108" i="11"/>
  <c r="AL108" i="11"/>
  <c r="AN108" i="11"/>
  <c r="AO108" i="11"/>
  <c r="AP108" i="11"/>
  <c r="AQ108" i="11"/>
  <c r="AR108" i="11"/>
  <c r="AS108" i="11"/>
  <c r="AT108" i="11"/>
  <c r="AU108" i="11"/>
  <c r="AV108" i="11"/>
  <c r="AW108" i="11"/>
  <c r="AY108" i="11"/>
  <c r="AZ108" i="11"/>
  <c r="BA108" i="11"/>
  <c r="BB108" i="11"/>
  <c r="BC108" i="11"/>
  <c r="BD108" i="11"/>
  <c r="BE108" i="11"/>
  <c r="BF108" i="11"/>
  <c r="BG108" i="11"/>
  <c r="BH108" i="11"/>
  <c r="BJ108" i="11"/>
  <c r="BK108" i="11"/>
  <c r="BL108" i="11"/>
  <c r="BM108" i="11"/>
  <c r="BN108" i="11"/>
  <c r="BO108" i="11"/>
  <c r="BP108" i="11"/>
  <c r="BQ108" i="11"/>
  <c r="BR108" i="11"/>
  <c r="BS108" i="11"/>
  <c r="BU108" i="11"/>
  <c r="BV108" i="11"/>
  <c r="BW108" i="11"/>
  <c r="BX108" i="11"/>
  <c r="BY108" i="11"/>
  <c r="BZ108" i="11"/>
  <c r="CA108" i="11"/>
  <c r="CB108" i="11"/>
  <c r="CC108" i="11"/>
  <c r="CD108" i="11"/>
  <c r="E109" i="11"/>
  <c r="G109" i="11"/>
  <c r="H109" i="11"/>
  <c r="I109" i="11"/>
  <c r="J109" i="11"/>
  <c r="M109" i="11"/>
  <c r="N109" i="11"/>
  <c r="P109" i="11"/>
  <c r="Q109" i="11"/>
  <c r="S109" i="11"/>
  <c r="U109" i="11"/>
  <c r="V109" i="11"/>
  <c r="X109" i="11"/>
  <c r="Y109" i="11"/>
  <c r="Z109" i="11"/>
  <c r="AA109" i="11"/>
  <c r="AC109" i="11"/>
  <c r="AD109" i="11"/>
  <c r="AE109" i="11"/>
  <c r="AF109" i="11"/>
  <c r="AG109" i="11"/>
  <c r="AH109" i="11"/>
  <c r="AI109" i="11"/>
  <c r="AJ109" i="11"/>
  <c r="AK109" i="11"/>
  <c r="AL109" i="11"/>
  <c r="AN109" i="11"/>
  <c r="AO109" i="11"/>
  <c r="AP109" i="11"/>
  <c r="AQ109" i="11"/>
  <c r="AR109" i="11"/>
  <c r="AS109" i="11"/>
  <c r="AT109" i="11"/>
  <c r="AU109" i="11"/>
  <c r="AV109" i="11"/>
  <c r="AW109" i="11"/>
  <c r="AY109" i="11"/>
  <c r="AZ109" i="11"/>
  <c r="BA109" i="11"/>
  <c r="BB109" i="11"/>
  <c r="BC109" i="11"/>
  <c r="BD109" i="11"/>
  <c r="BE109" i="11"/>
  <c r="BF109" i="11"/>
  <c r="BG109" i="11"/>
  <c r="BH109" i="11"/>
  <c r="BJ109" i="11"/>
  <c r="BK109" i="11"/>
  <c r="BL109" i="11"/>
  <c r="BM109" i="11"/>
  <c r="BN109" i="11"/>
  <c r="BO109" i="11"/>
  <c r="BP109" i="11"/>
  <c r="BQ109" i="11"/>
  <c r="BR109" i="11"/>
  <c r="BS109" i="11"/>
  <c r="BU109" i="11"/>
  <c r="BV109" i="11"/>
  <c r="BW109" i="11"/>
  <c r="BX109" i="11"/>
  <c r="BY109" i="11"/>
  <c r="BZ109" i="11"/>
  <c r="CA109" i="11"/>
  <c r="CB109" i="11"/>
  <c r="CC109" i="11"/>
  <c r="CD109" i="11"/>
  <c r="D110" i="11"/>
  <c r="E110" i="11"/>
  <c r="H110" i="11"/>
  <c r="I110" i="11"/>
  <c r="J110" i="11"/>
  <c r="L110" i="11"/>
  <c r="M110" i="11"/>
  <c r="N110" i="11"/>
  <c r="Q110" i="11"/>
  <c r="U110" i="11"/>
  <c r="V110" i="11"/>
  <c r="X110" i="11"/>
  <c r="Y110" i="11"/>
  <c r="Z110" i="11"/>
  <c r="AA110" i="11"/>
  <c r="AC110" i="11"/>
  <c r="AD110" i="11"/>
  <c r="AE110" i="11"/>
  <c r="AF110" i="11"/>
  <c r="AG110" i="11"/>
  <c r="AH110" i="11"/>
  <c r="AI110" i="11"/>
  <c r="AJ110" i="11"/>
  <c r="AK110" i="11"/>
  <c r="AL110" i="11"/>
  <c r="AN110" i="11"/>
  <c r="AO110" i="11"/>
  <c r="AP110" i="11"/>
  <c r="AQ110" i="11"/>
  <c r="AR110" i="11"/>
  <c r="AS110" i="11"/>
  <c r="AT110" i="11"/>
  <c r="AU110" i="11"/>
  <c r="AV110" i="11"/>
  <c r="AW110" i="11"/>
  <c r="AY110" i="11"/>
  <c r="AZ110" i="11"/>
  <c r="BA110" i="11"/>
  <c r="BB110" i="11"/>
  <c r="BC110" i="11"/>
  <c r="BD110" i="11"/>
  <c r="BE110" i="11"/>
  <c r="BF110" i="11"/>
  <c r="BG110" i="11"/>
  <c r="BH110" i="11"/>
  <c r="BJ110" i="11"/>
  <c r="BK110" i="11"/>
  <c r="BL110" i="11"/>
  <c r="BM110" i="11"/>
  <c r="BN110" i="11"/>
  <c r="BO110" i="11"/>
  <c r="BP110" i="11"/>
  <c r="BQ110" i="11"/>
  <c r="BR110" i="11"/>
  <c r="BS110" i="11"/>
  <c r="BU110" i="11"/>
  <c r="BV110" i="11"/>
  <c r="BW110" i="11"/>
  <c r="BX110" i="11"/>
  <c r="BY110" i="11"/>
  <c r="BZ110" i="11"/>
  <c r="CA110" i="11"/>
  <c r="CB110" i="11"/>
  <c r="CC110" i="11"/>
  <c r="CD110" i="11"/>
  <c r="E112" i="11"/>
  <c r="H112" i="11"/>
  <c r="I112" i="11"/>
  <c r="J112" i="11"/>
  <c r="L112" i="11"/>
  <c r="M112" i="11"/>
  <c r="N112" i="11"/>
  <c r="Q112" i="11"/>
  <c r="U112" i="11"/>
  <c r="V112" i="11"/>
  <c r="X112" i="11"/>
  <c r="Y112" i="11"/>
  <c r="Z112" i="11"/>
  <c r="AA112" i="11"/>
  <c r="AC112" i="11"/>
  <c r="AD112" i="11"/>
  <c r="AE112" i="11"/>
  <c r="AF112" i="11"/>
  <c r="AG112" i="11"/>
  <c r="AH112" i="11"/>
  <c r="AI112" i="11"/>
  <c r="AJ112" i="11"/>
  <c r="AK112" i="11"/>
  <c r="AL112" i="11"/>
  <c r="AN112" i="11"/>
  <c r="AO112" i="11"/>
  <c r="AP112" i="11"/>
  <c r="AQ112" i="11"/>
  <c r="AR112" i="11"/>
  <c r="AS112" i="11"/>
  <c r="AT112" i="11"/>
  <c r="AU112" i="11"/>
  <c r="AV112" i="11"/>
  <c r="AW112" i="11"/>
  <c r="AY112" i="11"/>
  <c r="AZ112" i="11"/>
  <c r="BA112" i="11"/>
  <c r="BB112" i="11"/>
  <c r="BC112" i="11"/>
  <c r="BD112" i="11"/>
  <c r="BE112" i="11"/>
  <c r="BF112" i="11"/>
  <c r="BG112" i="11"/>
  <c r="BH112" i="11"/>
  <c r="BJ112" i="11"/>
  <c r="BK112" i="11"/>
  <c r="BL112" i="11"/>
  <c r="BM112" i="11"/>
  <c r="BN112" i="11"/>
  <c r="BO112" i="11"/>
  <c r="BP112" i="11"/>
  <c r="BQ112" i="11"/>
  <c r="BR112" i="11"/>
  <c r="BS112" i="11"/>
  <c r="BU112" i="11"/>
  <c r="BV112" i="11"/>
  <c r="BW112" i="11"/>
  <c r="BX112" i="11"/>
  <c r="BY112" i="11"/>
  <c r="BZ112" i="11"/>
  <c r="CA112" i="11"/>
  <c r="CB112" i="11"/>
  <c r="CC112" i="11"/>
  <c r="CD112" i="11"/>
  <c r="E113" i="11"/>
  <c r="H113" i="11"/>
  <c r="I113" i="11"/>
  <c r="J113" i="11"/>
  <c r="L113" i="11"/>
  <c r="M113" i="11"/>
  <c r="N113" i="11"/>
  <c r="Q113" i="11"/>
  <c r="U113" i="11"/>
  <c r="V113" i="11"/>
  <c r="X113" i="11"/>
  <c r="Y113" i="11"/>
  <c r="Z113" i="11"/>
  <c r="AA113" i="11"/>
  <c r="AC113" i="11"/>
  <c r="AD113" i="11"/>
  <c r="AE113" i="11"/>
  <c r="AF113" i="11"/>
  <c r="AG113" i="11"/>
  <c r="AH113" i="11"/>
  <c r="AI113" i="11"/>
  <c r="AJ113" i="11"/>
  <c r="AK113" i="11"/>
  <c r="AL113" i="11"/>
  <c r="AN113" i="11"/>
  <c r="AO113" i="11"/>
  <c r="AP113" i="11"/>
  <c r="AQ113" i="11"/>
  <c r="AR113" i="11"/>
  <c r="AS113" i="11"/>
  <c r="AT113" i="11"/>
  <c r="AU113" i="11"/>
  <c r="AV113" i="11"/>
  <c r="AW113" i="11"/>
  <c r="AY113" i="11"/>
  <c r="AZ113" i="11"/>
  <c r="BA113" i="11"/>
  <c r="BB113" i="11"/>
  <c r="BC113" i="11"/>
  <c r="BD113" i="11"/>
  <c r="BE113" i="11"/>
  <c r="BF113" i="11"/>
  <c r="BG113" i="11"/>
  <c r="BH113" i="11"/>
  <c r="BJ113" i="11"/>
  <c r="BK113" i="11"/>
  <c r="BL113" i="11"/>
  <c r="BM113" i="11"/>
  <c r="BN113" i="11"/>
  <c r="BO113" i="11"/>
  <c r="BP113" i="11"/>
  <c r="BQ113" i="11"/>
  <c r="BR113" i="11"/>
  <c r="BS113" i="11"/>
  <c r="BU113" i="11"/>
  <c r="BV113" i="11"/>
  <c r="BW113" i="11"/>
  <c r="BX113" i="11"/>
  <c r="BY113" i="11"/>
  <c r="BZ113" i="11"/>
  <c r="CA113" i="11"/>
  <c r="CB113" i="11"/>
  <c r="CC113" i="11"/>
  <c r="CD113" i="11"/>
  <c r="E114" i="11"/>
  <c r="H114" i="11"/>
  <c r="I114" i="11"/>
  <c r="J114" i="11"/>
  <c r="L114" i="11"/>
  <c r="M114" i="11"/>
  <c r="N114" i="11"/>
  <c r="Q114" i="11"/>
  <c r="U114" i="11"/>
  <c r="V114" i="11"/>
  <c r="X114" i="11"/>
  <c r="Y114" i="11"/>
  <c r="Z114" i="11"/>
  <c r="AA114" i="11"/>
  <c r="AC114" i="11"/>
  <c r="AD114" i="11"/>
  <c r="AE114" i="11"/>
  <c r="AF114" i="11"/>
  <c r="AG114" i="11"/>
  <c r="AH114" i="11"/>
  <c r="AI114" i="11"/>
  <c r="AJ114" i="11"/>
  <c r="AK114" i="11"/>
  <c r="AL114" i="11"/>
  <c r="AN114" i="11"/>
  <c r="AO114" i="11"/>
  <c r="AP114" i="11"/>
  <c r="AQ114" i="11"/>
  <c r="AR114" i="11"/>
  <c r="AS114" i="11"/>
  <c r="AT114" i="11"/>
  <c r="AU114" i="11"/>
  <c r="AV114" i="11"/>
  <c r="AW114" i="11"/>
  <c r="AY114" i="11"/>
  <c r="AZ114" i="11"/>
  <c r="BA114" i="11"/>
  <c r="BB114" i="11"/>
  <c r="BC114" i="11"/>
  <c r="BD114" i="11"/>
  <c r="BE114" i="11"/>
  <c r="BF114" i="11"/>
  <c r="BG114" i="11"/>
  <c r="BH114" i="11"/>
  <c r="BJ114" i="11"/>
  <c r="BK114" i="11"/>
  <c r="BL114" i="11"/>
  <c r="BM114" i="11"/>
  <c r="BN114" i="11"/>
  <c r="BO114" i="11"/>
  <c r="BP114" i="11"/>
  <c r="BQ114" i="11"/>
  <c r="BR114" i="11"/>
  <c r="BS114" i="11"/>
  <c r="BU114" i="11"/>
  <c r="BV114" i="11"/>
  <c r="BW114" i="11"/>
  <c r="BX114" i="11"/>
  <c r="BY114" i="11"/>
  <c r="BZ114" i="11"/>
  <c r="CA114" i="11"/>
  <c r="CB114" i="11"/>
  <c r="CC114" i="11"/>
  <c r="CD114" i="11"/>
  <c r="E115" i="11"/>
  <c r="H115" i="11"/>
  <c r="I115" i="11"/>
  <c r="J115" i="11"/>
  <c r="L115" i="11"/>
  <c r="M115" i="11"/>
  <c r="N115" i="11"/>
  <c r="Q115" i="11"/>
  <c r="U115" i="11"/>
  <c r="V115" i="11"/>
  <c r="X115" i="11"/>
  <c r="Y115" i="11"/>
  <c r="Z115" i="11"/>
  <c r="AA115" i="11"/>
  <c r="AC115" i="11"/>
  <c r="AD115" i="11"/>
  <c r="AE115" i="11"/>
  <c r="AF115" i="11"/>
  <c r="AG115" i="11"/>
  <c r="AH115" i="11"/>
  <c r="AI115" i="11"/>
  <c r="AJ115" i="11"/>
  <c r="AK115" i="11"/>
  <c r="AL115" i="11"/>
  <c r="AN115" i="11"/>
  <c r="AO115" i="11"/>
  <c r="AP115" i="11"/>
  <c r="AQ115" i="11"/>
  <c r="AR115" i="11"/>
  <c r="AS115" i="11"/>
  <c r="AT115" i="11"/>
  <c r="AU115" i="11"/>
  <c r="AV115" i="11"/>
  <c r="AW115" i="11"/>
  <c r="AY115" i="11"/>
  <c r="AZ115" i="11"/>
  <c r="BA115" i="11"/>
  <c r="BB115" i="11"/>
  <c r="BC115" i="11"/>
  <c r="BD115" i="11"/>
  <c r="BE115" i="11"/>
  <c r="BF115" i="11"/>
  <c r="BG115" i="11"/>
  <c r="BH115" i="11"/>
  <c r="BJ115" i="11"/>
  <c r="BK115" i="11"/>
  <c r="BL115" i="11"/>
  <c r="BM115" i="11"/>
  <c r="BN115" i="11"/>
  <c r="BO115" i="11"/>
  <c r="BP115" i="11"/>
  <c r="BQ115" i="11"/>
  <c r="BR115" i="11"/>
  <c r="BS115" i="11"/>
  <c r="BU115" i="11"/>
  <c r="BV115" i="11"/>
  <c r="BW115" i="11"/>
  <c r="BX115" i="11"/>
  <c r="BY115" i="11"/>
  <c r="BZ115" i="11"/>
  <c r="CA115" i="11"/>
  <c r="CB115" i="11"/>
  <c r="CC115" i="11"/>
  <c r="CD115" i="11"/>
  <c r="E117" i="11"/>
  <c r="G117" i="11"/>
  <c r="H117" i="11"/>
  <c r="I117" i="11"/>
  <c r="J117" i="11"/>
  <c r="M117" i="11"/>
  <c r="N117" i="11"/>
  <c r="P117" i="11"/>
  <c r="Q117" i="11"/>
  <c r="S117" i="11"/>
  <c r="U117" i="11"/>
  <c r="V117" i="11"/>
  <c r="W117" i="11"/>
  <c r="X117" i="11"/>
  <c r="Y117" i="11"/>
  <c r="Z117" i="11"/>
  <c r="AA117" i="11"/>
  <c r="AC117" i="11"/>
  <c r="AD117" i="11"/>
  <c r="AE117" i="11"/>
  <c r="AF117" i="11"/>
  <c r="AG117" i="11"/>
  <c r="AH117" i="11"/>
  <c r="AI117" i="11"/>
  <c r="AJ117" i="11"/>
  <c r="AK117" i="11"/>
  <c r="AL117" i="11"/>
  <c r="AN117" i="11"/>
  <c r="AO117" i="11"/>
  <c r="AP117" i="11"/>
  <c r="AQ117" i="11"/>
  <c r="AR117" i="11"/>
  <c r="AS117" i="11"/>
  <c r="AT117" i="11"/>
  <c r="AU117" i="11"/>
  <c r="AV117" i="11"/>
  <c r="AW117" i="11"/>
  <c r="AY117" i="11"/>
  <c r="AZ117" i="11"/>
  <c r="BA117" i="11"/>
  <c r="BB117" i="11"/>
  <c r="BC117" i="11"/>
  <c r="BD117" i="11"/>
  <c r="BE117" i="11"/>
  <c r="BF117" i="11"/>
  <c r="BG117" i="11"/>
  <c r="BH117" i="11"/>
  <c r="BJ117" i="11"/>
  <c r="BK117" i="11"/>
  <c r="BL117" i="11"/>
  <c r="BM117" i="11"/>
  <c r="BN117" i="11"/>
  <c r="BO117" i="11"/>
  <c r="BP117" i="11"/>
  <c r="BQ117" i="11"/>
  <c r="BR117" i="11"/>
  <c r="BS117" i="11"/>
  <c r="BU117" i="11"/>
  <c r="BV117" i="11"/>
  <c r="BW117" i="11"/>
  <c r="BX117" i="11"/>
  <c r="BY117" i="11"/>
  <c r="BZ117" i="11"/>
  <c r="CA117" i="11"/>
  <c r="CB117" i="11"/>
  <c r="CC117" i="11"/>
  <c r="CD117" i="11"/>
  <c r="E119" i="11"/>
  <c r="G119" i="11"/>
  <c r="H119" i="11"/>
  <c r="I119" i="11"/>
  <c r="J119" i="11"/>
  <c r="M119" i="11"/>
  <c r="N119" i="11"/>
  <c r="P119" i="11"/>
  <c r="Q119" i="11"/>
  <c r="S119" i="11"/>
  <c r="U119" i="11"/>
  <c r="V119" i="11"/>
  <c r="W119" i="11"/>
  <c r="X119" i="11"/>
  <c r="Y119" i="11"/>
  <c r="Z119" i="11"/>
  <c r="AA119" i="11"/>
  <c r="AC119" i="11"/>
  <c r="AD119" i="11"/>
  <c r="AE119" i="11"/>
  <c r="AF119" i="11"/>
  <c r="AG119" i="11"/>
  <c r="AH119" i="11"/>
  <c r="AI119" i="11"/>
  <c r="AJ119" i="11"/>
  <c r="AK119" i="11"/>
  <c r="AL119" i="11"/>
  <c r="AN119" i="11"/>
  <c r="AO119" i="11"/>
  <c r="AP119" i="11"/>
  <c r="AQ119" i="11"/>
  <c r="AR119" i="11"/>
  <c r="AS119" i="11"/>
  <c r="AT119" i="11"/>
  <c r="AU119" i="11"/>
  <c r="AV119" i="11"/>
  <c r="AW119" i="11"/>
  <c r="AY119" i="11"/>
  <c r="AZ119" i="11"/>
  <c r="BA119" i="11"/>
  <c r="BB119" i="11"/>
  <c r="BC119" i="11"/>
  <c r="BD119" i="11"/>
  <c r="BE119" i="11"/>
  <c r="BF119" i="11"/>
  <c r="BG119" i="11"/>
  <c r="BH119" i="11"/>
  <c r="BJ119" i="11"/>
  <c r="BK119" i="11"/>
  <c r="BL119" i="11"/>
  <c r="BM119" i="11"/>
  <c r="BN119" i="11"/>
  <c r="BO119" i="11"/>
  <c r="BP119" i="11"/>
  <c r="BQ119" i="11"/>
  <c r="BR119" i="11"/>
  <c r="BS119" i="11"/>
  <c r="BU119" i="11"/>
  <c r="BV119" i="11"/>
  <c r="BW119" i="11"/>
  <c r="BX119" i="11"/>
  <c r="BY119" i="11"/>
  <c r="BZ119" i="11"/>
  <c r="CA119" i="11"/>
  <c r="CB119" i="11"/>
  <c r="CC119" i="11"/>
  <c r="CD119" i="11"/>
  <c r="E120" i="11"/>
  <c r="H120" i="11"/>
  <c r="I120" i="11"/>
  <c r="J120" i="11"/>
  <c r="L120" i="11"/>
  <c r="M120" i="11"/>
  <c r="N120" i="11"/>
  <c r="Q120" i="11"/>
  <c r="U120" i="11"/>
  <c r="V120" i="11"/>
  <c r="X120" i="11"/>
  <c r="Y120" i="11"/>
  <c r="Z120" i="11"/>
  <c r="AA120" i="11"/>
  <c r="AC120" i="11"/>
  <c r="AD120" i="11"/>
  <c r="AE120" i="11"/>
  <c r="AF120" i="11"/>
  <c r="AG120" i="11"/>
  <c r="AH120" i="11"/>
  <c r="AI120" i="11"/>
  <c r="AJ120" i="11"/>
  <c r="AK120" i="11"/>
  <c r="AL120" i="11"/>
  <c r="AN120" i="11"/>
  <c r="AO120" i="11"/>
  <c r="AP120" i="11"/>
  <c r="AQ120" i="11"/>
  <c r="AR120" i="11"/>
  <c r="AS120" i="11"/>
  <c r="AT120" i="11"/>
  <c r="AU120" i="11"/>
  <c r="AV120" i="11"/>
  <c r="AW120" i="11"/>
  <c r="AY120" i="11"/>
  <c r="AZ120" i="11"/>
  <c r="BA120" i="11"/>
  <c r="BB120" i="11"/>
  <c r="BC120" i="11"/>
  <c r="BD120" i="11"/>
  <c r="BE120" i="11"/>
  <c r="BF120" i="11"/>
  <c r="BG120" i="11"/>
  <c r="BH120" i="11"/>
  <c r="BJ120" i="11"/>
  <c r="BK120" i="11"/>
  <c r="BL120" i="11"/>
  <c r="BM120" i="11"/>
  <c r="BN120" i="11"/>
  <c r="BO120" i="11"/>
  <c r="BP120" i="11"/>
  <c r="BQ120" i="11"/>
  <c r="BR120" i="11"/>
  <c r="BS120" i="11"/>
  <c r="BU120" i="11"/>
  <c r="BV120" i="11"/>
  <c r="BW120" i="11"/>
  <c r="BX120" i="11"/>
  <c r="BY120" i="11"/>
  <c r="BZ120" i="11"/>
  <c r="CA120" i="11"/>
  <c r="CB120" i="11"/>
  <c r="CC120" i="11"/>
  <c r="CD120" i="11"/>
  <c r="AJ121" i="11"/>
  <c r="AU121" i="11"/>
  <c r="BF121" i="11"/>
  <c r="BQ121" i="11"/>
  <c r="CB121" i="11"/>
  <c r="E122" i="11"/>
  <c r="H122" i="11"/>
  <c r="I122" i="11"/>
  <c r="J122" i="11"/>
  <c r="L122" i="11"/>
  <c r="M122" i="11"/>
  <c r="N122" i="11"/>
  <c r="Q122" i="11"/>
  <c r="U122" i="11"/>
  <c r="V122" i="11"/>
  <c r="X122" i="11"/>
  <c r="Y122" i="11"/>
  <c r="Z122" i="11"/>
  <c r="AA122" i="11"/>
  <c r="AC122" i="11"/>
  <c r="AD122" i="11"/>
  <c r="AE122" i="11"/>
  <c r="AF122" i="11"/>
  <c r="AG122" i="11"/>
  <c r="AH122" i="11"/>
  <c r="AI122" i="11"/>
  <c r="AJ122" i="11"/>
  <c r="AK122" i="11"/>
  <c r="AL122" i="11"/>
  <c r="AN122" i="11"/>
  <c r="AO122" i="11"/>
  <c r="AP122" i="11"/>
  <c r="AQ122" i="11"/>
  <c r="AR122" i="11"/>
  <c r="AS122" i="11"/>
  <c r="AT122" i="11"/>
  <c r="AU122" i="11"/>
  <c r="AV122" i="11"/>
  <c r="AW122" i="11"/>
  <c r="AY122" i="11"/>
  <c r="AZ122" i="11"/>
  <c r="BA122" i="11"/>
  <c r="BB122" i="11"/>
  <c r="BC122" i="11"/>
  <c r="BD122" i="11"/>
  <c r="BE122" i="11"/>
  <c r="BF122" i="11"/>
  <c r="BG122" i="11"/>
  <c r="BH122" i="11"/>
  <c r="BJ122" i="11"/>
  <c r="BK122" i="11"/>
  <c r="BL122" i="11"/>
  <c r="BM122" i="11"/>
  <c r="BN122" i="11"/>
  <c r="BO122" i="11"/>
  <c r="BP122" i="11"/>
  <c r="BQ122" i="11"/>
  <c r="BR122" i="11"/>
  <c r="BS122" i="11"/>
  <c r="BU122" i="11"/>
  <c r="BV122" i="11"/>
  <c r="BW122" i="11"/>
  <c r="BX122" i="11"/>
  <c r="BY122" i="11"/>
  <c r="BZ122" i="11"/>
  <c r="CA122" i="11"/>
  <c r="CB122" i="11"/>
  <c r="CC122" i="11"/>
  <c r="CD122" i="11"/>
  <c r="E123" i="11"/>
  <c r="H123" i="11"/>
  <c r="I123" i="11"/>
  <c r="J123" i="11"/>
  <c r="L123" i="11"/>
  <c r="M123" i="11"/>
  <c r="N123" i="11"/>
  <c r="Q123" i="11"/>
  <c r="U123" i="11"/>
  <c r="V123" i="11"/>
  <c r="X123" i="11"/>
  <c r="Y123" i="11"/>
  <c r="Z123" i="11"/>
  <c r="AA123" i="11"/>
  <c r="AC123" i="11"/>
  <c r="AD123" i="11"/>
  <c r="AE123" i="11"/>
  <c r="AF123" i="11"/>
  <c r="AG123" i="11"/>
  <c r="AH123" i="11"/>
  <c r="AI123" i="11"/>
  <c r="AJ123" i="11"/>
  <c r="AK123" i="11"/>
  <c r="AL123" i="11"/>
  <c r="AN123" i="11"/>
  <c r="AO123" i="11"/>
  <c r="AP123" i="11"/>
  <c r="AQ123" i="11"/>
  <c r="AR123" i="11"/>
  <c r="AS123" i="11"/>
  <c r="AT123" i="11"/>
  <c r="AU123" i="11"/>
  <c r="AV123" i="11"/>
  <c r="AW123" i="11"/>
  <c r="AY123" i="11"/>
  <c r="AZ123" i="11"/>
  <c r="BA123" i="11"/>
  <c r="BB123" i="11"/>
  <c r="BC123" i="11"/>
  <c r="BD123" i="11"/>
  <c r="BE123" i="11"/>
  <c r="BF123" i="11"/>
  <c r="BG123" i="11"/>
  <c r="BH123" i="11"/>
  <c r="BJ123" i="11"/>
  <c r="BK123" i="11"/>
  <c r="BL123" i="11"/>
  <c r="BM123" i="11"/>
  <c r="BN123" i="11"/>
  <c r="BO123" i="11"/>
  <c r="BP123" i="11"/>
  <c r="BQ123" i="11"/>
  <c r="BR123" i="11"/>
  <c r="BS123" i="11"/>
  <c r="BU123" i="11"/>
  <c r="BV123" i="11"/>
  <c r="BW123" i="11"/>
  <c r="BX123" i="11"/>
  <c r="BY123" i="11"/>
  <c r="BZ123" i="11"/>
  <c r="CA123" i="11"/>
  <c r="CB123" i="11"/>
  <c r="CC123" i="11"/>
  <c r="CD123" i="11"/>
  <c r="E124" i="11"/>
  <c r="H124" i="11"/>
  <c r="I124" i="11"/>
  <c r="J124" i="11"/>
  <c r="L124" i="11"/>
  <c r="M124" i="11"/>
  <c r="N124" i="11"/>
  <c r="Q124" i="11"/>
  <c r="U124" i="11"/>
  <c r="V124" i="11"/>
  <c r="X124" i="11"/>
  <c r="Y124" i="11"/>
  <c r="Z124" i="11"/>
  <c r="AA124" i="11"/>
  <c r="AC124" i="11"/>
  <c r="AD124" i="11"/>
  <c r="AE124" i="11"/>
  <c r="AF124" i="11"/>
  <c r="AG124" i="11"/>
  <c r="AH124" i="11"/>
  <c r="AI124" i="11"/>
  <c r="AJ124" i="11"/>
  <c r="AK124" i="11"/>
  <c r="AL124" i="11"/>
  <c r="AN124" i="11"/>
  <c r="AO124" i="11"/>
  <c r="AP124" i="11"/>
  <c r="AQ124" i="11"/>
  <c r="AR124" i="11"/>
  <c r="AS124" i="11"/>
  <c r="AT124" i="11"/>
  <c r="AU124" i="11"/>
  <c r="AV124" i="11"/>
  <c r="AW124" i="11"/>
  <c r="AY124" i="11"/>
  <c r="AZ124" i="11"/>
  <c r="BA124" i="11"/>
  <c r="BB124" i="11"/>
  <c r="BC124" i="11"/>
  <c r="BD124" i="11"/>
  <c r="BE124" i="11"/>
  <c r="BF124" i="11"/>
  <c r="BG124" i="11"/>
  <c r="BH124" i="11"/>
  <c r="BJ124" i="11"/>
  <c r="BK124" i="11"/>
  <c r="BL124" i="11"/>
  <c r="BM124" i="11"/>
  <c r="BN124" i="11"/>
  <c r="BO124" i="11"/>
  <c r="BP124" i="11"/>
  <c r="BQ124" i="11"/>
  <c r="BR124" i="11"/>
  <c r="BS124" i="11"/>
  <c r="BU124" i="11"/>
  <c r="BV124" i="11"/>
  <c r="BW124" i="11"/>
  <c r="BX124" i="11"/>
  <c r="BY124" i="11"/>
  <c r="BZ124" i="11"/>
  <c r="CA124" i="11"/>
  <c r="CB124" i="11"/>
  <c r="CC124" i="11"/>
  <c r="CD124" i="11"/>
  <c r="E125" i="11"/>
  <c r="H125" i="11"/>
  <c r="I125" i="11"/>
  <c r="J125" i="11"/>
  <c r="L125" i="11"/>
  <c r="M125" i="11"/>
  <c r="N125" i="11"/>
  <c r="Q125" i="11"/>
  <c r="U125" i="11"/>
  <c r="V125" i="11"/>
  <c r="X125" i="11"/>
  <c r="Y125" i="11"/>
  <c r="Z125" i="11"/>
  <c r="AA125" i="11"/>
  <c r="AC125" i="11"/>
  <c r="AD125" i="11"/>
  <c r="AE125" i="11"/>
  <c r="AF125" i="11"/>
  <c r="AG125" i="11"/>
  <c r="AH125" i="11"/>
  <c r="AI125" i="11"/>
  <c r="AJ125" i="11"/>
  <c r="AK125" i="11"/>
  <c r="AL125" i="11"/>
  <c r="AN125" i="11"/>
  <c r="AO125" i="11"/>
  <c r="AP125" i="11"/>
  <c r="AQ125" i="11"/>
  <c r="AR125" i="11"/>
  <c r="AS125" i="11"/>
  <c r="AT125" i="11"/>
  <c r="AU125" i="11"/>
  <c r="AV125" i="11"/>
  <c r="AW125" i="11"/>
  <c r="AY125" i="11"/>
  <c r="AZ125" i="11"/>
  <c r="BA125" i="11"/>
  <c r="BB125" i="11"/>
  <c r="BC125" i="11"/>
  <c r="BD125" i="11"/>
  <c r="BE125" i="11"/>
  <c r="BF125" i="11"/>
  <c r="BG125" i="11"/>
  <c r="BH125" i="11"/>
  <c r="BJ125" i="11"/>
  <c r="BK125" i="11"/>
  <c r="BL125" i="11"/>
  <c r="BM125" i="11"/>
  <c r="BN125" i="11"/>
  <c r="BO125" i="11"/>
  <c r="BP125" i="11"/>
  <c r="BQ125" i="11"/>
  <c r="BR125" i="11"/>
  <c r="BS125" i="11"/>
  <c r="BU125" i="11"/>
  <c r="BV125" i="11"/>
  <c r="BW125" i="11"/>
  <c r="BX125" i="11"/>
  <c r="BY125" i="11"/>
  <c r="BZ125" i="11"/>
  <c r="CA125" i="11"/>
  <c r="CB125" i="11"/>
  <c r="CC125" i="11"/>
  <c r="CD125" i="11"/>
  <c r="D127" i="11"/>
  <c r="E127" i="11"/>
  <c r="H127" i="11"/>
  <c r="I127" i="11"/>
  <c r="J127" i="11"/>
  <c r="L127" i="11"/>
  <c r="M127" i="11"/>
  <c r="N127" i="11"/>
  <c r="Q127" i="11"/>
  <c r="U127" i="11"/>
  <c r="V127" i="11"/>
  <c r="X127" i="11"/>
  <c r="Y127" i="11"/>
  <c r="Z127" i="11"/>
  <c r="AA127" i="11"/>
  <c r="AH127" i="11"/>
  <c r="AI127" i="11"/>
  <c r="AJ127" i="11"/>
  <c r="AK127" i="11"/>
  <c r="AL127" i="11"/>
  <c r="AS127" i="11"/>
  <c r="AT127" i="11"/>
  <c r="AU127" i="11"/>
  <c r="AV127" i="11"/>
  <c r="AW127" i="11"/>
  <c r="BD127" i="11"/>
  <c r="BE127" i="11"/>
  <c r="BF127" i="11"/>
  <c r="BG127" i="11"/>
  <c r="BH127" i="11"/>
  <c r="BO127" i="11"/>
  <c r="BP127" i="11"/>
  <c r="BQ127" i="11"/>
  <c r="BR127" i="11"/>
  <c r="BS127" i="11"/>
  <c r="BZ127" i="11"/>
  <c r="CA127" i="11"/>
  <c r="CB127" i="11"/>
  <c r="CC127" i="11"/>
  <c r="CD127" i="11"/>
  <c r="AH128" i="11"/>
  <c r="AI128" i="11"/>
  <c r="AJ128" i="11"/>
  <c r="AK128" i="11"/>
  <c r="AL128" i="11"/>
  <c r="AS128" i="11"/>
  <c r="AT128" i="11"/>
  <c r="AU128" i="11"/>
  <c r="AV128" i="11"/>
  <c r="AW128" i="11"/>
  <c r="BD128" i="11"/>
  <c r="BE128" i="11"/>
  <c r="BF128" i="11"/>
  <c r="BG128" i="11"/>
  <c r="BH128" i="11"/>
  <c r="BO128" i="11"/>
  <c r="BP128" i="11"/>
  <c r="BQ128" i="11"/>
  <c r="BR128" i="11"/>
  <c r="BS128" i="11"/>
  <c r="BZ128" i="11"/>
  <c r="CA128" i="11"/>
  <c r="CB128" i="11"/>
  <c r="CC128" i="11"/>
  <c r="CD128" i="11"/>
  <c r="E129" i="11"/>
  <c r="AH129" i="11"/>
  <c r="AI129" i="11"/>
  <c r="AJ129" i="11"/>
  <c r="AK129" i="11"/>
  <c r="AL129" i="11"/>
  <c r="AS129" i="11"/>
  <c r="BD129" i="11"/>
  <c r="BE129" i="11"/>
  <c r="BO129" i="11"/>
  <c r="BP129" i="11"/>
  <c r="BZ129" i="11"/>
  <c r="CA129" i="11"/>
  <c r="N130" i="11"/>
  <c r="N131" i="11"/>
  <c r="D132" i="11"/>
  <c r="D133" i="11"/>
  <c r="D134" i="11"/>
  <c r="D135" i="11"/>
  <c r="D136" i="11"/>
  <c r="AG143" i="11"/>
  <c r="AG144" i="11"/>
  <c r="AG145" i="11"/>
  <c r="P3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54" i="14"/>
  <c r="P55" i="14"/>
  <c r="P56" i="14"/>
  <c r="P57" i="14"/>
  <c r="P58" i="14"/>
  <c r="P59" i="14"/>
  <c r="P60" i="14"/>
  <c r="P61" i="14"/>
  <c r="P62" i="14"/>
  <c r="P63" i="14"/>
  <c r="P64" i="14"/>
  <c r="P65" i="14"/>
  <c r="P66" i="14"/>
  <c r="P67" i="14"/>
  <c r="P68" i="14"/>
  <c r="P69" i="14"/>
  <c r="P70" i="14"/>
  <c r="P71" i="14"/>
  <c r="P72" i="14"/>
  <c r="P73" i="14"/>
  <c r="P74" i="14"/>
  <c r="P75" i="14"/>
  <c r="P76" i="14"/>
  <c r="P77" i="14"/>
  <c r="P78" i="14"/>
  <c r="P79" i="14"/>
  <c r="P80" i="14"/>
  <c r="P81" i="14"/>
  <c r="P82" i="14"/>
  <c r="P83" i="14"/>
  <c r="P84" i="14"/>
  <c r="P85" i="14"/>
  <c r="P86" i="14"/>
  <c r="P87" i="14"/>
  <c r="P88" i="14"/>
  <c r="P89" i="14"/>
  <c r="P90" i="14"/>
  <c r="P91" i="14"/>
  <c r="P92" i="14"/>
  <c r="P93" i="14"/>
  <c r="P94" i="14"/>
  <c r="P95" i="14"/>
  <c r="P96" i="14"/>
  <c r="P97" i="14"/>
  <c r="P98" i="14"/>
  <c r="P99" i="14"/>
  <c r="P100" i="14"/>
  <c r="P101" i="14"/>
  <c r="P102" i="14"/>
  <c r="P103" i="14"/>
  <c r="P104" i="14"/>
  <c r="P105" i="14"/>
  <c r="P106" i="14"/>
  <c r="P107" i="14"/>
  <c r="P108" i="14"/>
  <c r="P109" i="14"/>
  <c r="P110" i="14"/>
  <c r="P111" i="14"/>
  <c r="P112" i="14"/>
  <c r="P113" i="14"/>
  <c r="P114" i="14"/>
  <c r="P115" i="14"/>
  <c r="P116" i="14"/>
  <c r="P117" i="14"/>
  <c r="P118" i="14"/>
  <c r="P119" i="14"/>
  <c r="P120" i="14"/>
  <c r="P121" i="14"/>
  <c r="P122" i="14"/>
  <c r="P123" i="14"/>
  <c r="P124" i="14"/>
  <c r="P125" i="14"/>
  <c r="P126" i="14"/>
  <c r="P127" i="14"/>
  <c r="P128" i="14"/>
  <c r="P129" i="14"/>
  <c r="P130" i="14"/>
  <c r="P131" i="14"/>
  <c r="P132" i="14"/>
  <c r="P133" i="14"/>
  <c r="K2" i="1"/>
  <c r="F7" i="1"/>
  <c r="J7" i="1"/>
  <c r="K7" i="1"/>
  <c r="M7" i="1"/>
  <c r="N7" i="1"/>
  <c r="F8" i="1"/>
  <c r="J8" i="1"/>
  <c r="K8" i="1"/>
  <c r="M8" i="1"/>
  <c r="N8" i="1"/>
  <c r="F9" i="1"/>
  <c r="J9" i="1"/>
  <c r="K9" i="1"/>
  <c r="M9" i="1"/>
  <c r="N9" i="1"/>
  <c r="F10" i="1"/>
  <c r="J10" i="1"/>
  <c r="K10" i="1"/>
  <c r="M10" i="1"/>
  <c r="N10" i="1"/>
  <c r="F11" i="1"/>
  <c r="J11" i="1"/>
  <c r="K11" i="1"/>
  <c r="M11" i="1"/>
  <c r="N11" i="1"/>
  <c r="C13" i="1"/>
  <c r="D13" i="1"/>
  <c r="E13" i="1"/>
  <c r="F13" i="1"/>
  <c r="G13" i="1"/>
  <c r="H13" i="1"/>
  <c r="I13" i="1"/>
  <c r="J13" i="1"/>
  <c r="K13" i="1"/>
  <c r="M13" i="1"/>
  <c r="N13" i="1"/>
  <c r="F16" i="1"/>
  <c r="J16" i="1"/>
  <c r="K16" i="1"/>
  <c r="M16" i="1"/>
  <c r="N16" i="1"/>
  <c r="F17" i="1"/>
  <c r="J17" i="1"/>
  <c r="K17" i="1"/>
  <c r="M17" i="1"/>
  <c r="N17" i="1"/>
  <c r="F19" i="1"/>
  <c r="J19" i="1"/>
  <c r="K19" i="1"/>
  <c r="F20" i="1"/>
  <c r="J20" i="1"/>
  <c r="K20" i="1"/>
  <c r="C22" i="1"/>
  <c r="D22" i="1"/>
  <c r="E22" i="1"/>
  <c r="F22" i="1"/>
  <c r="G22" i="1"/>
  <c r="H22" i="1"/>
  <c r="I22" i="1"/>
  <c r="J22" i="1"/>
  <c r="K22" i="1"/>
  <c r="M22" i="1"/>
  <c r="N22" i="1"/>
  <c r="F25" i="1"/>
  <c r="J25" i="1"/>
  <c r="K25" i="1"/>
  <c r="F26" i="1"/>
  <c r="J26" i="1"/>
  <c r="K26" i="1"/>
  <c r="N26" i="1"/>
  <c r="F27" i="1"/>
  <c r="J27" i="1"/>
  <c r="K27" i="1"/>
  <c r="N27" i="1"/>
  <c r="C29" i="1"/>
  <c r="D29" i="1"/>
  <c r="E29" i="1"/>
  <c r="F29" i="1"/>
  <c r="G29" i="1"/>
  <c r="H29" i="1"/>
  <c r="I29" i="1"/>
  <c r="J29" i="1"/>
  <c r="K29" i="1"/>
  <c r="M29" i="1"/>
  <c r="N29" i="1"/>
  <c r="F32" i="1"/>
  <c r="J32" i="1"/>
  <c r="K32" i="1"/>
  <c r="F33" i="1"/>
  <c r="J33" i="1"/>
  <c r="K33" i="1"/>
  <c r="F34" i="1"/>
  <c r="J34" i="1"/>
  <c r="C35" i="1"/>
  <c r="D35" i="1"/>
  <c r="E35" i="1"/>
  <c r="F35" i="1"/>
  <c r="G35" i="1"/>
  <c r="H35" i="1"/>
  <c r="I35" i="1"/>
  <c r="J35" i="1"/>
  <c r="K35" i="1"/>
  <c r="L35" i="1"/>
  <c r="F37" i="1"/>
  <c r="J37" i="1"/>
  <c r="K37" i="1"/>
  <c r="F38" i="1"/>
  <c r="J38" i="1"/>
  <c r="K38" i="1"/>
  <c r="N38" i="1"/>
  <c r="F39" i="1"/>
  <c r="J39" i="1"/>
  <c r="K39" i="1"/>
  <c r="C40" i="1"/>
  <c r="D40" i="1"/>
  <c r="E40" i="1"/>
  <c r="F40" i="1"/>
  <c r="G40" i="1"/>
  <c r="H40" i="1"/>
  <c r="I40" i="1"/>
  <c r="J40" i="1"/>
  <c r="K40" i="1"/>
  <c r="L40" i="1"/>
  <c r="M40" i="1"/>
  <c r="N40" i="1"/>
  <c r="F42" i="1"/>
  <c r="J42" i="1"/>
  <c r="K42" i="1"/>
  <c r="F43" i="1"/>
  <c r="J43" i="1"/>
  <c r="K43" i="1"/>
  <c r="N43" i="1"/>
  <c r="F44" i="1"/>
  <c r="J44" i="1"/>
  <c r="K44" i="1"/>
  <c r="C45" i="1"/>
  <c r="D45" i="1"/>
  <c r="E45" i="1"/>
  <c r="F45" i="1"/>
  <c r="G45" i="1"/>
  <c r="H45" i="1"/>
  <c r="I45" i="1"/>
  <c r="J45" i="1"/>
  <c r="K45" i="1"/>
  <c r="L45" i="1"/>
  <c r="M45" i="1"/>
  <c r="N45" i="1"/>
  <c r="F47" i="1"/>
  <c r="J47" i="1"/>
  <c r="K47" i="1"/>
  <c r="C48" i="1"/>
  <c r="D48" i="1"/>
  <c r="E48" i="1"/>
  <c r="F48" i="1"/>
  <c r="G48" i="1"/>
  <c r="H48" i="1"/>
  <c r="J48" i="1"/>
  <c r="K48" i="1"/>
  <c r="C51" i="1"/>
  <c r="D51" i="1"/>
  <c r="E51" i="1"/>
  <c r="F51" i="1"/>
  <c r="G51" i="1"/>
  <c r="H51" i="1"/>
  <c r="I51" i="1"/>
  <c r="J51" i="1"/>
  <c r="K51" i="1"/>
  <c r="L51" i="1"/>
  <c r="M51" i="1"/>
  <c r="N51" i="1"/>
  <c r="C52" i="1"/>
  <c r="D52" i="1"/>
  <c r="E52" i="1"/>
  <c r="F52" i="1"/>
  <c r="G52" i="1"/>
  <c r="H52" i="1"/>
  <c r="I52" i="1"/>
  <c r="J52" i="1"/>
  <c r="K52" i="1"/>
  <c r="L52" i="1"/>
  <c r="M52" i="1"/>
  <c r="N52" i="1"/>
  <c r="C53" i="1"/>
  <c r="D53" i="1"/>
  <c r="E53" i="1"/>
  <c r="F53" i="1"/>
  <c r="G53" i="1"/>
  <c r="H53" i="1"/>
  <c r="I53" i="1"/>
  <c r="J53" i="1"/>
  <c r="K53" i="1"/>
  <c r="L53" i="1"/>
  <c r="M53" i="1"/>
  <c r="N53" i="1"/>
  <c r="C54" i="1"/>
  <c r="D54" i="1"/>
  <c r="E54" i="1"/>
  <c r="F54" i="1"/>
  <c r="G54" i="1"/>
  <c r="H54" i="1"/>
  <c r="I54" i="1"/>
  <c r="J54" i="1"/>
  <c r="K54" i="1"/>
  <c r="L54" i="1"/>
  <c r="M54" i="1"/>
  <c r="N54" i="1"/>
  <c r="D56" i="1"/>
  <c r="E56" i="1"/>
  <c r="J56" i="1"/>
  <c r="K56" i="1"/>
  <c r="H59" i="1"/>
  <c r="J59" i="1"/>
  <c r="H60" i="1"/>
  <c r="J60" i="1"/>
  <c r="H61" i="1"/>
  <c r="J61" i="1"/>
  <c r="H62" i="1"/>
  <c r="J62" i="1"/>
  <c r="H64" i="1"/>
  <c r="J64" i="1"/>
  <c r="H65" i="1"/>
  <c r="J65" i="1"/>
  <c r="H66" i="1"/>
  <c r="J66" i="1"/>
  <c r="C67" i="1"/>
  <c r="G67" i="1"/>
  <c r="H67" i="1"/>
  <c r="J67" i="1"/>
  <c r="C69" i="1"/>
  <c r="F69" i="1"/>
  <c r="G69" i="1"/>
  <c r="H69" i="1"/>
  <c r="J69" i="1"/>
  <c r="K69" i="1"/>
  <c r="C70" i="1"/>
  <c r="F70" i="1"/>
  <c r="G70" i="1"/>
  <c r="H70" i="1"/>
  <c r="J70" i="1"/>
  <c r="K70" i="1"/>
  <c r="C71" i="1"/>
  <c r="F71" i="1"/>
  <c r="G71" i="1"/>
  <c r="H71" i="1"/>
  <c r="J71" i="1"/>
  <c r="K71" i="1"/>
  <c r="C73" i="1"/>
  <c r="D73" i="1"/>
  <c r="E73" i="1"/>
  <c r="F73" i="1"/>
  <c r="G73" i="1"/>
  <c r="H73" i="1"/>
  <c r="J73" i="1"/>
  <c r="K73" i="1"/>
  <c r="F75" i="1"/>
  <c r="H75" i="1"/>
  <c r="J75" i="1"/>
  <c r="K75" i="1"/>
  <c r="F76" i="1"/>
  <c r="H76" i="1"/>
  <c r="J76" i="1"/>
  <c r="K76" i="1"/>
  <c r="F77" i="1"/>
  <c r="H77" i="1"/>
  <c r="J77" i="1"/>
  <c r="K77" i="1"/>
  <c r="F78" i="1"/>
  <c r="H78" i="1"/>
  <c r="J78" i="1"/>
  <c r="K78" i="1"/>
  <c r="F79" i="1"/>
  <c r="H79" i="1"/>
  <c r="J79" i="1"/>
  <c r="K79" i="1"/>
  <c r="F80" i="1"/>
  <c r="H80" i="1"/>
  <c r="J80" i="1"/>
  <c r="K80" i="1"/>
  <c r="F81" i="1"/>
  <c r="H81" i="1"/>
  <c r="J81" i="1"/>
  <c r="K81" i="1"/>
  <c r="F82" i="1"/>
  <c r="H82" i="1"/>
  <c r="J82" i="1"/>
  <c r="K82" i="1"/>
  <c r="F83" i="1"/>
  <c r="G83" i="1"/>
  <c r="H83" i="1"/>
  <c r="J83" i="1"/>
  <c r="K83" i="1"/>
  <c r="F84" i="1"/>
  <c r="H84" i="1"/>
  <c r="J84" i="1"/>
  <c r="K84" i="1"/>
  <c r="C85" i="1"/>
  <c r="D85" i="1"/>
  <c r="E85" i="1"/>
  <c r="F85" i="1"/>
  <c r="H85" i="1"/>
  <c r="J85" i="1"/>
  <c r="K85" i="1"/>
  <c r="F86" i="1"/>
  <c r="H86" i="1"/>
  <c r="J86" i="1"/>
  <c r="K86" i="1"/>
  <c r="F87" i="1"/>
  <c r="J87" i="1"/>
  <c r="K87" i="1"/>
  <c r="F88" i="1"/>
  <c r="J88" i="1"/>
  <c r="K88" i="1"/>
  <c r="C89" i="1"/>
  <c r="D89" i="1"/>
  <c r="E89" i="1"/>
  <c r="F89" i="1"/>
  <c r="H89" i="1"/>
  <c r="J89" i="1"/>
  <c r="K89" i="1"/>
  <c r="F90" i="1"/>
  <c r="H90" i="1"/>
  <c r="J90" i="1"/>
  <c r="K90" i="1"/>
  <c r="C92" i="1"/>
  <c r="D92" i="1"/>
  <c r="E92" i="1"/>
  <c r="F92" i="1"/>
  <c r="G92" i="1"/>
  <c r="H92" i="1"/>
  <c r="J92" i="1"/>
  <c r="K92" i="1"/>
  <c r="C93" i="1"/>
  <c r="D93" i="1"/>
  <c r="E93" i="1"/>
  <c r="F93" i="1"/>
  <c r="G93" i="1"/>
  <c r="H93" i="1"/>
  <c r="J93" i="1"/>
  <c r="K93" i="1"/>
  <c r="C94" i="1"/>
  <c r="D94" i="1"/>
  <c r="E94" i="1"/>
  <c r="F94" i="1"/>
  <c r="G94" i="1"/>
  <c r="H94" i="1"/>
  <c r="J94" i="1"/>
  <c r="K94" i="1"/>
  <c r="F97" i="1"/>
  <c r="H97" i="1"/>
  <c r="J97" i="1"/>
  <c r="K97" i="1"/>
  <c r="F98" i="1"/>
  <c r="H98" i="1"/>
  <c r="J98" i="1"/>
  <c r="K98" i="1"/>
  <c r="C99" i="1"/>
  <c r="D99" i="1"/>
  <c r="E99" i="1"/>
  <c r="F99" i="1"/>
  <c r="G99" i="1"/>
  <c r="H99" i="1"/>
  <c r="J99" i="1"/>
  <c r="K99" i="1"/>
  <c r="L99" i="1"/>
  <c r="F101" i="1"/>
  <c r="H101" i="1"/>
  <c r="J101" i="1"/>
  <c r="K101" i="1"/>
  <c r="F102" i="1"/>
  <c r="H102" i="1"/>
  <c r="J102" i="1"/>
  <c r="K102" i="1"/>
  <c r="C103" i="1"/>
  <c r="D103" i="1"/>
  <c r="E103" i="1"/>
  <c r="F103" i="1"/>
  <c r="G103" i="1"/>
  <c r="H103" i="1"/>
  <c r="J103" i="1"/>
  <c r="K103" i="1"/>
  <c r="L103" i="1"/>
  <c r="F105" i="1"/>
  <c r="J105" i="1"/>
  <c r="K105" i="1"/>
  <c r="F106" i="1"/>
  <c r="J106" i="1"/>
  <c r="K106" i="1"/>
  <c r="C107" i="1"/>
  <c r="D107" i="1"/>
  <c r="E107" i="1"/>
  <c r="F107" i="1"/>
  <c r="G107" i="1"/>
  <c r="H107" i="1"/>
  <c r="J107" i="1"/>
  <c r="K107" i="1"/>
  <c r="L107" i="1"/>
  <c r="F109" i="1"/>
  <c r="H109" i="1"/>
  <c r="J109" i="1"/>
  <c r="K109" i="1"/>
  <c r="F110" i="1"/>
  <c r="H110" i="1"/>
  <c r="J110" i="1"/>
  <c r="K110" i="1"/>
  <c r="C111" i="1"/>
  <c r="D111" i="1"/>
  <c r="E111" i="1"/>
  <c r="F111" i="1"/>
  <c r="G111" i="1"/>
  <c r="H111" i="1"/>
  <c r="J111" i="1"/>
  <c r="K111" i="1"/>
  <c r="L111" i="1"/>
  <c r="C113" i="1"/>
  <c r="D113" i="1"/>
  <c r="E113" i="1"/>
  <c r="F113" i="1"/>
  <c r="G113" i="1"/>
  <c r="H113" i="1"/>
  <c r="J113" i="1"/>
  <c r="K113" i="1"/>
  <c r="L113" i="1"/>
  <c r="C114" i="1"/>
  <c r="D114" i="1"/>
  <c r="E114" i="1"/>
  <c r="F114" i="1"/>
  <c r="G114" i="1"/>
  <c r="H114" i="1"/>
  <c r="J114" i="1"/>
  <c r="K114" i="1"/>
  <c r="L114" i="1"/>
  <c r="C115" i="1"/>
  <c r="D115" i="1"/>
  <c r="E115" i="1"/>
  <c r="F115" i="1"/>
  <c r="G115" i="1"/>
  <c r="H115" i="1"/>
  <c r="J115" i="1"/>
  <c r="K115" i="1"/>
  <c r="L115" i="1"/>
  <c r="C116" i="1"/>
  <c r="D116" i="1"/>
  <c r="E116" i="1"/>
  <c r="F116" i="1"/>
  <c r="G116" i="1"/>
  <c r="H116" i="1"/>
  <c r="J116" i="1"/>
  <c r="K116" i="1"/>
  <c r="L116" i="1"/>
  <c r="F118" i="1"/>
  <c r="H118" i="1"/>
  <c r="I118" i="1"/>
  <c r="J118" i="1"/>
  <c r="K118" i="1"/>
  <c r="F119" i="1"/>
  <c r="H119" i="1"/>
  <c r="I119" i="1"/>
  <c r="J119" i="1"/>
  <c r="K119" i="1"/>
  <c r="F120" i="1"/>
  <c r="H120" i="1"/>
  <c r="I120" i="1"/>
  <c r="J120" i="1"/>
  <c r="K120" i="1"/>
  <c r="C121" i="1"/>
  <c r="D121" i="1"/>
  <c r="E121" i="1"/>
  <c r="F121" i="1"/>
  <c r="G121" i="1"/>
  <c r="H121" i="1"/>
  <c r="I121" i="1"/>
  <c r="J121" i="1"/>
  <c r="K121" i="1"/>
  <c r="C123" i="1"/>
  <c r="D123" i="1"/>
  <c r="E123" i="1"/>
  <c r="F123" i="1"/>
  <c r="G123" i="1"/>
  <c r="H123" i="1"/>
  <c r="I123" i="1"/>
  <c r="J123" i="1"/>
  <c r="K123" i="1"/>
  <c r="L123" i="1"/>
  <c r="C124" i="1"/>
  <c r="D124" i="1"/>
  <c r="E124" i="1"/>
  <c r="F124" i="1"/>
  <c r="G124" i="1"/>
  <c r="H124" i="1"/>
  <c r="I124" i="1"/>
  <c r="J124" i="1"/>
  <c r="K124" i="1"/>
  <c r="L124" i="1"/>
  <c r="C125" i="1"/>
  <c r="D125" i="1"/>
  <c r="E125" i="1"/>
  <c r="F125" i="1"/>
  <c r="G125" i="1"/>
  <c r="H125" i="1"/>
  <c r="I125" i="1"/>
  <c r="J125" i="1"/>
  <c r="K125" i="1"/>
  <c r="L125" i="1"/>
  <c r="C126" i="1"/>
  <c r="D126" i="1"/>
  <c r="E126" i="1"/>
  <c r="F126" i="1"/>
  <c r="G126" i="1"/>
  <c r="H126" i="1"/>
  <c r="I126" i="1"/>
  <c r="J126" i="1"/>
  <c r="K126" i="1"/>
  <c r="L126" i="1"/>
  <c r="F128" i="1"/>
  <c r="H128" i="1"/>
  <c r="J128" i="1"/>
  <c r="F129" i="1"/>
  <c r="H129" i="1"/>
  <c r="J129" i="1"/>
  <c r="C130" i="1"/>
  <c r="D130" i="1"/>
  <c r="E130" i="1"/>
  <c r="F130" i="1"/>
  <c r="G130" i="1"/>
  <c r="H130" i="1"/>
  <c r="J130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F143" i="1"/>
  <c r="F144" i="1"/>
  <c r="F145" i="1"/>
  <c r="F146" i="1"/>
</calcChain>
</file>

<file path=xl/comments1.xml><?xml version="1.0" encoding="utf-8"?>
<comments xmlns="http://schemas.openxmlformats.org/spreadsheetml/2006/main">
  <authors>
    <author>Leslie MacDonald</author>
  </authors>
  <commentList>
    <comment ref="A128" authorId="0" shapeId="0">
      <text>
        <r>
          <rPr>
            <sz val="8"/>
            <color indexed="81"/>
            <rFont val="Tahoma"/>
          </rPr>
          <t xml:space="preserve">
FFP Sales are charged only D, PPP&lt; and ND --no FERC jurisdictional sales or G/CTC</t>
        </r>
      </text>
    </comment>
  </commentList>
</comments>
</file>

<file path=xl/comments2.xml><?xml version="1.0" encoding="utf-8"?>
<comments xmlns="http://schemas.openxmlformats.org/spreadsheetml/2006/main">
  <authors>
    <author>Leslie MacDonald</author>
  </authors>
  <commentList>
    <comment ref="A128" authorId="0" shapeId="0">
      <text>
        <r>
          <rPr>
            <sz val="8"/>
            <color indexed="81"/>
            <rFont val="Tahoma"/>
          </rPr>
          <t xml:space="preserve">
FFP Sales are charged only D, PPP&lt; and ND --no FERC jurisdictional sales or G/CTC</t>
        </r>
      </text>
    </comment>
  </commentList>
</comments>
</file>

<file path=xl/comments3.xml><?xml version="1.0" encoding="utf-8"?>
<comments xmlns="http://schemas.openxmlformats.org/spreadsheetml/2006/main">
  <authors>
    <author>Leslie MacDonald</author>
  </authors>
  <commentList>
    <comment ref="A1" authorId="0" shapeId="0">
      <text>
        <r>
          <rPr>
            <sz val="8"/>
            <color indexed="81"/>
            <rFont val="Tahoma"/>
          </rPr>
          <t>From File 2001-Monthly Sales in Data Request Folder.
This file summarizes the calculation of the additional money needed to collect the accrued RSP surcharge revenue.</t>
        </r>
      </text>
    </comment>
  </commentList>
</comments>
</file>

<file path=xl/comments4.xml><?xml version="1.0" encoding="utf-8"?>
<comments xmlns="http://schemas.openxmlformats.org/spreadsheetml/2006/main">
  <authors>
    <author>Leslie MacDonald</author>
    <author>Kristen Schultz</author>
  </authors>
  <commentList>
    <comment ref="E2" authorId="0" shapeId="0">
      <text>
        <r>
          <rPr>
            <sz val="8"/>
            <color indexed="81"/>
            <rFont val="Tahoma"/>
          </rPr>
          <t xml:space="preserve">From the TO5 Rate Filing
</t>
        </r>
      </text>
    </comment>
    <comment ref="L3" authorId="0" shapeId="0">
      <text>
        <r>
          <rPr>
            <sz val="8"/>
            <color indexed="81"/>
            <rFont val="Tahoma"/>
          </rPr>
          <t xml:space="preserve">10 % rate reduction (if total gen using 1996 rates chosen, ESR discount, nonfirm discount, and power factor adjustments.
</t>
        </r>
      </text>
    </comment>
    <comment ref="F4" authorId="1" shapeId="0">
      <text>
        <r>
          <rPr>
            <sz val="8"/>
            <color indexed="81"/>
            <rFont val="Tahoma"/>
          </rPr>
          <t xml:space="preserve">
Revised RS at 1/1/01</t>
        </r>
      </text>
    </comment>
    <comment ref="B10" authorId="0" shapeId="0">
      <text>
        <r>
          <rPr>
            <sz val="8"/>
            <color indexed="81"/>
            <rFont val="Tahoma"/>
          </rPr>
          <t xml:space="preserve">E-7 Now includes CARE sales, which previously were not identified.
</t>
        </r>
      </text>
    </comment>
    <comment ref="B126" authorId="0" shapeId="0">
      <text>
        <r>
          <rPr>
            <sz val="8"/>
            <color indexed="81"/>
            <rFont val="Tahoma"/>
          </rPr>
          <t xml:space="preserve">
FFP Sales are charged only D, PPP&lt; and ND --no FERC jurisdictional sales or G/CTC</t>
        </r>
      </text>
    </comment>
  </commentList>
</comments>
</file>

<file path=xl/comments5.xml><?xml version="1.0" encoding="utf-8"?>
<comments xmlns="http://schemas.openxmlformats.org/spreadsheetml/2006/main">
  <authors>
    <author>Kristen Schultz</author>
    <author>Leslie MacDonald</author>
  </authors>
  <commentList>
    <comment ref="G5" authorId="0" shapeId="0">
      <text>
        <r>
          <rPr>
            <sz val="8"/>
            <color indexed="81"/>
            <rFont val="Tahoma"/>
          </rPr>
          <t xml:space="preserve">
PX average prices for 1999 from RDA Report DABLJAA3 (PX 12 mo av)</t>
        </r>
      </text>
    </comment>
    <comment ref="L5" authorId="1" shapeId="0">
      <text>
        <r>
          <rPr>
            <sz val="8"/>
            <color indexed="81"/>
            <rFont val="Tahoma"/>
            <family val="2"/>
          </rPr>
          <t>From the RSP Application No. 00-11-056</t>
        </r>
      </text>
    </comment>
    <comment ref="A29" authorId="1" shapeId="0">
      <text>
        <r>
          <rPr>
            <sz val="8"/>
            <color indexed="81"/>
            <rFont val="Tahoma"/>
            <family val="2"/>
          </rPr>
          <t>Scaling Factors for E-19 are based on three different PX Templates:
E-19P (used for E-19 t &amp; P over 500 kW), E-19V used for all three voltages of E-19V and E-19S (used for E-19 S &gt;500kW and A-RTP 19)</t>
        </r>
      </text>
    </comment>
    <comment ref="A56" authorId="1" shapeId="0">
      <text>
        <r>
          <rPr>
            <sz val="8"/>
            <color indexed="81"/>
            <rFont val="Tahoma"/>
          </rPr>
          <t>In this allocation spread sheet, standyby is not separated into large and small customers.  As a result Standby scaled loads are assigned to schedule as they were in the Original RSP Filing.</t>
        </r>
      </text>
    </comment>
  </commentList>
</comments>
</file>

<file path=xl/comments6.xml><?xml version="1.0" encoding="utf-8"?>
<comments xmlns="http://schemas.openxmlformats.org/spreadsheetml/2006/main">
  <authors>
    <author>Kristen Schultz</author>
  </authors>
  <commentList>
    <comment ref="G84" authorId="0" shapeId="0">
      <text>
        <r>
          <rPr>
            <sz val="8"/>
            <color indexed="81"/>
            <rFont val="Tahoma"/>
          </rPr>
          <t>RDA provided number</t>
        </r>
      </text>
    </comment>
  </commentList>
</comments>
</file>

<file path=xl/sharedStrings.xml><?xml version="1.0" encoding="utf-8"?>
<sst xmlns="http://schemas.openxmlformats.org/spreadsheetml/2006/main" count="1695" uniqueCount="519">
  <si>
    <t>V</t>
  </si>
  <si>
    <t>SUMMER</t>
  </si>
  <si>
    <t>WINTER</t>
  </si>
  <si>
    <t>TOTAL</t>
  </si>
  <si>
    <t>Distribution</t>
  </si>
  <si>
    <t>O</t>
  </si>
  <si>
    <t>SALES</t>
  </si>
  <si>
    <t xml:space="preserve">Revenue </t>
  </si>
  <si>
    <t>CARE-</t>
  </si>
  <si>
    <t>Sales</t>
  </si>
  <si>
    <t>Secondary</t>
  </si>
  <si>
    <t>L</t>
  </si>
  <si>
    <t>CUSTOMER</t>
  </si>
  <si>
    <t>FORECAST</t>
  </si>
  <si>
    <t>at 1/1/2001</t>
  </si>
  <si>
    <t>at 6/10/1996</t>
  </si>
  <si>
    <t>Exempt</t>
  </si>
  <si>
    <t>Net of</t>
  </si>
  <si>
    <t>Total</t>
  </si>
  <si>
    <t>Revenue</t>
  </si>
  <si>
    <t>Class/Schedule</t>
  </si>
  <si>
    <t>T</t>
  </si>
  <si>
    <t>MONTHS</t>
  </si>
  <si>
    <t>(KWH)</t>
  </si>
  <si>
    <t>Rates</t>
  </si>
  <si>
    <t>CARE Exempt</t>
  </si>
  <si>
    <t>RESIDENTIAL</t>
  </si>
  <si>
    <t>P</t>
  </si>
  <si>
    <t>S</t>
  </si>
  <si>
    <t>E-7</t>
  </si>
  <si>
    <t>TOTAL RES</t>
  </si>
  <si>
    <t>SMALL L&amp;P</t>
  </si>
  <si>
    <t>A-1</t>
  </si>
  <si>
    <t>A-6</t>
  </si>
  <si>
    <t>Total A-1 /A-6</t>
  </si>
  <si>
    <t>A-15</t>
  </si>
  <si>
    <t>TC-1</t>
  </si>
  <si>
    <t>TOTAL SMALL L&amp;P</t>
  </si>
  <si>
    <t>MEDIUM L&amp;P</t>
  </si>
  <si>
    <t>Total A-10</t>
  </si>
  <si>
    <t>TOTAL MEDIUM</t>
  </si>
  <si>
    <t>E-19 CLASS</t>
  </si>
  <si>
    <t>E-19 FIRM</t>
  </si>
  <si>
    <t>E-19 V</t>
  </si>
  <si>
    <t>Nonfirm</t>
  </si>
  <si>
    <t>Total E-19</t>
  </si>
  <si>
    <t/>
  </si>
  <si>
    <t>A-RTP-19</t>
  </si>
  <si>
    <t>TTL A-RTP-19</t>
  </si>
  <si>
    <t>Subtotal E-19</t>
  </si>
  <si>
    <t>E-19 Class</t>
  </si>
  <si>
    <t>STREETLIGHTS</t>
  </si>
  <si>
    <t>STANDBY</t>
  </si>
  <si>
    <t>Small</t>
  </si>
  <si>
    <t>Total &lt;500 kW</t>
  </si>
  <si>
    <t>Large</t>
  </si>
  <si>
    <t>Total &gt; 500kW</t>
  </si>
  <si>
    <t>TOTAL STANDBY</t>
  </si>
  <si>
    <t>AGR            AG-1 A</t>
  </si>
  <si>
    <t>AG-RA</t>
  </si>
  <si>
    <t>AG-VA</t>
  </si>
  <si>
    <t>AG-4A</t>
  </si>
  <si>
    <t>AG-5A</t>
  </si>
  <si>
    <t>Total AG-1B</t>
  </si>
  <si>
    <t>AG-RB</t>
  </si>
  <si>
    <t>AG-VB</t>
  </si>
  <si>
    <t>AG-4B</t>
  </si>
  <si>
    <t>Total AG-4B</t>
  </si>
  <si>
    <t>AG-4C</t>
  </si>
  <si>
    <t>AG-5B</t>
  </si>
  <si>
    <t>Total AG-5B</t>
  </si>
  <si>
    <t xml:space="preserve"> Total AG-5C</t>
  </si>
  <si>
    <t>Total AGRA</t>
  </si>
  <si>
    <t>Total AGRB</t>
  </si>
  <si>
    <t>TOTAL AGR</t>
  </si>
  <si>
    <t>Large L&amp;P</t>
  </si>
  <si>
    <t>E-20 Firm</t>
  </si>
  <si>
    <t>Total E-20 T</t>
  </si>
  <si>
    <t>E-20 FIRM</t>
  </si>
  <si>
    <t>Total E-20 P</t>
  </si>
  <si>
    <t>Total E-20 S</t>
  </si>
  <si>
    <t>A-RTP-20</t>
  </si>
  <si>
    <t>RTP</t>
  </si>
  <si>
    <t>A-RTP</t>
  </si>
  <si>
    <t>LL&amp;P w/o CONS</t>
  </si>
  <si>
    <t>Contracts:</t>
  </si>
  <si>
    <t>Contracts</t>
  </si>
  <si>
    <t>LL&amp;P w/ CONS</t>
  </si>
  <si>
    <t>Federal Preference Power</t>
  </si>
  <si>
    <t xml:space="preserve">Total FPP </t>
  </si>
  <si>
    <t>System w/out FPP</t>
  </si>
  <si>
    <t>SYSTEM</t>
  </si>
  <si>
    <t>Proposed</t>
  </si>
  <si>
    <t>Annual</t>
  </si>
  <si>
    <t>at</t>
  </si>
  <si>
    <t>Public Purpose</t>
  </si>
  <si>
    <t>Current</t>
  </si>
  <si>
    <t>Annual Sales</t>
  </si>
  <si>
    <t>Check</t>
  </si>
  <si>
    <t>RESIDENTIAL:</t>
  </si>
  <si>
    <t>AGR     AG-1 A</t>
  </si>
  <si>
    <t>AG-5C</t>
  </si>
  <si>
    <t>E-20 CLASS</t>
  </si>
  <si>
    <t>E-20  FIRM</t>
  </si>
  <si>
    <t>E-20 Nonfirm</t>
  </si>
  <si>
    <t>E-20 w/o RTP</t>
  </si>
  <si>
    <t>Total A-RTP-20</t>
  </si>
  <si>
    <t>Class w/o CONS</t>
  </si>
  <si>
    <t>Total Contracts</t>
  </si>
  <si>
    <t>E-20 w/ CONS</t>
  </si>
  <si>
    <t xml:space="preserve"> Federal Pref Power</t>
  </si>
  <si>
    <t xml:space="preserve"> Generation </t>
  </si>
  <si>
    <t>and CTC</t>
  </si>
  <si>
    <t>Revenues</t>
  </si>
  <si>
    <t>Transmission</t>
  </si>
  <si>
    <t>Reliability</t>
  </si>
  <si>
    <t xml:space="preserve">Service </t>
  </si>
  <si>
    <t>Rate</t>
  </si>
  <si>
    <t>ND</t>
  </si>
  <si>
    <t>Service</t>
  </si>
  <si>
    <t>Public</t>
  </si>
  <si>
    <t>Purpose</t>
  </si>
  <si>
    <t>System- FPP</t>
  </si>
  <si>
    <t>1/1/2001 Rates</t>
  </si>
  <si>
    <t>Change</t>
  </si>
  <si>
    <t>FTA</t>
  </si>
  <si>
    <t xml:space="preserve">FTA </t>
  </si>
  <si>
    <t>FTA Revenues</t>
  </si>
  <si>
    <t>Revenue at 2/17/00 Rates</t>
  </si>
  <si>
    <t>(MWH)</t>
  </si>
  <si>
    <t>E-1</t>
  </si>
  <si>
    <t>EL-1</t>
  </si>
  <si>
    <t>E-8</t>
  </si>
  <si>
    <t>EL-8</t>
  </si>
  <si>
    <t>Allocation Methodology</t>
  </si>
  <si>
    <t>Control Area</t>
  </si>
  <si>
    <t>Allocation Methodologies:</t>
  </si>
  <si>
    <t>Equal Cents per kWh</t>
  </si>
  <si>
    <t>Load Weighted Allocation</t>
  </si>
  <si>
    <t xml:space="preserve">Equal </t>
  </si>
  <si>
    <t>Cents</t>
  </si>
  <si>
    <t>Loss Factors:</t>
  </si>
  <si>
    <t>Primary</t>
  </si>
  <si>
    <t>Eligible</t>
  </si>
  <si>
    <t>(dollars  per kWh)</t>
  </si>
  <si>
    <t>Allocator</t>
  </si>
  <si>
    <t>Allocation</t>
  </si>
  <si>
    <t>PX Revenues</t>
  </si>
  <si>
    <t>Emergency</t>
  </si>
  <si>
    <t>Procurement</t>
  </si>
  <si>
    <t>Surcharge Rev</t>
  </si>
  <si>
    <t>1/4/01 Ave</t>
  </si>
  <si>
    <t xml:space="preserve">Proposed </t>
  </si>
  <si>
    <t>Ave. Rate</t>
  </si>
  <si>
    <t>Percent</t>
  </si>
  <si>
    <t>Equal Cent Allocation</t>
  </si>
  <si>
    <t>Load Weighted</t>
  </si>
  <si>
    <t>Linked</t>
  </si>
  <si>
    <t>System By Voltage</t>
  </si>
  <si>
    <t>NonFirm Discounts</t>
  </si>
  <si>
    <t>Generation</t>
  </si>
  <si>
    <t xml:space="preserve">Rate </t>
  </si>
  <si>
    <t>Adjustment</t>
  </si>
  <si>
    <t>Revised</t>
  </si>
  <si>
    <t>Gen Rate</t>
  </si>
  <si>
    <t xml:space="preserve">System Average </t>
  </si>
  <si>
    <t>by Voltage</t>
  </si>
  <si>
    <t>By Voltage</t>
  </si>
  <si>
    <t>Color Codes:</t>
  </si>
  <si>
    <r>
      <t>Green</t>
    </r>
    <r>
      <rPr>
        <sz val="10"/>
        <rFont val="Times New Roman"/>
      </rPr>
      <t>= Entered Number</t>
    </r>
  </si>
  <si>
    <r>
      <t>Rust</t>
    </r>
    <r>
      <rPr>
        <sz val="10"/>
        <rFont val="Times New Roman"/>
      </rPr>
      <t xml:space="preserve"> = linked to another sheet</t>
    </r>
  </si>
  <si>
    <r>
      <t>Blue</t>
    </r>
    <r>
      <rPr>
        <sz val="10"/>
        <rFont val="Times New Roman"/>
      </rPr>
      <t xml:space="preserve"> = Linked to another workbut</t>
    </r>
  </si>
  <si>
    <r>
      <t>gold</t>
    </r>
    <r>
      <rPr>
        <sz val="10"/>
        <rFont val="Times New Roman"/>
      </rPr>
      <t xml:space="preserve"> = named entry </t>
    </r>
  </si>
  <si>
    <t xml:space="preserve">Revenue Requirement </t>
  </si>
  <si>
    <t>Eligible Sales</t>
  </si>
  <si>
    <t>Surcharge Allocator</t>
  </si>
  <si>
    <t>T sales</t>
  </si>
  <si>
    <t>P sales</t>
  </si>
  <si>
    <t>S sales</t>
  </si>
  <si>
    <t>Sales w/out FPP</t>
  </si>
  <si>
    <t>Equal ¢</t>
  </si>
  <si>
    <t>Load Factor</t>
  </si>
  <si>
    <t>Adjusted Sales</t>
  </si>
  <si>
    <t>NPS  Rate</t>
  </si>
  <si>
    <t>NPS  Rate (VOLT)</t>
  </si>
  <si>
    <t>PX Price</t>
  </si>
  <si>
    <t>Total Gen Rev. Req.</t>
  </si>
  <si>
    <t>EPS</t>
  </si>
  <si>
    <t>Average Gen. Rate</t>
  </si>
  <si>
    <t>Allocator for Total Gen</t>
  </si>
  <si>
    <t>Gen Rev</t>
  </si>
  <si>
    <t>Rev</t>
  </si>
  <si>
    <t>p</t>
  </si>
  <si>
    <t>Total  Revenues at</t>
  </si>
  <si>
    <t>6/10/96 Rates</t>
  </si>
  <si>
    <t>1/1/01 Rates</t>
  </si>
  <si>
    <t>Functional</t>
  </si>
  <si>
    <t xml:space="preserve">NonFirm </t>
  </si>
  <si>
    <t>10 Pct Disct</t>
  </si>
  <si>
    <t>Based on 6/10/96 Rates</t>
  </si>
  <si>
    <t>Based on 1/1/01 Rates</t>
  </si>
  <si>
    <t>Adjustments</t>
  </si>
  <si>
    <t xml:space="preserve">volt </t>
  </si>
  <si>
    <t>numeric</t>
  </si>
  <si>
    <t>Equal Cents</t>
  </si>
  <si>
    <t>Allocation of Total Generation</t>
  </si>
  <si>
    <t>Load Weighted Allocation -2000 PX Prices</t>
  </si>
  <si>
    <t>Load Weighted Allocation -1999 PX Prices</t>
  </si>
  <si>
    <t>Equal Cents per kWh by Voltage</t>
  </si>
  <si>
    <t>Equal Cents by Volt.</t>
  </si>
  <si>
    <t>ESR</t>
  </si>
  <si>
    <t>Power Factor</t>
  </si>
  <si>
    <t>DO NOT ERASE DATA IN THIS SECTION!</t>
  </si>
  <si>
    <t>Calculation for Allocation of Total Generation (equal ¢ by Voltage)</t>
  </si>
  <si>
    <t>RSP Surchg</t>
  </si>
  <si>
    <t>RSP Surcharge Effective 6/1/01</t>
  </si>
  <si>
    <t>Emergency Procurement Surcharge</t>
  </si>
  <si>
    <t>RSP Surcharge</t>
  </si>
  <si>
    <t>Balance from March Through June</t>
  </si>
  <si>
    <t>Total to be collected through RSP</t>
  </si>
  <si>
    <t>Basis for allocating total generation costs</t>
  </si>
  <si>
    <t>Basis for Allocation of Total Generation</t>
  </si>
  <si>
    <t>gen_choice=</t>
  </si>
  <si>
    <t>allocation_method=</t>
  </si>
  <si>
    <t>Allocation of RSP Surcharge</t>
  </si>
  <si>
    <t>RSP</t>
  </si>
  <si>
    <t>Residual</t>
  </si>
  <si>
    <t>(use to copy values to appropriate col.)</t>
  </si>
  <si>
    <t>Description</t>
  </si>
  <si>
    <t>Inputs and Assumptions</t>
  </si>
  <si>
    <t>RSP Surch Allocations</t>
  </si>
  <si>
    <t>Generation Calculations</t>
  </si>
  <si>
    <t>Test Year 2001 Sales and Revs.</t>
  </si>
  <si>
    <t>Contains the calculation of the revenue requirement.</t>
  </si>
  <si>
    <t xml:space="preserve">Allows user to choose allocation methodology for RSP surcharge </t>
  </si>
  <si>
    <t>and the basis for calculating the total generation revenues.</t>
  </si>
  <si>
    <t>(Col. AB provides linked rates which need to be</t>
  </si>
  <si>
    <t>Provides functional revenue and average rates by rate schedule, based</t>
  </si>
  <si>
    <t>on the selected allocation of the RSP Surcharge.</t>
  </si>
  <si>
    <t>Calculates all eight alternative allocations of the RSP</t>
  </si>
  <si>
    <t>Calculates the residual generation revenues based on 6/10/96 Revenues</t>
  </si>
  <si>
    <t>Provides the sales and revenues for test year 2001, as filed in the RSP</t>
  </si>
  <si>
    <t>Application 00-11-056.</t>
  </si>
  <si>
    <t>II. Model Description</t>
  </si>
  <si>
    <t>A. Allocation Methodologies</t>
  </si>
  <si>
    <t>2) whether the RSP surcharge is allocated as a new functional revenue or total generation revenues</t>
  </si>
  <si>
    <t>1. Equal Cents per kWh</t>
  </si>
  <si>
    <t>2. Load Weighted Allocation -- 1999 Calendar year PX Prices</t>
  </si>
  <si>
    <t>allocation_method</t>
  </si>
  <si>
    <t>='Inputs And Assumptions'!$AA$18</t>
  </si>
  <si>
    <t>='RSP Surch Allocations'!$T$8</t>
  </si>
  <si>
    <t>gen_choice</t>
  </si>
  <si>
    <t>='Inputs And Assumptions'!$W$9</t>
  </si>
  <si>
    <t>gen_equal</t>
  </si>
  <si>
    <t>='Inputs And Assumptions'!$C$16</t>
  </si>
  <si>
    <t>P_Equal</t>
  </si>
  <si>
    <t>='Inputs And Assumptions'!$J$4</t>
  </si>
  <si>
    <t>P_equal_gen</t>
  </si>
  <si>
    <t>='Inputs And Assumptions'!$P$4</t>
  </si>
  <si>
    <t>P_LF</t>
  </si>
  <si>
    <t>='Inputs And Assumptions'!$C$25</t>
  </si>
  <si>
    <t>S_Equal</t>
  </si>
  <si>
    <t>='Inputs And Assumptions'!$J$3</t>
  </si>
  <si>
    <t>s_equal_gen</t>
  </si>
  <si>
    <t>='Inputs And Assumptions'!$P$3</t>
  </si>
  <si>
    <t>S_LF</t>
  </si>
  <si>
    <t>='Inputs And Assumptions'!$C$26</t>
  </si>
  <si>
    <t>surcharge</t>
  </si>
  <si>
    <t>='Inputs And Assumptions'!$C$1</t>
  </si>
  <si>
    <t>surcharge_1</t>
  </si>
  <si>
    <t>='Inputs And Assumptions'!$C$8</t>
  </si>
  <si>
    <t>T_Equal</t>
  </si>
  <si>
    <t>='Inputs And Assumptions'!$J$5</t>
  </si>
  <si>
    <t>T_equal_gen</t>
  </si>
  <si>
    <t>='Inputs And Assumptions'!$P$5</t>
  </si>
  <si>
    <t>T_LF</t>
  </si>
  <si>
    <t>='Inputs And Assumptions'!$C$24</t>
  </si>
  <si>
    <t>3. Load Weighted Allocation -- 2000 Calendar year PX Prices</t>
  </si>
  <si>
    <t xml:space="preserve">This allocation methodology is identical to that PG&amp;E proposed in its RSP application  for the Unrecovered </t>
  </si>
  <si>
    <t>Costs of Service.  An allocation factor for each schedule is developed based on PX weighted sales.</t>
  </si>
  <si>
    <t>A schedule's PX weighted sales = applicable load x recorded schedule average PX prices for calendar year 1999.</t>
  </si>
  <si>
    <t>The schedules allocation factor = PX weighted sales / system total PX weighted sales.</t>
  </si>
  <si>
    <t>Allocated RSP surcharge revenues for a schedule = the schedule's allocation factor times the RSP surcharge revenue</t>
  </si>
  <si>
    <t>requirement</t>
  </si>
  <si>
    <t xml:space="preserve">The methodology is identical to that describe in Methodology 2 above, but average PX prices for </t>
  </si>
  <si>
    <t>Oct 99 - Sept. 00 are used to calculate the allocation factors.</t>
  </si>
  <si>
    <t>4. Equal Cents by Voltage</t>
  </si>
  <si>
    <t>Similar to Methodology 1, but all sales at a given voltage level are assigned the same price.</t>
  </si>
  <si>
    <t xml:space="preserve">System Average RSP Surcharge = </t>
  </si>
  <si>
    <t>(T sales x T Loss Factor x T price + P sales x P Loss Factor x P price + S sales x S Loss Factor x S price)</t>
  </si>
  <si>
    <t>Total Applicable Sales</t>
  </si>
  <si>
    <t>T Price  = T Loss Factor x System Average RSP Surcharge</t>
  </si>
  <si>
    <t>P Price  = P Loss Factor x System Average RSP Surcharge</t>
  </si>
  <si>
    <t>S Price  = S Loss Factor x System Average RSP Surcharge</t>
  </si>
  <si>
    <t>Contents</t>
  </si>
  <si>
    <t>I Sheet Title</t>
  </si>
  <si>
    <t>I Sheet Titles &amp; Description</t>
  </si>
  <si>
    <t>The model allows the user to determine whether the allocation methodologies described in</t>
  </si>
  <si>
    <t>Section II above apply only to the RSP surcharge, or apply to total generation revenues.</t>
  </si>
  <si>
    <t xml:space="preserve">If one of the total generation options is chosen, the selected methodology calculates the schedule's total generation </t>
  </si>
  <si>
    <t>revenues.  The RSP surcharge revenue for a schedule = Schedule total generation revenue less schedule</t>
  </si>
  <si>
    <t>EPS revenue and residual generation revenue.</t>
  </si>
  <si>
    <t>Total Generation -- Load Weighted Allocation -1999 PX Prices</t>
  </si>
  <si>
    <t>Total Generation -- Load Weighted Allocation -2000 PX Prices</t>
  </si>
  <si>
    <t>Total Generation -- Equal Cents per kWh by Voltage</t>
  </si>
  <si>
    <t>2. Load Weighted Allocation -1999 PX Prices</t>
  </si>
  <si>
    <t>3. Load Weighted Allocation -2000 PX Prices</t>
  </si>
  <si>
    <t>4. Equal Cents per kWh by Voltage</t>
  </si>
  <si>
    <t>The allocation choices are listed below, as they appear in the drop down menu located on Line 19 of the "Inputs and</t>
  </si>
  <si>
    <t xml:space="preserve">B. Make sure that cell C1 equals 0.03 </t>
  </si>
  <si>
    <t>C. Enter RSP Mar - June Balance in Cell C5.</t>
  </si>
  <si>
    <t xml:space="preserve">Finally, if the user chooses to use the total generation methodology, </t>
  </si>
  <si>
    <t>Total generation revenues can be calculated based on either 6/10/96 or 1/1/01 rates.</t>
  </si>
  <si>
    <t>D. Using the drop down menu located on Line 19</t>
  </si>
  <si>
    <t xml:space="preserve">E. If a total generation allocation methodology is chosen, </t>
  </si>
  <si>
    <t>choose the basis for calculating total generation using the</t>
  </si>
  <si>
    <t>drop down menu on line 21.</t>
  </si>
  <si>
    <t>F. Enter Loss Factors for each voltage level in cells</t>
  </si>
  <si>
    <t>C24 - C26</t>
  </si>
  <si>
    <t>Under the View Menu Select Report Manager</t>
  </si>
  <si>
    <t>Highlight the "Print Out" report</t>
  </si>
  <si>
    <t>Select Print</t>
  </si>
  <si>
    <t>G. The User can now either :</t>
  </si>
  <si>
    <t>the values in the selected cells to the appropriate proposed average rate cells (all begin on line 10):</t>
  </si>
  <si>
    <t>Col D</t>
  </si>
  <si>
    <t>Col J</t>
  </si>
  <si>
    <t>Col M</t>
  </si>
  <si>
    <t>Col S</t>
  </si>
  <si>
    <t>Note -- Do not change any data in Col V through AA or the model will not run correctly.</t>
  </si>
  <si>
    <t>Equals 1 ¢ per kWh EPS surcharge</t>
  </si>
  <si>
    <t>Variable Name</t>
  </si>
  <si>
    <t xml:space="preserve">Cell Location </t>
  </si>
  <si>
    <t>Numeric id for selected allocation methodology.</t>
  </si>
  <si>
    <t>Numeric id for selected total gen. Calculation</t>
  </si>
  <si>
    <t>equal cent allocation for RSP Surcharge</t>
  </si>
  <si>
    <t>Primary equal cent allocator for RSP Surcharge</t>
  </si>
  <si>
    <t>Secondary equal cent allocator for RSP Surcharge</t>
  </si>
  <si>
    <t>Primary equal cent allocation for total generation</t>
  </si>
  <si>
    <t>Secondary equal cent allocation for total generation</t>
  </si>
  <si>
    <t>Secondary load factor</t>
  </si>
  <si>
    <t>RSP surcharge (equals 3 ¢ per kWh)</t>
  </si>
  <si>
    <t>RSP revenue requirement divided by applicable sales</t>
  </si>
  <si>
    <t>Transmission equal cent allocation for total generation</t>
  </si>
  <si>
    <t>Transmission equal cent allocator for RSP Surcharge</t>
  </si>
  <si>
    <t>Primary load factor</t>
  </si>
  <si>
    <t>Transmission  load factor</t>
  </si>
  <si>
    <t>5. Top 100 Hours</t>
  </si>
  <si>
    <t>6. Total Generation -- Equal Cents per kWh</t>
  </si>
  <si>
    <t>7. Total Generation -- Load Weighted Allocation -1999 PX Prices</t>
  </si>
  <si>
    <t>8. Total Generation -- Load Weighted Allocation -2000 PX Prices</t>
  </si>
  <si>
    <t>9. Total Generation -- Equal Cents per kWh by Voltage</t>
  </si>
  <si>
    <t>10. Total Generation -- Top 100 Hours</t>
  </si>
  <si>
    <t>each schedule's allocation factor = Schedule 100 hour loads / system 100 hour loads.</t>
  </si>
  <si>
    <t>Allocated revenue for each schedule = 100 hour allocation factor *RSP Surcharge revenue requirement.</t>
  </si>
  <si>
    <t>Total revenues at 1996 rates</t>
  </si>
  <si>
    <t>Less</t>
  </si>
  <si>
    <t>Transmission Revenues</t>
  </si>
  <si>
    <t>Reliability Service Revenues</t>
  </si>
  <si>
    <t>Distribution  Revenues</t>
  </si>
  <si>
    <t>Public Purpose Program Revenues</t>
  </si>
  <si>
    <t>Nuclear Decommissioning Revenues</t>
  </si>
  <si>
    <t>Power Factor Adjustments</t>
  </si>
  <si>
    <t>Plus</t>
  </si>
  <si>
    <t>ESR Discounts</t>
  </si>
  <si>
    <t>Total revenues at 2001 rates</t>
  </si>
  <si>
    <t>10% Rate Reduction.</t>
  </si>
  <si>
    <t>FTA Charge- Res.</t>
  </si>
  <si>
    <t>FTA Charge- Com.</t>
  </si>
  <si>
    <t>Top 100 Hour Allocation</t>
  </si>
  <si>
    <t>Scaling</t>
  </si>
  <si>
    <t>Factor</t>
  </si>
  <si>
    <t>Sales Wtd</t>
  </si>
  <si>
    <t>Scaled Top</t>
  </si>
  <si>
    <r>
      <t>1</t>
    </r>
    <r>
      <rPr>
        <sz val="10"/>
        <rFont val="Times New Roman"/>
        <family val="1"/>
      </rPr>
      <t xml:space="preserve"> 1998 and 1999 scaled loads are allocated to all schedules based on test year usage.</t>
    </r>
  </si>
  <si>
    <r>
      <t xml:space="preserve">100 Hours </t>
    </r>
    <r>
      <rPr>
        <u/>
        <vertAlign val="superscript"/>
        <sz val="10"/>
        <color indexed="8"/>
        <rFont val="Times New Roman"/>
        <family val="1"/>
      </rPr>
      <t xml:space="preserve"> 1</t>
    </r>
  </si>
  <si>
    <t>Sch. Lvl 1998</t>
  </si>
  <si>
    <r>
      <t xml:space="preserve">100 Hours </t>
    </r>
    <r>
      <rPr>
        <u/>
        <vertAlign val="superscript"/>
        <sz val="10"/>
        <rFont val="Times New Roman"/>
        <family val="1"/>
      </rPr>
      <t xml:space="preserve"> 1</t>
    </r>
  </si>
  <si>
    <t>Sch. Lvl 1999</t>
  </si>
  <si>
    <t>Alloc Factor</t>
  </si>
  <si>
    <t>Average</t>
  </si>
  <si>
    <t>100 Hour</t>
  </si>
  <si>
    <t>1999 PX Weighted Loads</t>
  </si>
  <si>
    <t>2000 PX Weighted Loads</t>
  </si>
  <si>
    <t>Equal ¢ by Voltage</t>
  </si>
  <si>
    <t xml:space="preserve">Top 100 Hours </t>
  </si>
  <si>
    <t>Total Generation -- Top 100 Hours</t>
  </si>
  <si>
    <t>Total Generation -- Equal Cents per kWh</t>
  </si>
  <si>
    <t>Top 100 Hours</t>
  </si>
  <si>
    <t xml:space="preserve">Equal Cent </t>
  </si>
  <si>
    <t xml:space="preserve">1999 Load Weighted </t>
  </si>
  <si>
    <t xml:space="preserve">2000 Load Weighted </t>
  </si>
  <si>
    <r>
      <t xml:space="preserve">copied as </t>
    </r>
    <r>
      <rPr>
        <b/>
        <sz val="11"/>
        <rFont val="Times New Roman"/>
        <family val="1"/>
      </rPr>
      <t xml:space="preserve">VALUES </t>
    </r>
    <r>
      <rPr>
        <sz val="11"/>
        <rFont val="Times New Roman"/>
        <family val="1"/>
      </rPr>
      <t xml:space="preserve"> to the appropriate scenario column.)</t>
    </r>
  </si>
  <si>
    <t>1996 Generation</t>
  </si>
  <si>
    <t>2001 Generation</t>
  </si>
  <si>
    <t>Average Rates</t>
  </si>
  <si>
    <t>B Choice of Allocators</t>
  </si>
  <si>
    <t>II Model Description</t>
  </si>
  <si>
    <t>2. Load weighted -- 99 PX</t>
  </si>
  <si>
    <t>3. Load weighted -- 00 PX</t>
  </si>
  <si>
    <t xml:space="preserve">Topic begins on </t>
  </si>
  <si>
    <t>Line 15</t>
  </si>
  <si>
    <t xml:space="preserve">Assumptions tab.  In addition, a short hand version of the allocation methodology chosen appears above the </t>
  </si>
  <si>
    <t>Revenue Allocation</t>
  </si>
  <si>
    <t>Average Rate Summary</t>
  </si>
  <si>
    <t>select the "Average Rate Summary" tab and highlight cells AB10 - AB 133.  Copy (with paste values option)</t>
  </si>
  <si>
    <t>Tables default values assume total generation scenarios run with 1996 Generation revenues</t>
  </si>
  <si>
    <t>RSP Surcharge Summary</t>
  </si>
  <si>
    <r>
      <t xml:space="preserve">Provides a table which summarizes </t>
    </r>
    <r>
      <rPr>
        <b/>
        <sz val="11"/>
        <rFont val="Times New Roman"/>
        <family val="1"/>
      </rPr>
      <t>RSP Surcharge</t>
    </r>
    <r>
      <rPr>
        <sz val="11"/>
        <rFont val="Times New Roman"/>
        <family val="1"/>
      </rPr>
      <t xml:space="preserve"> rates for each schedule and allocation methodology.</t>
    </r>
  </si>
  <si>
    <r>
      <t xml:space="preserve">Provides a table which summarizes </t>
    </r>
    <r>
      <rPr>
        <b/>
        <sz val="11"/>
        <rFont val="Times New Roman"/>
        <family val="1"/>
      </rPr>
      <t>Total</t>
    </r>
    <r>
      <rPr>
        <sz val="11"/>
        <rFont val="Times New Roman"/>
        <family val="1"/>
      </rPr>
      <t xml:space="preserve"> average rates for each schedule and methodology.</t>
    </r>
  </si>
  <si>
    <t>at Present Rates or 1/1/01 Revenues at Present Rates, as Described in Section II B.</t>
  </si>
  <si>
    <t>This model allows the user to choose:</t>
  </si>
  <si>
    <t>1) the allocation methodology for the RSP (described in Section A below); and</t>
  </si>
  <si>
    <t>as described in Section B below.</t>
  </si>
  <si>
    <t>The RSP surcharge revenue requirement is divided by the applicable sales: total sales - CARE sales (referred to as surcharge_1).</t>
  </si>
  <si>
    <t>Each schedule's allocation of the RSP surcharge = schedule applicable sales x surcharge_1</t>
  </si>
  <si>
    <t>B. Allocation Choices</t>
  </si>
  <si>
    <t>Total Generation equals the sum of the residual generation revenues, EPS revenues, and RSP surcharge revenues.</t>
  </si>
  <si>
    <t>RSP surcharge revenues and average rates on the "Revenue Allocation" tab.</t>
  </si>
  <si>
    <t>Allocation Method</t>
  </si>
  <si>
    <t xml:space="preserve">Shorthand </t>
  </si>
  <si>
    <t xml:space="preserve">Equal ¢ </t>
  </si>
  <si>
    <t>99 Loads</t>
  </si>
  <si>
    <t>00 Loads</t>
  </si>
  <si>
    <t>¢ by Volt.</t>
  </si>
  <si>
    <t>100 Hours</t>
  </si>
  <si>
    <t xml:space="preserve">G Equal ¢ </t>
  </si>
  <si>
    <t>G 99 Loads</t>
  </si>
  <si>
    <t>G 00 Loads</t>
  </si>
  <si>
    <t>G ¢ by Volt.</t>
  </si>
  <si>
    <t>G 100 Hours</t>
  </si>
  <si>
    <t>select the allocation methodology desired.</t>
  </si>
  <si>
    <t>2. Print all Workpapers;</t>
  </si>
  <si>
    <t>1. Print out the revenue and rate summary -- Select the tab "Revenue Allocation" and print it out;</t>
  </si>
  <si>
    <t>3. Add the Scenario to the Average Rate Summary  and RSP Surcharge Summary tables</t>
  </si>
  <si>
    <t>Note: this documentation, the Average Rate Summary and the RSP Surcharge Summary</t>
  </si>
  <si>
    <t>tabs will not print out as workpapers.</t>
  </si>
  <si>
    <t>a. Average Rate Summary:</t>
  </si>
  <si>
    <t>10. Total Generation -- Top 100 hours</t>
  </si>
  <si>
    <t>Col F</t>
  </si>
  <si>
    <t>Col H</t>
  </si>
  <si>
    <t>Col. L</t>
  </si>
  <si>
    <t>Col O</t>
  </si>
  <si>
    <t>Col Q</t>
  </si>
  <si>
    <t>Col U</t>
  </si>
  <si>
    <t>Col. W</t>
  </si>
  <si>
    <t>b. RSP Surcharge Summary</t>
  </si>
  <si>
    <t>Col C</t>
  </si>
  <si>
    <t>Col E</t>
  </si>
  <si>
    <t>Col. G</t>
  </si>
  <si>
    <t>Col K</t>
  </si>
  <si>
    <t>Col L</t>
  </si>
  <si>
    <t>Col. N</t>
  </si>
  <si>
    <t>Total Generation 1996 equals</t>
  </si>
  <si>
    <t>are allocated (Total generation = residual Gen. + Emergency Procurement Surcharge (EPS) Rev. + RSP Surcharge Rev),</t>
  </si>
  <si>
    <t>This methodology uses the top 100 hours from 1998 and 1999, scaled to the test year to derive test year 100 hour loads</t>
  </si>
  <si>
    <t>Total Generation 2001 equals</t>
  </si>
  <si>
    <t>A. Go to the Inputs and Assumptions tab</t>
  </si>
  <si>
    <t>Line 43</t>
  </si>
  <si>
    <t>Line 53</t>
  </si>
  <si>
    <t>Line 55</t>
  </si>
  <si>
    <t>Line 61</t>
  </si>
  <si>
    <t>Line 70</t>
  </si>
  <si>
    <t>Line 76</t>
  </si>
  <si>
    <t>Line 88</t>
  </si>
  <si>
    <t>Line 93</t>
  </si>
  <si>
    <t>III How to Run the Model</t>
  </si>
  <si>
    <t>IV Description of Named Variables Created by the Model</t>
  </si>
  <si>
    <t>Line 211</t>
  </si>
  <si>
    <t>Line148</t>
  </si>
  <si>
    <t>Green Items are from A. 00-11-056</t>
  </si>
  <si>
    <t>Nonallocated Revenue</t>
  </si>
  <si>
    <t>Generation Adjustments for</t>
  </si>
  <si>
    <t>1996 Rev</t>
  </si>
  <si>
    <t>2001 Rev</t>
  </si>
  <si>
    <t>Gen Adjust.</t>
  </si>
  <si>
    <t>Equal Cents by Voltage</t>
  </si>
  <si>
    <t>V. Changes to this version of the Model</t>
  </si>
  <si>
    <t>1. Identified sales associated with Schedule EL-7</t>
  </si>
  <si>
    <t>Line 231</t>
  </si>
  <si>
    <t>2. On allocations of total generation modified the calculation</t>
  </si>
  <si>
    <t>of RSP surcharge Revenues to equal Total Generation plus generation adjustments less ESP and generation revenues</t>
  </si>
  <si>
    <t>generation adjustments (1996) = Nonfirm discounts, ESR discounts, and Power Factor Adjustments</t>
  </si>
  <si>
    <t>generation adjustments (2001) = 10% rate reduction, FTA revenues, Nonfirm discounts, ESR discounts, and Power Factor Adjustments</t>
  </si>
  <si>
    <t>Adjustment Rev.</t>
  </si>
  <si>
    <t>Adjust Rate</t>
  </si>
  <si>
    <t>3. Added generation adjustment revenues to the Revenue Allocation tab in cases where total generation is allocated.</t>
  </si>
  <si>
    <t>March</t>
  </si>
  <si>
    <t>April</t>
  </si>
  <si>
    <t>May</t>
  </si>
  <si>
    <t>Sales (Excludes FPP Sales)</t>
  </si>
  <si>
    <t>Total Sales</t>
  </si>
  <si>
    <t>Surcharge Adder</t>
  </si>
  <si>
    <t>(From 1/04)</t>
  </si>
  <si>
    <t>Development of Revenue Requirement  Associated with Accrued RSP Surcharge</t>
  </si>
  <si>
    <t>1. Assumptions:</t>
  </si>
  <si>
    <t>CARE Sales  As a percent of Total Sales</t>
  </si>
  <si>
    <t>Accrued Surcharge Rev</t>
  </si>
  <si>
    <t>Months to Amortize</t>
  </si>
  <si>
    <t>Interest Rate</t>
  </si>
  <si>
    <t>Months in 2001 Surcharge Applies</t>
  </si>
  <si>
    <t>2. Eligible Sales</t>
  </si>
  <si>
    <t>Total  for Accrued Surcharge Rev.</t>
  </si>
  <si>
    <t>June</t>
  </si>
  <si>
    <t>July</t>
  </si>
  <si>
    <t>August</t>
  </si>
  <si>
    <t>September</t>
  </si>
  <si>
    <t>October</t>
  </si>
  <si>
    <t>November</t>
  </si>
  <si>
    <t>December</t>
  </si>
  <si>
    <t>Annual 2001 Eligible Sales</t>
  </si>
  <si>
    <t>Total Sales for Amortization</t>
  </si>
  <si>
    <t>3. Calculation of Surcharge Adder</t>
  </si>
  <si>
    <t>Surcharge Rev Req. Mar -June</t>
  </si>
  <si>
    <t>Surcharge</t>
  </si>
  <si>
    <t>Total Surcharge</t>
  </si>
  <si>
    <t>4. Added a tab entitled "Development of RRQ" which calculates a cent per kWh adder to the 3 ¢ surcharge to amortize</t>
  </si>
  <si>
    <t>the accrued balance from March 27 -May 31 over 12 months.</t>
  </si>
  <si>
    <t xml:space="preserve">Energy Surcharge </t>
  </si>
  <si>
    <t>Calculation for Allocation of RSP Surcharge (equal ¢ by voltage)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</si>
</sst>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8">
    <numFmt numFmtId="5" formatCode="&quot;$&quot;#,##0_);\(&quot;$&quot;#,##0\)"/>
    <numFmt numFmtId="7" formatCode="&quot;$&quot;#,##0.00_);\(&quot;$&quot;#,##0.00\)"/>
    <numFmt numFmtId="43" formatCode="_(* #,##0.00_);_(* \(#,##0.00\);_(* &quot;-&quot;??_);_(@_)"/>
    <numFmt numFmtId="164" formatCode="&quot;$&quot;#,##0"/>
    <numFmt numFmtId="165" formatCode="0.000000"/>
    <numFmt numFmtId="166" formatCode="0.00000"/>
    <numFmt numFmtId="167" formatCode=".0000\ ;\(.0000\)"/>
    <numFmt numFmtId="168" formatCode="&quot;$&quot;#,###,"/>
    <numFmt numFmtId="169" formatCode="#,###,"/>
    <numFmt numFmtId="170" formatCode="_(* #,##0_);_(* \(#,##0\);_(* &quot;-&quot;??_);_(@_)"/>
    <numFmt numFmtId="171" formatCode="#,##0.00000"/>
    <numFmt numFmtId="172" formatCode="0.000"/>
    <numFmt numFmtId="176" formatCode="0.0%"/>
    <numFmt numFmtId="178" formatCode="&quot;$&quot;#,##0.00000"/>
    <numFmt numFmtId="179" formatCode="_(* #,##0.0000000_);_(* \(#,##0.0000000\);_(* &quot;-&quot;??_);_(@_)"/>
    <numFmt numFmtId="180" formatCode="_(* #,##0.0_);_(* \(#,##0.0\);_(* &quot;-&quot;??_);_(@_)"/>
    <numFmt numFmtId="181" formatCode="&quot;$&quot;#,##0.000_);\(&quot;$&quot;#,##0.000\)"/>
    <numFmt numFmtId="182" formatCode="0.00000000"/>
    <numFmt numFmtId="183" formatCode="_(* #,##0.00000_);_(* \(#,##0.00000\);_(* &quot;-&quot;??_);_(@_)"/>
    <numFmt numFmtId="184" formatCode="&quot;$&quot;#,##0.000000;[Red]&quot;$&quot;#,##0.000000"/>
    <numFmt numFmtId="185" formatCode="&quot;$&quot;#,##0.000000_);\(&quot;$&quot;#,##0.000000\)"/>
    <numFmt numFmtId="187" formatCode="0.0000"/>
    <numFmt numFmtId="188" formatCode="&quot;$&quot;#,##0.0000"/>
    <numFmt numFmtId="189" formatCode="_(* #,##0.0000_);_(* \(#,##0.0000\);_(* &quot;-&quot;??_);_(@_)"/>
    <numFmt numFmtId="190" formatCode="&quot;$&quot;#,##0.00000_);\(&quot;$&quot;#,##0.00000\)"/>
    <numFmt numFmtId="193" formatCode="mm/dd/yy"/>
    <numFmt numFmtId="202" formatCode="&quot;$&quot;#,###.000000,"/>
    <numFmt numFmtId="210" formatCode="&quot;$&quot;#,##0.000000"/>
  </numFmts>
  <fonts count="60">
    <font>
      <sz val="10"/>
      <name val="Times New Roman"/>
    </font>
    <font>
      <sz val="10"/>
      <name val="Times New Roman"/>
    </font>
    <font>
      <sz val="9"/>
      <name val="Helv"/>
    </font>
    <font>
      <sz val="10"/>
      <name val="Geneva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16"/>
      <name val="Times New Roman"/>
      <family val="1"/>
    </font>
    <font>
      <b/>
      <u/>
      <sz val="10"/>
      <name val="Times New Roman"/>
      <family val="1"/>
    </font>
    <font>
      <b/>
      <sz val="10"/>
      <name val="Times New Roman"/>
      <family val="1"/>
    </font>
    <font>
      <u/>
      <sz val="9"/>
      <color indexed="8"/>
      <name val="Times New Roman"/>
      <family val="1"/>
    </font>
    <font>
      <sz val="9"/>
      <color indexed="12"/>
      <name val="Times New Roman"/>
      <family val="1"/>
    </font>
    <font>
      <sz val="9"/>
      <color indexed="17"/>
      <name val="Times New Roman"/>
      <family val="1"/>
    </font>
    <font>
      <sz val="10"/>
      <color indexed="17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u/>
      <sz val="10"/>
      <name val="Times New Roman"/>
      <family val="1"/>
    </font>
    <font>
      <b/>
      <sz val="9"/>
      <color indexed="17"/>
      <name val="Times New Roman"/>
      <family val="1"/>
    </font>
    <font>
      <sz val="10"/>
      <name val="Arial"/>
    </font>
    <font>
      <b/>
      <sz val="10"/>
      <color indexed="17"/>
      <name val="Times New Roman"/>
      <family val="1"/>
    </font>
    <font>
      <b/>
      <sz val="10"/>
      <color indexed="16"/>
      <name val="Times New Roman"/>
      <family val="1"/>
    </font>
    <font>
      <sz val="8"/>
      <color indexed="81"/>
      <name val="Tahoma"/>
    </font>
    <font>
      <u/>
      <sz val="9"/>
      <name val="Times New Roman"/>
      <family val="1"/>
    </font>
    <font>
      <u/>
      <sz val="9"/>
      <color indexed="16"/>
      <name val="Times New Roman"/>
      <family val="1"/>
    </font>
    <font>
      <u/>
      <sz val="9"/>
      <color indexed="17"/>
      <name val="Times New Roman"/>
      <family val="1"/>
    </font>
    <font>
      <sz val="8"/>
      <name val="Times New Roman"/>
      <family val="1"/>
    </font>
    <font>
      <i/>
      <sz val="7"/>
      <color indexed="12"/>
      <name val="Times New Roman"/>
      <family val="1"/>
    </font>
    <font>
      <sz val="9"/>
      <name val="times new roman"/>
    </font>
    <font>
      <sz val="11"/>
      <name val="Times New Roman"/>
      <family val="1"/>
    </font>
    <font>
      <sz val="11"/>
      <color indexed="17"/>
      <name val="Times New Roman"/>
      <family val="1"/>
    </font>
    <font>
      <u/>
      <sz val="11"/>
      <name val="Times New Roman"/>
      <family val="1"/>
    </font>
    <font>
      <b/>
      <sz val="10"/>
      <color indexed="57"/>
      <name val="Times New Roman"/>
      <family val="1"/>
    </font>
    <font>
      <sz val="10"/>
      <color indexed="12"/>
      <name val="Times New Roman"/>
      <family val="1"/>
    </font>
    <font>
      <u/>
      <sz val="10"/>
      <color indexed="12"/>
      <name val="Times New Roman"/>
      <family val="1"/>
    </font>
    <font>
      <sz val="10"/>
      <color indexed="16"/>
      <name val="Times New Roman"/>
      <family val="1"/>
    </font>
    <font>
      <sz val="10"/>
      <color indexed="51"/>
      <name val="Times New Roman"/>
      <family val="1"/>
    </font>
    <font>
      <sz val="10"/>
      <color indexed="57"/>
      <name val="Times New Roman"/>
      <family val="1"/>
    </font>
    <font>
      <u/>
      <sz val="10"/>
      <color indexed="16"/>
      <name val="Times New Roman"/>
      <family val="1"/>
    </font>
    <font>
      <u val="singleAccounting"/>
      <sz val="10"/>
      <name val="Times New Roman"/>
      <family val="1"/>
    </font>
    <font>
      <sz val="10"/>
      <color indexed="60"/>
      <name val="Times New Roman"/>
      <family val="1"/>
    </font>
    <font>
      <sz val="10"/>
      <color indexed="53"/>
      <name val="Times New Roman"/>
      <family val="1"/>
    </font>
    <font>
      <u/>
      <sz val="10"/>
      <color indexed="53"/>
      <name val="Times New Roman"/>
      <family val="1"/>
    </font>
    <font>
      <sz val="10"/>
      <color indexed="52"/>
      <name val="Times New Roman"/>
      <family val="1"/>
    </font>
    <font>
      <b/>
      <sz val="10"/>
      <color indexed="10"/>
      <name val="Times New Roman"/>
      <family val="1"/>
    </font>
    <font>
      <u/>
      <sz val="10"/>
      <color indexed="17"/>
      <name val="Times New Roman"/>
      <family val="1"/>
    </font>
    <font>
      <b/>
      <u/>
      <sz val="9"/>
      <color indexed="8"/>
      <name val="Times New Roman"/>
      <family val="1"/>
    </font>
    <font>
      <b/>
      <u/>
      <sz val="9"/>
      <name val="Times New Roman"/>
      <family val="1"/>
    </font>
    <font>
      <sz val="8"/>
      <color indexed="81"/>
      <name val="Tahoma"/>
      <family val="2"/>
    </font>
    <font>
      <sz val="10"/>
      <color indexed="8"/>
      <name val="Times New Roman"/>
      <family val="1"/>
    </font>
    <font>
      <u/>
      <sz val="10"/>
      <color indexed="8"/>
      <name val="Times New Roman"/>
      <family val="1"/>
    </font>
    <font>
      <u/>
      <vertAlign val="superscript"/>
      <sz val="10"/>
      <color indexed="8"/>
      <name val="Times New Roman"/>
      <family val="1"/>
    </font>
    <font>
      <vertAlign val="superscript"/>
      <sz val="10"/>
      <name val="Times New Roman"/>
      <family val="1"/>
    </font>
    <font>
      <u/>
      <vertAlign val="superscript"/>
      <sz val="10"/>
      <name val="Times New Roman"/>
      <family val="1"/>
    </font>
    <font>
      <b/>
      <u/>
      <sz val="11"/>
      <name val="Times New Roman"/>
      <family val="1"/>
    </font>
    <font>
      <b/>
      <sz val="11"/>
      <name val="Times New Roman"/>
      <family val="1"/>
    </font>
    <font>
      <b/>
      <i/>
      <sz val="7"/>
      <color indexed="17"/>
      <name val="Times New Roman"/>
      <family val="1"/>
    </font>
    <font>
      <sz val="9"/>
      <color indexed="60"/>
      <name val="Times New Roman"/>
      <family val="1"/>
    </font>
    <font>
      <u/>
      <sz val="9"/>
      <color indexed="60"/>
      <name val="Times New Roman"/>
      <family val="1"/>
    </font>
    <font>
      <u/>
      <sz val="10"/>
      <color indexed="60"/>
      <name val="Times New Roman"/>
      <family val="1"/>
    </font>
    <font>
      <b/>
      <i/>
      <sz val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4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3" fontId="2" fillId="0" borderId="0" applyFill="0" applyBorder="0" applyProtection="0">
      <alignment horizontal="right"/>
    </xf>
    <xf numFmtId="43" fontId="1" fillId="0" borderId="0" applyFont="0" applyFill="0" applyBorder="0" applyAlignment="0" applyProtection="0"/>
    <xf numFmtId="4" fontId="3" fillId="0" borderId="0" applyFont="0" applyFill="0" applyBorder="0" applyAlignment="0" applyProtection="0"/>
    <xf numFmtId="0" fontId="18" fillId="0" borderId="0"/>
    <xf numFmtId="0" fontId="2" fillId="0" borderId="0" applyProtection="0"/>
    <xf numFmtId="0" fontId="2" fillId="0" borderId="0" applyProtection="0"/>
    <xf numFmtId="0" fontId="27" fillId="0" borderId="0"/>
    <xf numFmtId="9" fontId="1" fillId="0" borderId="0" applyFont="0" applyFill="0" applyBorder="0" applyAlignment="0" applyProtection="0"/>
    <xf numFmtId="164" fontId="2" fillId="0" borderId="0" applyFill="0" applyBorder="0" applyProtection="0">
      <alignment horizontal="right"/>
    </xf>
  </cellStyleXfs>
  <cellXfs count="434">
    <xf numFmtId="0" fontId="0" fillId="0" borderId="0" xfId="0"/>
    <xf numFmtId="0" fontId="4" fillId="0" borderId="0" xfId="6" applyFont="1" applyAlignment="1" applyProtection="1">
      <alignment horizontal="center"/>
      <protection locked="0"/>
    </xf>
    <xf numFmtId="0" fontId="4" fillId="0" borderId="0" xfId="6" applyFont="1" applyAlignment="1" applyProtection="1">
      <alignment horizontal="right"/>
      <protection locked="0"/>
    </xf>
    <xf numFmtId="0" fontId="4" fillId="0" borderId="0" xfId="6" applyFont="1" applyAlignment="1" applyProtection="1">
      <alignment horizontal="left"/>
      <protection locked="0"/>
    </xf>
    <xf numFmtId="164" fontId="4" fillId="0" borderId="0" xfId="6" applyNumberFormat="1" applyFont="1" applyAlignment="1" applyProtection="1">
      <alignment horizontal="center"/>
      <protection locked="0"/>
    </xf>
    <xf numFmtId="3" fontId="4" fillId="0" borderId="0" xfId="6" applyNumberFormat="1" applyFont="1" applyAlignment="1" applyProtection="1">
      <alignment horizontal="right"/>
      <protection locked="0"/>
    </xf>
    <xf numFmtId="3" fontId="5" fillId="0" borderId="0" xfId="6" applyNumberFormat="1" applyFont="1" applyAlignment="1" applyProtection="1">
      <alignment horizontal="right"/>
      <protection locked="0"/>
    </xf>
    <xf numFmtId="0" fontId="0" fillId="0" borderId="0" xfId="0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 applyAlignment="1">
      <alignment horizontal="center"/>
    </xf>
    <xf numFmtId="164" fontId="4" fillId="0" borderId="0" xfId="6" applyNumberFormat="1" applyFont="1" applyAlignment="1" applyProtection="1">
      <alignment horizontal="right"/>
      <protection locked="0"/>
    </xf>
    <xf numFmtId="0" fontId="0" fillId="0" borderId="0" xfId="0" applyFill="1" applyBorder="1"/>
    <xf numFmtId="0" fontId="8" fillId="0" borderId="0" xfId="0" applyFont="1" applyFill="1" applyBorder="1" applyAlignment="1">
      <alignment horizontal="center"/>
    </xf>
    <xf numFmtId="0" fontId="10" fillId="0" borderId="0" xfId="6" applyFont="1" applyFill="1" applyBorder="1" applyAlignment="1" applyProtection="1">
      <alignment horizontal="left"/>
      <protection locked="0"/>
    </xf>
    <xf numFmtId="3" fontId="4" fillId="0" borderId="0" xfId="6" applyNumberFormat="1" applyFont="1" applyBorder="1" applyAlignment="1" applyProtection="1">
      <alignment horizontal="right"/>
      <protection locked="0"/>
    </xf>
    <xf numFmtId="0" fontId="4" fillId="0" borderId="0" xfId="6" applyFont="1" applyAlignment="1">
      <alignment horizontal="center"/>
    </xf>
    <xf numFmtId="3" fontId="4" fillId="0" borderId="0" xfId="6" applyNumberFormat="1" applyFont="1" applyProtection="1">
      <protection locked="0"/>
    </xf>
    <xf numFmtId="3" fontId="5" fillId="0" borderId="0" xfId="6" applyNumberFormat="1" applyFont="1" applyBorder="1"/>
    <xf numFmtId="164" fontId="4" fillId="0" borderId="0" xfId="6" applyNumberFormat="1" applyFont="1" applyProtection="1">
      <protection locked="0"/>
    </xf>
    <xf numFmtId="0" fontId="4" fillId="0" borderId="0" xfId="6" applyFont="1" applyFill="1" applyBorder="1" applyAlignment="1" applyProtection="1">
      <alignment horizontal="right"/>
      <protection locked="0"/>
    </xf>
    <xf numFmtId="3" fontId="0" fillId="0" borderId="0" xfId="0" applyNumberFormat="1" applyFill="1" applyBorder="1" applyAlignment="1">
      <alignment horizontal="center"/>
    </xf>
    <xf numFmtId="3" fontId="4" fillId="0" borderId="0" xfId="6" applyNumberFormat="1" applyFont="1"/>
    <xf numFmtId="3" fontId="5" fillId="0" borderId="0" xfId="6" applyNumberFormat="1" applyFont="1"/>
    <xf numFmtId="164" fontId="4" fillId="0" borderId="0" xfId="6" applyNumberFormat="1" applyFont="1"/>
    <xf numFmtId="164" fontId="4" fillId="0" borderId="0" xfId="6" applyNumberFormat="1" applyFont="1" applyBorder="1"/>
    <xf numFmtId="3" fontId="11" fillId="0" borderId="0" xfId="6" applyNumberFormat="1" applyFont="1"/>
    <xf numFmtId="164" fontId="5" fillId="0" borderId="0" xfId="6" applyNumberFormat="1" applyFont="1" applyProtection="1">
      <protection locked="0"/>
    </xf>
    <xf numFmtId="164" fontId="4" fillId="0" borderId="0" xfId="6" applyNumberFormat="1" applyFont="1" applyAlignment="1" applyProtection="1">
      <alignment horizontal="left"/>
      <protection locked="0"/>
    </xf>
    <xf numFmtId="3" fontId="4" fillId="0" borderId="0" xfId="6" applyNumberFormat="1" applyFont="1" applyAlignment="1">
      <alignment horizontal="right"/>
    </xf>
    <xf numFmtId="164" fontId="4" fillId="0" borderId="0" xfId="6" applyNumberFormat="1" applyFont="1" applyAlignment="1">
      <alignment horizontal="right"/>
    </xf>
    <xf numFmtId="3" fontId="11" fillId="0" borderId="0" xfId="6" applyNumberFormat="1" applyFont="1" applyAlignment="1">
      <alignment horizontal="right"/>
    </xf>
    <xf numFmtId="3" fontId="5" fillId="0" borderId="0" xfId="6" applyNumberFormat="1" applyFont="1" applyAlignment="1">
      <alignment horizontal="right"/>
    </xf>
    <xf numFmtId="3" fontId="4" fillId="0" borderId="0" xfId="6" applyNumberFormat="1" applyFont="1" applyBorder="1" applyProtection="1">
      <protection locked="0"/>
    </xf>
    <xf numFmtId="3" fontId="5" fillId="0" borderId="0" xfId="6" applyNumberFormat="1" applyFont="1" applyBorder="1" applyProtection="1">
      <protection locked="0"/>
    </xf>
    <xf numFmtId="0" fontId="0" fillId="0" borderId="0" xfId="0" applyFill="1" applyBorder="1" applyAlignment="1">
      <alignment horizontal="right"/>
    </xf>
    <xf numFmtId="3" fontId="5" fillId="0" borderId="1" xfId="6" applyNumberFormat="1" applyFont="1" applyBorder="1"/>
    <xf numFmtId="3" fontId="7" fillId="0" borderId="0" xfId="6" applyNumberFormat="1" applyFont="1" applyBorder="1"/>
    <xf numFmtId="0" fontId="16" fillId="0" borderId="0" xfId="0" applyFont="1" applyFill="1" applyBorder="1"/>
    <xf numFmtId="0" fontId="0" fillId="0" borderId="0" xfId="0" applyBorder="1"/>
    <xf numFmtId="164" fontId="17" fillId="0" borderId="0" xfId="6" applyNumberFormat="1" applyFont="1" applyProtection="1">
      <protection locked="0"/>
    </xf>
    <xf numFmtId="0" fontId="4" fillId="0" borderId="0" xfId="6" applyFont="1" applyBorder="1"/>
    <xf numFmtId="0" fontId="5" fillId="0" borderId="0" xfId="6" applyFont="1" applyAlignment="1">
      <alignment horizontal="center"/>
    </xf>
    <xf numFmtId="3" fontId="4" fillId="0" borderId="0" xfId="6" applyNumberFormat="1" applyFont="1" applyBorder="1"/>
    <xf numFmtId="164" fontId="5" fillId="0" borderId="0" xfId="6" applyNumberFormat="1" applyFont="1" applyFill="1"/>
    <xf numFmtId="3" fontId="4" fillId="0" borderId="0" xfId="3" applyNumberFormat="1" applyFont="1" applyProtection="1">
      <protection locked="0"/>
    </xf>
    <xf numFmtId="0" fontId="9" fillId="0" borderId="0" xfId="0" applyFont="1" applyFill="1" applyBorder="1" applyAlignment="1">
      <alignment horizontal="right"/>
    </xf>
    <xf numFmtId="3" fontId="4" fillId="0" borderId="0" xfId="6" applyNumberFormat="1" applyFont="1" applyAlignment="1" applyProtection="1">
      <alignment horizontal="fill"/>
      <protection locked="0"/>
    </xf>
    <xf numFmtId="3" fontId="4" fillId="0" borderId="0" xfId="6" applyNumberFormat="1" applyFont="1" applyAlignment="1">
      <alignment horizontal="center"/>
    </xf>
    <xf numFmtId="0" fontId="14" fillId="0" borderId="0" xfId="0" applyFont="1" applyAlignment="1">
      <alignment horizontal="center"/>
    </xf>
    <xf numFmtId="164" fontId="4" fillId="0" borderId="0" xfId="6" applyNumberFormat="1" applyFont="1" applyAlignment="1">
      <alignment horizontal="center"/>
    </xf>
    <xf numFmtId="0" fontId="18" fillId="0" borderId="0" xfId="0" applyFont="1"/>
    <xf numFmtId="164" fontId="0" fillId="0" borderId="0" xfId="0" applyNumberFormat="1"/>
    <xf numFmtId="164" fontId="14" fillId="0" borderId="0" xfId="0" applyNumberFormat="1" applyFont="1"/>
    <xf numFmtId="0" fontId="0" fillId="0" borderId="0" xfId="0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20" fillId="0" borderId="0" xfId="0" applyFont="1" applyFill="1" applyBorder="1" applyAlignment="1">
      <alignment horizontal="center"/>
    </xf>
    <xf numFmtId="0" fontId="4" fillId="0" borderId="0" xfId="6" applyFont="1" applyFill="1" applyBorder="1" applyAlignment="1" applyProtection="1">
      <alignment horizontal="center"/>
      <protection locked="0"/>
    </xf>
    <xf numFmtId="184" fontId="13" fillId="0" borderId="0" xfId="0" applyNumberFormat="1" applyFont="1" applyFill="1" applyBorder="1"/>
    <xf numFmtId="185" fontId="0" fillId="0" borderId="0" xfId="0" applyNumberFormat="1" applyFill="1" applyBorder="1"/>
    <xf numFmtId="184" fontId="14" fillId="0" borderId="0" xfId="0" applyNumberFormat="1" applyFont="1" applyFill="1" applyBorder="1"/>
    <xf numFmtId="184" fontId="0" fillId="0" borderId="0" xfId="0" applyNumberFormat="1" applyFill="1" applyBorder="1"/>
    <xf numFmtId="5" fontId="0" fillId="0" borderId="0" xfId="0" applyNumberFormat="1"/>
    <xf numFmtId="0" fontId="4" fillId="0" borderId="0" xfId="6" applyFont="1" applyFill="1" applyBorder="1" applyAlignment="1">
      <alignment horizontal="center"/>
    </xf>
    <xf numFmtId="7" fontId="0" fillId="0" borderId="0" xfId="0" applyNumberFormat="1"/>
    <xf numFmtId="0" fontId="5" fillId="0" borderId="0" xfId="6" applyFont="1" applyFill="1" applyBorder="1" applyAlignment="1">
      <alignment horizontal="center"/>
    </xf>
    <xf numFmtId="181" fontId="0" fillId="0" borderId="0" xfId="0" applyNumberFormat="1" applyFill="1" applyBorder="1"/>
    <xf numFmtId="184" fontId="9" fillId="0" borderId="0" xfId="0" applyNumberFormat="1" applyFont="1" applyFill="1" applyBorder="1"/>
    <xf numFmtId="0" fontId="0" fillId="0" borderId="0" xfId="0" applyBorder="1" applyAlignment="1">
      <alignment horizontal="center"/>
    </xf>
    <xf numFmtId="184" fontId="0" fillId="0" borderId="0" xfId="0" applyNumberFormat="1" applyBorder="1"/>
    <xf numFmtId="181" fontId="0" fillId="0" borderId="0" xfId="0" applyNumberFormat="1" applyBorder="1"/>
    <xf numFmtId="184" fontId="0" fillId="0" borderId="0" xfId="0" applyNumberFormat="1"/>
    <xf numFmtId="181" fontId="0" fillId="0" borderId="0" xfId="0" applyNumberFormat="1"/>
    <xf numFmtId="0" fontId="5" fillId="0" borderId="0" xfId="5" applyFont="1" applyFill="1" applyBorder="1" applyAlignment="1">
      <alignment horizontal="center"/>
    </xf>
    <xf numFmtId="0" fontId="4" fillId="0" borderId="0" xfId="5" applyFont="1" applyFill="1" applyBorder="1" applyAlignment="1">
      <alignment horizontal="center"/>
    </xf>
    <xf numFmtId="10" fontId="5" fillId="0" borderId="0" xfId="8" applyNumberFormat="1" applyFont="1" applyFill="1" applyBorder="1" applyAlignment="1">
      <alignment horizontal="center"/>
    </xf>
    <xf numFmtId="9" fontId="5" fillId="0" borderId="0" xfId="8" applyFont="1" applyFill="1" applyBorder="1" applyAlignment="1">
      <alignment horizontal="center"/>
    </xf>
    <xf numFmtId="22" fontId="4" fillId="0" borderId="0" xfId="5" applyNumberFormat="1" applyFont="1" applyFill="1" applyBorder="1" applyAlignment="1">
      <alignment horizontal="center"/>
    </xf>
    <xf numFmtId="0" fontId="4" fillId="0" borderId="0" xfId="5" applyFont="1" applyFill="1" applyBorder="1" applyAlignment="1" applyProtection="1">
      <alignment horizontal="center"/>
      <protection locked="0"/>
    </xf>
    <xf numFmtId="0" fontId="22" fillId="0" borderId="0" xfId="5" applyFont="1" applyFill="1" applyBorder="1" applyAlignment="1">
      <alignment horizontal="center"/>
    </xf>
    <xf numFmtId="10" fontId="22" fillId="0" borderId="0" xfId="8" applyNumberFormat="1" applyFont="1" applyFill="1" applyBorder="1" applyAlignment="1">
      <alignment horizontal="center"/>
    </xf>
    <xf numFmtId="9" fontId="22" fillId="0" borderId="0" xfId="8" applyFont="1" applyFill="1" applyBorder="1" applyAlignment="1">
      <alignment horizontal="center"/>
    </xf>
    <xf numFmtId="0" fontId="4" fillId="0" borderId="0" xfId="5" applyFont="1" applyFill="1" applyBorder="1" applyAlignment="1" applyProtection="1">
      <alignment horizontal="left"/>
      <protection locked="0"/>
    </xf>
    <xf numFmtId="0" fontId="5" fillId="0" borderId="0" xfId="5" applyFont="1" applyFill="1" applyBorder="1"/>
    <xf numFmtId="3" fontId="5" fillId="0" borderId="0" xfId="5" applyNumberFormat="1" applyFont="1" applyFill="1" applyBorder="1"/>
    <xf numFmtId="0" fontId="5" fillId="0" borderId="0" xfId="5" applyFont="1" applyFill="1" applyBorder="1" applyAlignment="1">
      <alignment horizontal="left"/>
    </xf>
    <xf numFmtId="0" fontId="5" fillId="0" borderId="0" xfId="5" applyFont="1" applyFill="1" applyBorder="1" applyAlignment="1">
      <alignment horizontal="centerContinuous"/>
    </xf>
    <xf numFmtId="167" fontId="5" fillId="0" borderId="0" xfId="5" applyNumberFormat="1" applyFont="1" applyFill="1" applyBorder="1"/>
    <xf numFmtId="10" fontId="5" fillId="0" borderId="0" xfId="8" applyNumberFormat="1" applyFont="1" applyFill="1" applyBorder="1"/>
    <xf numFmtId="9" fontId="5" fillId="0" borderId="0" xfId="8" applyFont="1" applyFill="1" applyBorder="1"/>
    <xf numFmtId="0" fontId="4" fillId="0" borderId="0" xfId="5" applyFont="1" applyFill="1" applyBorder="1" applyAlignment="1" applyProtection="1">
      <alignment horizontal="right"/>
      <protection locked="0"/>
    </xf>
    <xf numFmtId="168" fontId="7" fillId="0" borderId="0" xfId="5" applyNumberFormat="1" applyFont="1" applyFill="1" applyBorder="1"/>
    <xf numFmtId="168" fontId="5" fillId="0" borderId="0" xfId="5" applyNumberFormat="1" applyFont="1" applyFill="1" applyBorder="1"/>
    <xf numFmtId="4" fontId="5" fillId="0" borderId="0" xfId="5" applyNumberFormat="1" applyFont="1" applyFill="1" applyBorder="1" applyAlignment="1">
      <alignment horizontal="center"/>
    </xf>
    <xf numFmtId="43" fontId="5" fillId="0" borderId="0" xfId="2" applyFont="1" applyFill="1" applyBorder="1"/>
    <xf numFmtId="0" fontId="4" fillId="0" borderId="0" xfId="5" applyFont="1" applyFill="1" applyBorder="1" applyAlignment="1">
      <alignment horizontal="right"/>
    </xf>
    <xf numFmtId="168" fontId="23" fillId="0" borderId="0" xfId="5" applyNumberFormat="1" applyFont="1" applyFill="1" applyBorder="1"/>
    <xf numFmtId="168" fontId="22" fillId="0" borderId="0" xfId="5" applyNumberFormat="1" applyFont="1" applyFill="1" applyBorder="1"/>
    <xf numFmtId="4" fontId="22" fillId="0" borderId="0" xfId="5" applyNumberFormat="1" applyFont="1" applyFill="1" applyBorder="1" applyAlignment="1">
      <alignment horizontal="center"/>
    </xf>
    <xf numFmtId="10" fontId="22" fillId="0" borderId="0" xfId="8" applyNumberFormat="1" applyFont="1" applyFill="1" applyBorder="1"/>
    <xf numFmtId="167" fontId="22" fillId="0" borderId="0" xfId="5" applyNumberFormat="1" applyFont="1" applyFill="1" applyBorder="1"/>
    <xf numFmtId="0" fontId="22" fillId="0" borderId="0" xfId="5" applyFont="1" applyFill="1" applyBorder="1"/>
    <xf numFmtId="9" fontId="22" fillId="0" borderId="0" xfId="8" applyFont="1" applyFill="1" applyBorder="1"/>
    <xf numFmtId="0" fontId="4" fillId="0" borderId="0" xfId="5" applyFont="1" applyFill="1" applyBorder="1" applyAlignment="1">
      <alignment horizontal="left"/>
    </xf>
    <xf numFmtId="43" fontId="22" fillId="0" borderId="0" xfId="2" applyFont="1" applyFill="1" applyBorder="1"/>
    <xf numFmtId="167" fontId="22" fillId="0" borderId="0" xfId="5" applyNumberFormat="1" applyFont="1" applyFill="1" applyBorder="1" applyAlignment="1">
      <alignment horizontal="center"/>
    </xf>
    <xf numFmtId="0" fontId="5" fillId="0" borderId="0" xfId="5" applyFont="1" applyFill="1" applyBorder="1" applyAlignment="1" applyProtection="1">
      <alignment horizontal="right"/>
      <protection locked="0"/>
    </xf>
    <xf numFmtId="168" fontId="12" fillId="0" borderId="0" xfId="5" applyNumberFormat="1" applyFont="1" applyFill="1" applyBorder="1"/>
    <xf numFmtId="0" fontId="4" fillId="0" borderId="0" xfId="6" applyFont="1" applyFill="1" applyBorder="1" applyAlignment="1" applyProtection="1">
      <alignment horizontal="left"/>
      <protection locked="0"/>
    </xf>
    <xf numFmtId="180" fontId="5" fillId="0" borderId="0" xfId="2" applyNumberFormat="1" applyFont="1" applyFill="1" applyBorder="1"/>
    <xf numFmtId="169" fontId="5" fillId="0" borderId="0" xfId="2" applyNumberFormat="1" applyFont="1" applyFill="1" applyBorder="1"/>
    <xf numFmtId="4" fontId="0" fillId="0" borderId="0" xfId="0" applyNumberFormat="1" applyFill="1" applyBorder="1"/>
    <xf numFmtId="43" fontId="1" fillId="0" borderId="0" xfId="2" applyFill="1" applyBorder="1"/>
    <xf numFmtId="0" fontId="14" fillId="0" borderId="0" xfId="0" applyFont="1" applyFill="1" applyBorder="1" applyAlignment="1">
      <alignment horizontal="center"/>
    </xf>
    <xf numFmtId="0" fontId="14" fillId="0" borderId="0" xfId="0" applyFont="1" applyFill="1" applyBorder="1"/>
    <xf numFmtId="168" fontId="5" fillId="0" borderId="0" xfId="2" applyNumberFormat="1" applyFont="1" applyFill="1" applyBorder="1" applyAlignment="1">
      <alignment horizontal="center"/>
    </xf>
    <xf numFmtId="168" fontId="0" fillId="0" borderId="0" xfId="0" applyNumberFormat="1" applyFill="1" applyBorder="1"/>
    <xf numFmtId="179" fontId="1" fillId="0" borderId="0" xfId="2" applyNumberFormat="1" applyFill="1" applyBorder="1"/>
    <xf numFmtId="0" fontId="0" fillId="0" borderId="0" xfId="0" applyFill="1"/>
    <xf numFmtId="43" fontId="1" fillId="0" borderId="0" xfId="2" applyFill="1"/>
    <xf numFmtId="0" fontId="5" fillId="0" borderId="0" xfId="5" applyFont="1" applyBorder="1" applyAlignment="1">
      <alignment horizontal="center"/>
    </xf>
    <xf numFmtId="164" fontId="16" fillId="0" borderId="0" xfId="0" applyNumberFormat="1" applyFont="1" applyFill="1" applyBorder="1" applyAlignment="1">
      <alignment horizontal="center"/>
    </xf>
    <xf numFmtId="3" fontId="22" fillId="0" borderId="0" xfId="5" applyNumberFormat="1" applyFont="1" applyFill="1" applyBorder="1"/>
    <xf numFmtId="3" fontId="0" fillId="0" borderId="0" xfId="0" applyNumberFormat="1" applyFill="1" applyBorder="1"/>
    <xf numFmtId="171" fontId="19" fillId="0" borderId="0" xfId="0" applyNumberFormat="1" applyFont="1" applyFill="1" applyBorder="1" applyAlignment="1">
      <alignment horizontal="center"/>
    </xf>
    <xf numFmtId="5" fontId="0" fillId="0" borderId="0" xfId="0" applyNumberFormat="1" applyFill="1" applyBorder="1"/>
    <xf numFmtId="3" fontId="16" fillId="0" borderId="0" xfId="0" applyNumberFormat="1" applyFont="1" applyFill="1" applyBorder="1"/>
    <xf numFmtId="5" fontId="16" fillId="0" borderId="0" xfId="0" applyNumberFormat="1" applyFont="1" applyFill="1" applyBorder="1"/>
    <xf numFmtId="164" fontId="14" fillId="0" borderId="0" xfId="0" applyNumberFormat="1" applyFont="1" applyFill="1" applyBorder="1"/>
    <xf numFmtId="164" fontId="0" fillId="0" borderId="0" xfId="0" applyNumberFormat="1" applyFill="1" applyBorder="1"/>
    <xf numFmtId="171" fontId="14" fillId="0" borderId="0" xfId="2" applyNumberFormat="1" applyFont="1" applyFill="1" applyBorder="1" applyAlignment="1">
      <alignment horizontal="center"/>
    </xf>
    <xf numFmtId="164" fontId="16" fillId="0" borderId="0" xfId="0" applyNumberFormat="1" applyFont="1" applyFill="1" applyBorder="1"/>
    <xf numFmtId="0" fontId="18" fillId="0" borderId="0" xfId="0" applyFont="1" applyFill="1" applyBorder="1"/>
    <xf numFmtId="0" fontId="16" fillId="0" borderId="0" xfId="0" applyFont="1" applyFill="1" applyBorder="1" applyAlignment="1">
      <alignment horizontal="right"/>
    </xf>
    <xf numFmtId="0" fontId="16" fillId="0" borderId="0" xfId="0" applyFont="1" applyFill="1" applyBorder="1" applyAlignment="1">
      <alignment horizontal="center"/>
    </xf>
    <xf numFmtId="166" fontId="0" fillId="0" borderId="0" xfId="0" applyNumberFormat="1" applyFill="1" applyBorder="1"/>
    <xf numFmtId="182" fontId="0" fillId="0" borderId="0" xfId="0" applyNumberFormat="1" applyFill="1" applyBorder="1"/>
    <xf numFmtId="182" fontId="1" fillId="0" borderId="0" xfId="2" applyNumberFormat="1" applyFill="1" applyBorder="1"/>
    <xf numFmtId="183" fontId="1" fillId="0" borderId="0" xfId="2" applyNumberFormat="1" applyFill="1" applyBorder="1"/>
    <xf numFmtId="178" fontId="14" fillId="0" borderId="0" xfId="0" applyNumberFormat="1" applyFont="1" applyFill="1" applyBorder="1"/>
    <xf numFmtId="178" fontId="0" fillId="0" borderId="0" xfId="0" applyNumberFormat="1" applyFill="1" applyBorder="1"/>
    <xf numFmtId="170" fontId="1" fillId="0" borderId="0" xfId="2" applyNumberFormat="1" applyFill="1" applyBorder="1"/>
    <xf numFmtId="0" fontId="26" fillId="0" borderId="0" xfId="6" applyFont="1" applyAlignment="1" applyProtection="1">
      <alignment horizontal="left"/>
      <protection locked="0"/>
    </xf>
    <xf numFmtId="189" fontId="5" fillId="0" borderId="0" xfId="2" applyNumberFormat="1" applyFont="1" applyFill="1" applyBorder="1" applyAlignment="1">
      <alignment horizontal="center"/>
    </xf>
    <xf numFmtId="170" fontId="5" fillId="0" borderId="0" xfId="2" applyNumberFormat="1" applyFont="1" applyFill="1" applyBorder="1" applyAlignment="1">
      <alignment horizontal="center"/>
    </xf>
    <xf numFmtId="168" fontId="5" fillId="0" borderId="0" xfId="2" applyNumberFormat="1" applyFont="1" applyFill="1" applyBorder="1"/>
    <xf numFmtId="187" fontId="5" fillId="0" borderId="0" xfId="2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167" fontId="5" fillId="0" borderId="0" xfId="5" applyNumberFormat="1" applyFont="1" applyFill="1" applyBorder="1" applyAlignment="1">
      <alignment horizontal="center"/>
    </xf>
    <xf numFmtId="164" fontId="5" fillId="0" borderId="0" xfId="5" applyNumberFormat="1" applyFont="1" applyFill="1" applyBorder="1"/>
    <xf numFmtId="164" fontId="22" fillId="0" borderId="0" xfId="5" applyNumberFormat="1" applyFont="1" applyFill="1" applyBorder="1"/>
    <xf numFmtId="10" fontId="0" fillId="0" borderId="0" xfId="8" applyNumberFormat="1" applyFont="1" applyFill="1" applyAlignment="1">
      <alignment horizontal="center"/>
    </xf>
    <xf numFmtId="10" fontId="0" fillId="0" borderId="0" xfId="8" applyNumberFormat="1" applyFont="1" applyFill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10" fontId="0" fillId="0" borderId="0" xfId="8" applyNumberFormat="1" applyFont="1"/>
    <xf numFmtId="190" fontId="29" fillId="0" borderId="0" xfId="5" applyNumberFormat="1" applyFont="1" applyFill="1" applyBorder="1"/>
    <xf numFmtId="168" fontId="24" fillId="0" borderId="0" xfId="5" applyNumberFormat="1" applyFont="1" applyFill="1" applyBorder="1"/>
    <xf numFmtId="168" fontId="0" fillId="0" borderId="0" xfId="0" applyNumberFormat="1" applyFill="1"/>
    <xf numFmtId="168" fontId="14" fillId="0" borderId="0" xfId="2" applyNumberFormat="1" applyFont="1" applyFill="1"/>
    <xf numFmtId="168" fontId="25" fillId="0" borderId="0" xfId="0" applyNumberFormat="1" applyFont="1" applyFill="1"/>
    <xf numFmtId="168" fontId="5" fillId="0" borderId="0" xfId="5" applyNumberFormat="1" applyFont="1" applyBorder="1" applyAlignment="1">
      <alignment horizontal="center"/>
    </xf>
    <xf numFmtId="168" fontId="5" fillId="0" borderId="0" xfId="5" applyNumberFormat="1" applyFont="1" applyFill="1" applyBorder="1" applyAlignment="1">
      <alignment horizontal="center"/>
    </xf>
    <xf numFmtId="168" fontId="22" fillId="0" borderId="0" xfId="5" applyNumberFormat="1" applyFont="1" applyFill="1" applyBorder="1" applyAlignment="1">
      <alignment horizontal="center"/>
    </xf>
    <xf numFmtId="168" fontId="22" fillId="0" borderId="0" xfId="2" applyNumberFormat="1" applyFont="1" applyFill="1" applyBorder="1" applyAlignment="1">
      <alignment horizontal="center"/>
    </xf>
    <xf numFmtId="168" fontId="22" fillId="0" borderId="0" xfId="5" applyNumberFormat="1" applyFont="1" applyBorder="1" applyAlignment="1">
      <alignment horizontal="center"/>
    </xf>
    <xf numFmtId="168" fontId="22" fillId="0" borderId="0" xfId="2" applyNumberFormat="1" applyFont="1" applyFill="1" applyBorder="1"/>
    <xf numFmtId="168" fontId="4" fillId="0" borderId="0" xfId="5" applyNumberFormat="1" applyFont="1" applyFill="1" applyBorder="1"/>
    <xf numFmtId="168" fontId="14" fillId="0" borderId="0" xfId="2" applyNumberFormat="1" applyFont="1" applyFill="1" applyBorder="1"/>
    <xf numFmtId="168" fontId="14" fillId="0" borderId="0" xfId="0" applyNumberFormat="1" applyFont="1" applyFill="1" applyBorder="1"/>
    <xf numFmtId="168" fontId="14" fillId="0" borderId="0" xfId="0" applyNumberFormat="1" applyFont="1" applyFill="1" applyBorder="1" applyAlignment="1">
      <alignment horizontal="center"/>
    </xf>
    <xf numFmtId="168" fontId="14" fillId="0" borderId="0" xfId="2" applyNumberFormat="1" applyFont="1" applyFill="1" applyBorder="1" applyAlignment="1">
      <alignment horizontal="center"/>
    </xf>
    <xf numFmtId="168" fontId="1" fillId="0" borderId="0" xfId="2" applyNumberFormat="1" applyFill="1" applyBorder="1"/>
    <xf numFmtId="168" fontId="14" fillId="0" borderId="0" xfId="0" applyNumberFormat="1" applyFont="1" applyFill="1"/>
    <xf numFmtId="169" fontId="0" fillId="0" borderId="0" xfId="2" applyNumberFormat="1" applyFont="1" applyFill="1"/>
    <xf numFmtId="169" fontId="5" fillId="0" borderId="0" xfId="5" applyNumberFormat="1" applyFont="1" applyFill="1" applyBorder="1" applyAlignment="1">
      <alignment horizontal="center"/>
    </xf>
    <xf numFmtId="169" fontId="22" fillId="0" borderId="0" xfId="5" applyNumberFormat="1" applyFont="1" applyFill="1" applyBorder="1" applyAlignment="1">
      <alignment horizontal="center"/>
    </xf>
    <xf numFmtId="169" fontId="5" fillId="0" borderId="0" xfId="5" applyNumberFormat="1" applyFont="1" applyFill="1" applyBorder="1"/>
    <xf numFmtId="169" fontId="7" fillId="0" borderId="0" xfId="5" applyNumberFormat="1" applyFont="1" applyFill="1" applyBorder="1"/>
    <xf numFmtId="169" fontId="23" fillId="0" borderId="0" xfId="5" applyNumberFormat="1" applyFont="1" applyFill="1" applyBorder="1"/>
    <xf numFmtId="169" fontId="22" fillId="0" borderId="0" xfId="5" applyNumberFormat="1" applyFont="1" applyFill="1" applyBorder="1"/>
    <xf numFmtId="169" fontId="12" fillId="0" borderId="0" xfId="5" applyNumberFormat="1" applyFont="1" applyFill="1" applyBorder="1"/>
    <xf numFmtId="169" fontId="4" fillId="0" borderId="0" xfId="5" applyNumberFormat="1" applyFont="1" applyFill="1" applyBorder="1"/>
    <xf numFmtId="169" fontId="5" fillId="0" borderId="0" xfId="0" applyNumberFormat="1" applyFont="1" applyFill="1" applyBorder="1" applyAlignment="1">
      <alignment horizontal="center"/>
    </xf>
    <xf numFmtId="169" fontId="0" fillId="0" borderId="0" xfId="0" applyNumberFormat="1" applyFill="1" applyBorder="1"/>
    <xf numFmtId="169" fontId="0" fillId="0" borderId="0" xfId="0" applyNumberFormat="1" applyFill="1"/>
    <xf numFmtId="193" fontId="5" fillId="0" borderId="0" xfId="2" applyNumberFormat="1" applyFont="1" applyFill="1" applyBorder="1" applyAlignment="1">
      <alignment horizontal="center"/>
    </xf>
    <xf numFmtId="168" fontId="12" fillId="0" borderId="0" xfId="2" applyNumberFormat="1" applyFont="1" applyFill="1" applyBorder="1"/>
    <xf numFmtId="168" fontId="24" fillId="0" borderId="0" xfId="2" applyNumberFormat="1" applyFont="1" applyFill="1" applyBorder="1"/>
    <xf numFmtId="0" fontId="5" fillId="0" borderId="0" xfId="5" applyFont="1" applyFill="1" applyBorder="1" applyAlignment="1" applyProtection="1">
      <alignment horizontal="left"/>
      <protection locked="0"/>
    </xf>
    <xf numFmtId="0" fontId="5" fillId="0" borderId="0" xfId="5" applyFont="1" applyFill="1" applyBorder="1" applyAlignment="1" applyProtection="1">
      <alignment horizontal="center"/>
      <protection locked="0"/>
    </xf>
    <xf numFmtId="0" fontId="5" fillId="0" borderId="0" xfId="5" applyFont="1" applyFill="1" applyBorder="1" applyAlignment="1">
      <alignment horizontal="right"/>
    </xf>
    <xf numFmtId="0" fontId="5" fillId="0" borderId="0" xfId="6" applyFont="1" applyFill="1" applyBorder="1" applyAlignment="1" applyProtection="1">
      <alignment horizontal="left"/>
      <protection locked="0"/>
    </xf>
    <xf numFmtId="168" fontId="5" fillId="0" borderId="0" xfId="5" applyNumberFormat="1" applyFont="1" applyFill="1" applyBorder="1" applyProtection="1">
      <protection locked="0"/>
    </xf>
    <xf numFmtId="169" fontId="5" fillId="0" borderId="0" xfId="2" applyNumberFormat="1" applyFont="1" applyFill="1" applyBorder="1" applyProtection="1">
      <protection locked="0"/>
    </xf>
    <xf numFmtId="0" fontId="0" fillId="0" borderId="2" xfId="0" applyBorder="1"/>
    <xf numFmtId="0" fontId="0" fillId="2" borderId="0" xfId="0" applyFill="1"/>
    <xf numFmtId="2" fontId="31" fillId="0" borderId="2" xfId="0" applyNumberFormat="1" applyFont="1" applyBorder="1"/>
    <xf numFmtId="171" fontId="0" fillId="0" borderId="0" xfId="0" applyNumberFormat="1" applyFill="1" applyBorder="1"/>
    <xf numFmtId="10" fontId="16" fillId="0" borderId="0" xfId="8" applyNumberFormat="1" applyFont="1"/>
    <xf numFmtId="164" fontId="0" fillId="3" borderId="0" xfId="0" applyNumberFormat="1" applyFill="1"/>
    <xf numFmtId="164" fontId="16" fillId="3" borderId="0" xfId="0" applyNumberFormat="1" applyFont="1" applyFill="1"/>
    <xf numFmtId="168" fontId="0" fillId="0" borderId="0" xfId="0" applyNumberFormat="1"/>
    <xf numFmtId="168" fontId="16" fillId="0" borderId="0" xfId="0" applyNumberFormat="1" applyFont="1"/>
    <xf numFmtId="0" fontId="8" fillId="0" borderId="0" xfId="0" applyFont="1" applyAlignment="1">
      <alignment horizontal="center"/>
    </xf>
    <xf numFmtId="4" fontId="0" fillId="0" borderId="0" xfId="0" applyNumberFormat="1"/>
    <xf numFmtId="4" fontId="16" fillId="0" borderId="0" xfId="0" applyNumberFormat="1" applyFont="1"/>
    <xf numFmtId="10" fontId="0" fillId="0" borderId="0" xfId="0" applyNumberFormat="1"/>
    <xf numFmtId="0" fontId="34" fillId="0" borderId="0" xfId="0" applyFont="1"/>
    <xf numFmtId="166" fontId="34" fillId="0" borderId="0" xfId="0" applyNumberFormat="1" applyFont="1"/>
    <xf numFmtId="0" fontId="32" fillId="0" borderId="0" xfId="0" applyFont="1"/>
    <xf numFmtId="0" fontId="36" fillId="0" borderId="0" xfId="0" applyFont="1"/>
    <xf numFmtId="166" fontId="0" fillId="0" borderId="0" xfId="0" applyNumberFormat="1"/>
    <xf numFmtId="171" fontId="0" fillId="0" borderId="0" xfId="0" applyNumberFormat="1"/>
    <xf numFmtId="166" fontId="37" fillId="0" borderId="0" xfId="0" applyNumberFormat="1" applyFont="1"/>
    <xf numFmtId="166" fontId="16" fillId="0" borderId="0" xfId="0" applyNumberFormat="1" applyFont="1"/>
    <xf numFmtId="166" fontId="14" fillId="0" borderId="0" xfId="0" applyNumberFormat="1" applyFont="1"/>
    <xf numFmtId="168" fontId="14" fillId="0" borderId="0" xfId="0" applyNumberFormat="1" applyFont="1"/>
    <xf numFmtId="168" fontId="34" fillId="0" borderId="0" xfId="0" applyNumberFormat="1" applyFont="1"/>
    <xf numFmtId="2" fontId="0" fillId="0" borderId="0" xfId="8" applyNumberFormat="1" applyFont="1" applyFill="1" applyBorder="1"/>
    <xf numFmtId="0" fontId="0" fillId="0" borderId="0" xfId="0" applyFill="1" applyBorder="1" applyAlignment="1">
      <alignment horizontal="left"/>
    </xf>
    <xf numFmtId="3" fontId="14" fillId="0" borderId="0" xfId="0" applyNumberFormat="1" applyFont="1" applyFill="1" applyBorder="1"/>
    <xf numFmtId="170" fontId="0" fillId="0" borderId="0" xfId="2" applyNumberFormat="1" applyFont="1"/>
    <xf numFmtId="178" fontId="0" fillId="0" borderId="0" xfId="0" applyNumberFormat="1"/>
    <xf numFmtId="171" fontId="34" fillId="0" borderId="0" xfId="0" applyNumberFormat="1" applyFont="1"/>
    <xf numFmtId="164" fontId="0" fillId="0" borderId="0" xfId="0" applyNumberFormat="1" applyFill="1"/>
    <xf numFmtId="164" fontId="16" fillId="0" borderId="0" xfId="0" applyNumberFormat="1" applyFont="1" applyFill="1"/>
    <xf numFmtId="164" fontId="16" fillId="0" borderId="0" xfId="0" applyNumberFormat="1" applyFont="1"/>
    <xf numFmtId="164" fontId="14" fillId="0" borderId="0" xfId="0" applyNumberFormat="1" applyFont="1" applyFill="1"/>
    <xf numFmtId="0" fontId="14" fillId="0" borderId="0" xfId="0" applyFont="1"/>
    <xf numFmtId="189" fontId="0" fillId="0" borderId="0" xfId="2" applyNumberFormat="1" applyFont="1" applyFill="1"/>
    <xf numFmtId="43" fontId="0" fillId="0" borderId="0" xfId="2" applyNumberFormat="1" applyFont="1" applyFill="1"/>
    <xf numFmtId="43" fontId="14" fillId="0" borderId="0" xfId="2" applyNumberFormat="1" applyFont="1"/>
    <xf numFmtId="170" fontId="14" fillId="0" borderId="0" xfId="2" applyNumberFormat="1" applyFont="1" applyFill="1"/>
    <xf numFmtId="164" fontId="0" fillId="0" borderId="0" xfId="0" applyNumberFormat="1" applyFill="1" applyAlignment="1">
      <alignment horizontal="center"/>
    </xf>
    <xf numFmtId="164" fontId="0" fillId="0" borderId="0" xfId="0" applyNumberFormat="1" applyBorder="1"/>
    <xf numFmtId="183" fontId="0" fillId="0" borderId="0" xfId="0" applyNumberFormat="1" applyBorder="1"/>
    <xf numFmtId="178" fontId="0" fillId="0" borderId="0" xfId="0" applyNumberFormat="1" applyBorder="1"/>
    <xf numFmtId="188" fontId="0" fillId="0" borderId="0" xfId="0" applyNumberFormat="1" applyFill="1"/>
    <xf numFmtId="178" fontId="0" fillId="0" borderId="0" xfId="0" applyNumberFormat="1" applyFill="1"/>
    <xf numFmtId="170" fontId="0" fillId="0" borderId="0" xfId="2" applyNumberFormat="1" applyFont="1" applyFill="1"/>
    <xf numFmtId="170" fontId="38" fillId="0" borderId="0" xfId="2" applyNumberFormat="1" applyFont="1" applyFill="1"/>
    <xf numFmtId="168" fontId="0" fillId="0" borderId="0" xfId="0" applyNumberFormat="1" applyAlignment="1">
      <alignment horizontal="center"/>
    </xf>
    <xf numFmtId="168" fontId="16" fillId="0" borderId="0" xfId="0" applyNumberFormat="1" applyFont="1" applyAlignment="1">
      <alignment horizontal="center"/>
    </xf>
    <xf numFmtId="178" fontId="16" fillId="0" borderId="0" xfId="0" applyNumberFormat="1" applyFont="1" applyFill="1"/>
    <xf numFmtId="0" fontId="0" fillId="0" borderId="0" xfId="0" applyNumberFormat="1" applyFill="1" applyAlignment="1">
      <alignment horizontal="center"/>
    </xf>
    <xf numFmtId="168" fontId="16" fillId="0" borderId="0" xfId="0" applyNumberFormat="1" applyFont="1" applyFill="1"/>
    <xf numFmtId="168" fontId="0" fillId="0" borderId="0" xfId="0" applyNumberFormat="1" applyFill="1" applyAlignment="1">
      <alignment horizontal="center"/>
    </xf>
    <xf numFmtId="168" fontId="16" fillId="0" borderId="0" xfId="0" applyNumberFormat="1" applyFont="1" applyFill="1" applyAlignment="1">
      <alignment horizontal="center"/>
    </xf>
    <xf numFmtId="171" fontId="14" fillId="0" borderId="0" xfId="0" applyNumberFormat="1" applyFont="1"/>
    <xf numFmtId="171" fontId="37" fillId="0" borderId="0" xfId="0" applyNumberFormat="1" applyFont="1"/>
    <xf numFmtId="171" fontId="5" fillId="0" borderId="0" xfId="2" applyNumberFormat="1" applyFont="1" applyFill="1" applyBorder="1"/>
    <xf numFmtId="164" fontId="16" fillId="0" borderId="0" xfId="0" applyNumberFormat="1" applyFont="1" applyFill="1" applyAlignment="1">
      <alignment horizontal="center"/>
    </xf>
    <xf numFmtId="164" fontId="0" fillId="4" borderId="0" xfId="0" applyNumberFormat="1" applyFill="1"/>
    <xf numFmtId="164" fontId="16" fillId="4" borderId="0" xfId="0" applyNumberFormat="1" applyFont="1" applyFill="1"/>
    <xf numFmtId="0" fontId="0" fillId="0" borderId="3" xfId="0" applyBorder="1"/>
    <xf numFmtId="0" fontId="9" fillId="0" borderId="4" xfId="0" applyFont="1" applyBorder="1"/>
    <xf numFmtId="164" fontId="0" fillId="0" borderId="5" xfId="0" applyNumberFormat="1" applyBorder="1"/>
    <xf numFmtId="0" fontId="0" fillId="0" borderId="6" xfId="0" applyBorder="1"/>
    <xf numFmtId="3" fontId="34" fillId="0" borderId="7" xfId="0" applyNumberFormat="1" applyFont="1" applyBorder="1"/>
    <xf numFmtId="0" fontId="0" fillId="0" borderId="8" xfId="0" applyBorder="1"/>
    <xf numFmtId="0" fontId="0" fillId="0" borderId="9" xfId="0" applyBorder="1"/>
    <xf numFmtId="178" fontId="0" fillId="0" borderId="10" xfId="0" applyNumberFormat="1" applyBorder="1"/>
    <xf numFmtId="0" fontId="9" fillId="0" borderId="0" xfId="0" applyFont="1" applyBorder="1"/>
    <xf numFmtId="0" fontId="0" fillId="0" borderId="3" xfId="0" applyFill="1" applyBorder="1"/>
    <xf numFmtId="0" fontId="0" fillId="0" borderId="4" xfId="0" applyBorder="1"/>
    <xf numFmtId="178" fontId="0" fillId="0" borderId="5" xfId="0" applyNumberFormat="1" applyBorder="1"/>
    <xf numFmtId="0" fontId="0" fillId="0" borderId="6" xfId="0" applyFill="1" applyBorder="1"/>
    <xf numFmtId="164" fontId="39" fillId="0" borderId="7" xfId="0" applyNumberFormat="1" applyFont="1" applyBorder="1"/>
    <xf numFmtId="164" fontId="0" fillId="0" borderId="7" xfId="0" applyNumberFormat="1" applyBorder="1"/>
    <xf numFmtId="164" fontId="16" fillId="0" borderId="7" xfId="0" applyNumberFormat="1" applyFont="1" applyBorder="1"/>
    <xf numFmtId="0" fontId="9" fillId="0" borderId="6" xfId="0" applyFont="1" applyFill="1" applyBorder="1"/>
    <xf numFmtId="170" fontId="16" fillId="0" borderId="0" xfId="2" applyNumberFormat="1" applyFont="1" applyFill="1"/>
    <xf numFmtId="164" fontId="14" fillId="0" borderId="0" xfId="2" applyNumberFormat="1" applyFont="1" applyBorder="1"/>
    <xf numFmtId="164" fontId="38" fillId="0" borderId="0" xfId="2" applyNumberFormat="1" applyFont="1" applyBorder="1"/>
    <xf numFmtId="178" fontId="0" fillId="0" borderId="11" xfId="2" applyNumberFormat="1" applyFont="1" applyBorder="1"/>
    <xf numFmtId="178" fontId="0" fillId="0" borderId="12" xfId="2" applyNumberFormat="1" applyFont="1" applyBorder="1"/>
    <xf numFmtId="178" fontId="0" fillId="0" borderId="13" xfId="2" applyNumberFormat="1" applyFont="1" applyBorder="1"/>
    <xf numFmtId="166" fontId="5" fillId="0" borderId="0" xfId="2" applyNumberFormat="1" applyFont="1" applyFill="1" applyBorder="1"/>
    <xf numFmtId="2" fontId="0" fillId="0" borderId="0" xfId="0" applyNumberFormat="1" applyFill="1"/>
    <xf numFmtId="2" fontId="5" fillId="0" borderId="0" xfId="5" applyNumberFormat="1" applyFont="1" applyBorder="1" applyAlignment="1">
      <alignment horizontal="center"/>
    </xf>
    <xf numFmtId="2" fontId="22" fillId="0" borderId="0" xfId="5" applyNumberFormat="1" applyFont="1" applyFill="1" applyBorder="1" applyAlignment="1">
      <alignment horizontal="center"/>
    </xf>
    <xf numFmtId="2" fontId="5" fillId="0" borderId="0" xfId="5" applyNumberFormat="1" applyFont="1" applyFill="1" applyBorder="1" applyAlignment="1">
      <alignment horizontal="center"/>
    </xf>
    <xf numFmtId="2" fontId="5" fillId="0" borderId="0" xfId="5" applyNumberFormat="1" applyFont="1" applyFill="1" applyBorder="1" applyAlignment="1">
      <alignment horizontal="left"/>
    </xf>
    <xf numFmtId="2" fontId="0" fillId="0" borderId="0" xfId="0" applyNumberFormat="1" applyFill="1" applyBorder="1"/>
    <xf numFmtId="168" fontId="37" fillId="0" borderId="0" xfId="0" applyNumberFormat="1" applyFont="1"/>
    <xf numFmtId="168" fontId="34" fillId="0" borderId="0" xfId="0" applyNumberFormat="1" applyFont="1" applyFill="1"/>
    <xf numFmtId="169" fontId="0" fillId="0" borderId="0" xfId="0" applyNumberFormat="1"/>
    <xf numFmtId="169" fontId="16" fillId="0" borderId="0" xfId="0" applyNumberFormat="1" applyFont="1"/>
    <xf numFmtId="3" fontId="34" fillId="0" borderId="0" xfId="0" applyNumberFormat="1" applyFont="1" applyFill="1" applyBorder="1"/>
    <xf numFmtId="3" fontId="37" fillId="0" borderId="0" xfId="0" applyNumberFormat="1" applyFont="1" applyFill="1" applyBorder="1"/>
    <xf numFmtId="166" fontId="13" fillId="0" borderId="0" xfId="0" applyNumberFormat="1" applyFont="1"/>
    <xf numFmtId="166" fontId="40" fillId="0" borderId="0" xfId="0" applyNumberFormat="1" applyFont="1"/>
    <xf numFmtId="166" fontId="41" fillId="0" borderId="0" xfId="0" applyNumberFormat="1" applyFont="1"/>
    <xf numFmtId="169" fontId="34" fillId="0" borderId="0" xfId="0" applyNumberFormat="1" applyFont="1"/>
    <xf numFmtId="169" fontId="37" fillId="0" borderId="0" xfId="0" applyNumberFormat="1" applyFont="1"/>
    <xf numFmtId="168" fontId="7" fillId="0" borderId="0" xfId="2" applyNumberFormat="1" applyFont="1" applyFill="1" applyBorder="1"/>
    <xf numFmtId="164" fontId="34" fillId="0" borderId="0" xfId="0" applyNumberFormat="1" applyFont="1"/>
    <xf numFmtId="164" fontId="37" fillId="0" borderId="0" xfId="0" applyNumberFormat="1" applyFont="1"/>
    <xf numFmtId="3" fontId="10" fillId="0" borderId="0" xfId="6" applyNumberFormat="1" applyFont="1"/>
    <xf numFmtId="164" fontId="10" fillId="0" borderId="0" xfId="6" applyNumberFormat="1" applyFont="1"/>
    <xf numFmtId="0" fontId="0" fillId="3" borderId="0" xfId="0" applyFill="1"/>
    <xf numFmtId="166" fontId="0" fillId="0" borderId="0" xfId="0" applyNumberFormat="1" applyBorder="1"/>
    <xf numFmtId="183" fontId="42" fillId="0" borderId="0" xfId="2" applyNumberFormat="1" applyFont="1" applyBorder="1"/>
    <xf numFmtId="166" fontId="34" fillId="0" borderId="0" xfId="0" applyNumberFormat="1" applyFont="1" applyBorder="1"/>
    <xf numFmtId="164" fontId="45" fillId="0" borderId="0" xfId="6" applyNumberFormat="1" applyFont="1" applyAlignment="1" applyProtection="1">
      <alignment horizontal="center"/>
      <protection locked="0"/>
    </xf>
    <xf numFmtId="0" fontId="6" fillId="0" borderId="0" xfId="6" applyFont="1" applyAlignment="1" applyProtection="1">
      <alignment horizontal="center"/>
      <protection locked="0"/>
    </xf>
    <xf numFmtId="0" fontId="9" fillId="0" borderId="0" xfId="0" applyNumberFormat="1" applyFont="1" applyAlignment="1">
      <alignment horizontal="center"/>
    </xf>
    <xf numFmtId="164" fontId="32" fillId="0" borderId="0" xfId="0" applyNumberFormat="1" applyFont="1"/>
    <xf numFmtId="164" fontId="33" fillId="0" borderId="0" xfId="0" applyNumberFormat="1" applyFont="1"/>
    <xf numFmtId="0" fontId="0" fillId="5" borderId="0" xfId="0" applyFill="1"/>
    <xf numFmtId="4" fontId="0" fillId="5" borderId="0" xfId="0" applyNumberFormat="1" applyFill="1"/>
    <xf numFmtId="0" fontId="43" fillId="0" borderId="0" xfId="0" applyFont="1"/>
    <xf numFmtId="178" fontId="9" fillId="0" borderId="7" xfId="0" applyNumberFormat="1" applyFont="1" applyBorder="1"/>
    <xf numFmtId="0" fontId="42" fillId="0" borderId="0" xfId="0" applyFont="1"/>
    <xf numFmtId="0" fontId="0" fillId="0" borderId="0" xfId="0" applyAlignment="1">
      <alignment horizontal="right"/>
    </xf>
    <xf numFmtId="164" fontId="6" fillId="0" borderId="0" xfId="6" applyNumberFormat="1" applyFont="1" applyAlignment="1" applyProtection="1">
      <alignment horizontal="center"/>
      <protection locked="0"/>
    </xf>
    <xf numFmtId="0" fontId="6" fillId="0" borderId="0" xfId="6" applyFont="1" applyAlignment="1" applyProtection="1">
      <alignment horizontal="left"/>
      <protection locked="0"/>
    </xf>
    <xf numFmtId="0" fontId="45" fillId="0" borderId="0" xfId="6" applyFont="1" applyAlignment="1" applyProtection="1">
      <alignment horizontal="center"/>
      <protection locked="0"/>
    </xf>
    <xf numFmtId="3" fontId="6" fillId="0" borderId="0" xfId="6" applyNumberFormat="1" applyFont="1" applyAlignment="1" applyProtection="1">
      <alignment horizontal="center"/>
      <protection locked="0"/>
    </xf>
    <xf numFmtId="3" fontId="5" fillId="0" borderId="0" xfId="6" applyNumberFormat="1" applyFont="1" applyAlignment="1" applyProtection="1">
      <alignment horizontal="center"/>
      <protection locked="0"/>
    </xf>
    <xf numFmtId="3" fontId="15" fillId="0" borderId="0" xfId="6" applyNumberFormat="1" applyFont="1" applyAlignment="1" applyProtection="1">
      <alignment horizontal="center"/>
      <protection locked="0"/>
    </xf>
    <xf numFmtId="0" fontId="35" fillId="0" borderId="0" xfId="0" applyFont="1" applyAlignment="1">
      <alignment horizontal="center"/>
    </xf>
    <xf numFmtId="3" fontId="45" fillId="0" borderId="0" xfId="6" applyNumberFormat="1" applyFont="1" applyAlignment="1" applyProtection="1">
      <alignment horizontal="center"/>
      <protection locked="0"/>
    </xf>
    <xf numFmtId="3" fontId="46" fillId="0" borderId="0" xfId="6" applyNumberFormat="1" applyFont="1" applyAlignment="1" applyProtection="1">
      <alignment horizontal="center"/>
      <protection locked="0"/>
    </xf>
    <xf numFmtId="164" fontId="4" fillId="0" borderId="0" xfId="6" applyNumberFormat="1" applyFont="1" applyBorder="1" applyAlignment="1">
      <alignment horizontal="center"/>
    </xf>
    <xf numFmtId="170" fontId="14" fillId="0" borderId="0" xfId="2" applyNumberFormat="1" applyFont="1" applyBorder="1"/>
    <xf numFmtId="3" fontId="0" fillId="0" borderId="0" xfId="0" applyNumberFormat="1"/>
    <xf numFmtId="164" fontId="0" fillId="0" borderId="14" xfId="0" applyNumberFormat="1" applyBorder="1"/>
    <xf numFmtId="190" fontId="13" fillId="0" borderId="15" xfId="5" applyNumberFormat="1" applyFont="1" applyFill="1" applyBorder="1"/>
    <xf numFmtId="172" fontId="14" fillId="0" borderId="0" xfId="4" applyNumberFormat="1" applyFont="1" applyBorder="1" applyAlignment="1">
      <alignment horizontal="center"/>
    </xf>
    <xf numFmtId="172" fontId="16" fillId="0" borderId="0" xfId="4" applyNumberFormat="1" applyFont="1" applyBorder="1" applyAlignment="1">
      <alignment horizontal="center"/>
    </xf>
    <xf numFmtId="172" fontId="14" fillId="0" borderId="0" xfId="0" applyNumberFormat="1" applyFont="1"/>
    <xf numFmtId="172" fontId="14" fillId="0" borderId="0" xfId="0" applyNumberFormat="1" applyFont="1" applyFill="1"/>
    <xf numFmtId="172" fontId="16" fillId="0" borderId="0" xfId="0" applyNumberFormat="1" applyFont="1"/>
    <xf numFmtId="172" fontId="32" fillId="0" borderId="0" xfId="0" applyNumberFormat="1" applyFont="1"/>
    <xf numFmtId="0" fontId="51" fillId="0" borderId="0" xfId="4" applyFont="1" applyBorder="1" applyAlignment="1">
      <alignment horizontal="left"/>
    </xf>
    <xf numFmtId="3" fontId="14" fillId="0" borderId="0" xfId="4" applyNumberFormat="1" applyFont="1" applyBorder="1" applyAlignment="1">
      <alignment horizontal="center"/>
    </xf>
    <xf numFmtId="3" fontId="49" fillId="0" borderId="0" xfId="6" applyNumberFormat="1" applyFont="1" applyFill="1" applyBorder="1" applyAlignment="1" applyProtection="1">
      <alignment horizontal="center"/>
      <protection locked="0"/>
    </xf>
    <xf numFmtId="3" fontId="0" fillId="0" borderId="0" xfId="0" applyNumberFormat="1" applyFill="1"/>
    <xf numFmtId="3" fontId="34" fillId="0" borderId="0" xfId="0" applyNumberFormat="1" applyFont="1"/>
    <xf numFmtId="3" fontId="14" fillId="0" borderId="0" xfId="0" applyNumberFormat="1" applyFont="1"/>
    <xf numFmtId="3" fontId="5" fillId="0" borderId="0" xfId="2" applyNumberFormat="1" applyFont="1" applyFill="1" applyBorder="1"/>
    <xf numFmtId="0" fontId="48" fillId="0" borderId="0" xfId="2" applyNumberFormat="1" applyFont="1" applyFill="1" applyBorder="1" applyAlignment="1" applyProtection="1">
      <alignment horizontal="center"/>
      <protection locked="0"/>
    </xf>
    <xf numFmtId="3" fontId="16" fillId="0" borderId="0" xfId="0" applyNumberFormat="1" applyFont="1"/>
    <xf numFmtId="3" fontId="14" fillId="0" borderId="0" xfId="2" applyNumberFormat="1" applyFont="1" applyFill="1" applyBorder="1" applyAlignment="1" applyProtection="1">
      <alignment horizontal="center"/>
      <protection locked="0"/>
    </xf>
    <xf numFmtId="3" fontId="16" fillId="0" borderId="0" xfId="6" applyNumberFormat="1" applyFont="1" applyFill="1" applyBorder="1" applyAlignment="1" applyProtection="1">
      <alignment horizontal="center"/>
      <protection locked="0"/>
    </xf>
    <xf numFmtId="3" fontId="14" fillId="0" borderId="0" xfId="0" applyNumberFormat="1" applyFont="1" applyFill="1"/>
    <xf numFmtId="0" fontId="0" fillId="0" borderId="0" xfId="0" applyNumberFormat="1"/>
    <xf numFmtId="0" fontId="0" fillId="5" borderId="0" xfId="0" applyFill="1" applyAlignment="1">
      <alignment horizontal="center"/>
    </xf>
    <xf numFmtId="168" fontId="0" fillId="6" borderId="0" xfId="0" applyNumberFormat="1" applyFill="1"/>
    <xf numFmtId="0" fontId="9" fillId="6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0" fillId="6" borderId="0" xfId="0" applyFill="1"/>
    <xf numFmtId="10" fontId="1" fillId="6" borderId="0" xfId="8" applyNumberFormat="1" applyFill="1"/>
    <xf numFmtId="10" fontId="16" fillId="6" borderId="0" xfId="8" applyNumberFormat="1" applyFont="1" applyFill="1"/>
    <xf numFmtId="10" fontId="0" fillId="6" borderId="0" xfId="0" applyNumberFormat="1" applyFill="1"/>
    <xf numFmtId="0" fontId="53" fillId="0" borderId="0" xfId="0" applyFont="1"/>
    <xf numFmtId="0" fontId="28" fillId="0" borderId="0" xfId="0" applyFont="1"/>
    <xf numFmtId="0" fontId="54" fillId="0" borderId="0" xfId="0" applyFont="1"/>
    <xf numFmtId="0" fontId="53" fillId="0" borderId="0" xfId="0" applyFont="1" applyAlignment="1">
      <alignment horizontal="center"/>
    </xf>
    <xf numFmtId="0" fontId="28" fillId="0" borderId="0" xfId="0" applyNumberFormat="1" applyFont="1"/>
    <xf numFmtId="0" fontId="30" fillId="0" borderId="0" xfId="0" applyFont="1"/>
    <xf numFmtId="0" fontId="28" fillId="0" borderId="0" xfId="0" applyFont="1" applyAlignment="1">
      <alignment horizontal="center"/>
    </xf>
    <xf numFmtId="0" fontId="28" fillId="0" borderId="0" xfId="0" applyFont="1" applyAlignment="1">
      <alignment horizontal="left"/>
    </xf>
    <xf numFmtId="164" fontId="0" fillId="0" borderId="0" xfId="0" applyNumberFormat="1" applyAlignment="1">
      <alignment horizontal="center"/>
    </xf>
    <xf numFmtId="164" fontId="16" fillId="0" borderId="0" xfId="0" applyNumberFormat="1" applyFont="1" applyAlignment="1">
      <alignment horizontal="center"/>
    </xf>
    <xf numFmtId="164" fontId="5" fillId="0" borderId="0" xfId="6" applyNumberFormat="1" applyFont="1"/>
    <xf numFmtId="3" fontId="22" fillId="0" borderId="0" xfId="6" applyNumberFormat="1" applyFont="1"/>
    <xf numFmtId="0" fontId="55" fillId="0" borderId="0" xfId="6" applyFont="1" applyAlignment="1" applyProtection="1">
      <alignment horizontal="left"/>
      <protection locked="0"/>
    </xf>
    <xf numFmtId="3" fontId="12" fillId="0" borderId="1" xfId="6" applyNumberFormat="1" applyFont="1" applyBorder="1" applyProtection="1">
      <protection locked="0"/>
    </xf>
    <xf numFmtId="164" fontId="12" fillId="0" borderId="0" xfId="6" applyNumberFormat="1" applyFont="1" applyProtection="1">
      <protection locked="0"/>
    </xf>
    <xf numFmtId="3" fontId="12" fillId="0" borderId="0" xfId="6" applyNumberFormat="1" applyFont="1" applyBorder="1"/>
    <xf numFmtId="3" fontId="12" fillId="0" borderId="1" xfId="6" applyNumberFormat="1" applyFont="1" applyBorder="1"/>
    <xf numFmtId="3" fontId="12" fillId="0" borderId="0" xfId="6" applyNumberFormat="1" applyFont="1" applyProtection="1">
      <protection locked="0"/>
    </xf>
    <xf numFmtId="3" fontId="12" fillId="0" borderId="0" xfId="6" applyNumberFormat="1" applyFont="1"/>
    <xf numFmtId="164" fontId="12" fillId="0" borderId="1" xfId="6" applyNumberFormat="1" applyFont="1" applyBorder="1" applyProtection="1">
      <protection locked="0"/>
    </xf>
    <xf numFmtId="164" fontId="24" fillId="0" borderId="0" xfId="6" applyNumberFormat="1" applyFont="1" applyProtection="1">
      <protection locked="0"/>
    </xf>
    <xf numFmtId="3" fontId="29" fillId="0" borderId="0" xfId="7" applyNumberFormat="1" applyFont="1" applyFill="1"/>
    <xf numFmtId="0" fontId="13" fillId="0" borderId="0" xfId="0" applyFont="1"/>
    <xf numFmtId="164" fontId="44" fillId="0" borderId="0" xfId="0" applyNumberFormat="1" applyFont="1"/>
    <xf numFmtId="164" fontId="13" fillId="0" borderId="0" xfId="0" applyNumberFormat="1" applyFont="1"/>
    <xf numFmtId="168" fontId="13" fillId="0" borderId="0" xfId="0" applyNumberFormat="1" applyFont="1" applyFill="1"/>
    <xf numFmtId="168" fontId="44" fillId="0" borderId="0" xfId="0" applyNumberFormat="1" applyFont="1" applyFill="1"/>
    <xf numFmtId="3" fontId="13" fillId="0" borderId="0" xfId="0" applyNumberFormat="1" applyFont="1"/>
    <xf numFmtId="3" fontId="44" fillId="0" borderId="0" xfId="0" applyNumberFormat="1" applyFont="1"/>
    <xf numFmtId="3" fontId="12" fillId="0" borderId="1" xfId="6" applyNumberFormat="1" applyFont="1" applyBorder="1" applyAlignment="1" applyProtection="1">
      <alignment horizontal="right"/>
      <protection locked="0"/>
    </xf>
    <xf numFmtId="164" fontId="12" fillId="0" borderId="1" xfId="6" applyNumberFormat="1" applyFont="1" applyBorder="1"/>
    <xf numFmtId="168" fontId="56" fillId="0" borderId="0" xfId="5" applyNumberFormat="1" applyFont="1" applyFill="1" applyBorder="1"/>
    <xf numFmtId="168" fontId="57" fillId="0" borderId="0" xfId="5" applyNumberFormat="1" applyFont="1" applyFill="1" applyBorder="1"/>
    <xf numFmtId="164" fontId="14" fillId="0" borderId="7" xfId="0" applyNumberFormat="1" applyFont="1" applyBorder="1"/>
    <xf numFmtId="166" fontId="34" fillId="0" borderId="0" xfId="0" applyNumberFormat="1" applyFont="1" applyFill="1"/>
    <xf numFmtId="166" fontId="40" fillId="0" borderId="0" xfId="0" applyNumberFormat="1" applyFont="1" applyFill="1"/>
    <xf numFmtId="166" fontId="0" fillId="0" borderId="0" xfId="0" applyNumberFormat="1" applyFill="1"/>
    <xf numFmtId="166" fontId="37" fillId="0" borderId="0" xfId="0" applyNumberFormat="1" applyFont="1" applyFill="1"/>
    <xf numFmtId="166" fontId="41" fillId="0" borderId="0" xfId="0" applyNumberFormat="1" applyFont="1" applyFill="1"/>
    <xf numFmtId="166" fontId="16" fillId="0" borderId="0" xfId="0" applyNumberFormat="1" applyFont="1" applyFill="1"/>
    <xf numFmtId="202" fontId="5" fillId="0" borderId="0" xfId="2" applyNumberFormat="1" applyFont="1" applyFill="1" applyBorder="1"/>
    <xf numFmtId="178" fontId="4" fillId="0" borderId="0" xfId="6" applyNumberFormat="1" applyFont="1"/>
    <xf numFmtId="170" fontId="0" fillId="0" borderId="0" xfId="2" applyNumberFormat="1" applyFont="1" applyFill="1" applyBorder="1"/>
    <xf numFmtId="166" fontId="34" fillId="0" borderId="0" xfId="0" applyNumberFormat="1" applyFont="1" applyFill="1" applyBorder="1"/>
    <xf numFmtId="166" fontId="14" fillId="0" borderId="0" xfId="0" applyNumberFormat="1" applyFont="1" applyFill="1" applyBorder="1"/>
    <xf numFmtId="183" fontId="42" fillId="0" borderId="0" xfId="2" applyNumberFormat="1" applyFont="1" applyFill="1" applyBorder="1"/>
    <xf numFmtId="169" fontId="16" fillId="0" borderId="0" xfId="0" applyNumberFormat="1" applyFont="1" applyFill="1" applyBorder="1"/>
    <xf numFmtId="169" fontId="34" fillId="0" borderId="0" xfId="0" applyNumberFormat="1" applyFont="1" applyFill="1" applyBorder="1"/>
    <xf numFmtId="169" fontId="37" fillId="0" borderId="0" xfId="0" applyNumberFormat="1" applyFont="1" applyFill="1" applyBorder="1"/>
    <xf numFmtId="4" fontId="0" fillId="0" borderId="0" xfId="0" applyNumberFormat="1" applyFill="1"/>
    <xf numFmtId="0" fontId="9" fillId="0" borderId="0" xfId="0" applyFont="1" applyFill="1" applyAlignment="1">
      <alignment horizontal="center"/>
    </xf>
    <xf numFmtId="168" fontId="39" fillId="0" borderId="0" xfId="0" applyNumberFormat="1" applyFont="1"/>
    <xf numFmtId="168" fontId="58" fillId="0" borderId="0" xfId="0" applyNumberFormat="1" applyFont="1"/>
    <xf numFmtId="0" fontId="59" fillId="0" borderId="0" xfId="0" applyFont="1"/>
    <xf numFmtId="3" fontId="14" fillId="0" borderId="0" xfId="0" applyNumberFormat="1" applyFont="1" applyBorder="1"/>
    <xf numFmtId="3" fontId="16" fillId="0" borderId="0" xfId="0" applyNumberFormat="1" applyFont="1" applyBorder="1"/>
    <xf numFmtId="165" fontId="0" fillId="0" borderId="0" xfId="0" applyNumberFormat="1"/>
    <xf numFmtId="14" fontId="5" fillId="0" borderId="0" xfId="5" applyNumberFormat="1" applyFont="1" applyBorder="1" applyAlignment="1">
      <alignment horizontal="center"/>
    </xf>
    <xf numFmtId="164" fontId="14" fillId="0" borderId="0" xfId="0" applyNumberFormat="1" applyFont="1" applyBorder="1"/>
    <xf numFmtId="176" fontId="14" fillId="0" borderId="0" xfId="8" applyNumberFormat="1" applyFont="1" applyBorder="1"/>
    <xf numFmtId="3" fontId="13" fillId="0" borderId="0" xfId="0" applyNumberFormat="1" applyFont="1" applyBorder="1"/>
    <xf numFmtId="3" fontId="44" fillId="0" borderId="0" xfId="0" applyNumberFormat="1" applyFont="1" applyBorder="1"/>
    <xf numFmtId="3" fontId="9" fillId="0" borderId="0" xfId="0" applyNumberFormat="1" applyFont="1"/>
    <xf numFmtId="164" fontId="13" fillId="0" borderId="0" xfId="0" applyNumberFormat="1" applyFont="1" applyBorder="1"/>
    <xf numFmtId="165" fontId="14" fillId="0" borderId="0" xfId="0" applyNumberFormat="1" applyFont="1"/>
    <xf numFmtId="165" fontId="16" fillId="0" borderId="0" xfId="0" applyNumberFormat="1" applyFont="1"/>
    <xf numFmtId="165" fontId="9" fillId="0" borderId="0" xfId="0" applyNumberFormat="1" applyFont="1"/>
    <xf numFmtId="3" fontId="39" fillId="0" borderId="0" xfId="0" applyNumberFormat="1" applyFont="1"/>
    <xf numFmtId="210" fontId="0" fillId="0" borderId="10" xfId="0" applyNumberFormat="1" applyBorder="1"/>
    <xf numFmtId="0" fontId="53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193" fontId="5" fillId="0" borderId="0" xfId="2" applyNumberFormat="1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164" fontId="9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0">
    <cellStyle name="basic" xfId="1"/>
    <cellStyle name="Comma" xfId="2" builtinId="3"/>
    <cellStyle name="Comma_TRAlloc 98 sales, 96 MC's" xfId="3"/>
    <cellStyle name="Normal" xfId="0" builtinId="0"/>
    <cellStyle name="Normal_CTC-EOF_alloc" xfId="4"/>
    <cellStyle name="Normal_Total RRQ including ICIP" xfId="5"/>
    <cellStyle name="Normal_TRAlloc 98 sales, 96 MC's" xfId="6"/>
    <cellStyle name="Normal_Workpapers" xfId="7"/>
    <cellStyle name="Percent" xfId="8" builtinId="5"/>
    <cellStyle name="Revenue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Lines="10" dropStyle="combo" dx="22" fmlaLink="$AA$18" fmlaRange="$V$18:$V$27" sel="1" val="0"/>
</file>

<file path=xl/ctrlProps/ctrlProp2.xml><?xml version="1.0" encoding="utf-8"?>
<formControlPr xmlns="http://schemas.microsoft.com/office/spreadsheetml/2009/9/main" objectType="Drop" dropLines="2" dropStyle="combo" dx="22" fmlaLink="$W$9" fmlaRange="$W$7:$W$8" noThreeD="1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161925</xdr:colOff>
          <xdr:row>18</xdr:row>
          <xdr:rowOff>19050</xdr:rowOff>
        </xdr:from>
        <xdr:to>
          <xdr:col>4</xdr:col>
          <xdr:colOff>1162050</xdr:colOff>
          <xdr:row>19</xdr:row>
          <xdr:rowOff>57150</xdr:rowOff>
        </xdr:to>
        <xdr:sp macro="" textlink="">
          <xdr:nvSpPr>
            <xdr:cNvPr id="7169" name="Drop Down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51321F66-279F-6FE0-22FE-2891D3FFAC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20</xdr:row>
          <xdr:rowOff>19050</xdr:rowOff>
        </xdr:from>
        <xdr:to>
          <xdr:col>4</xdr:col>
          <xdr:colOff>1314450</xdr:colOff>
          <xdr:row>21</xdr:row>
          <xdr:rowOff>66675</xdr:rowOff>
        </xdr:to>
        <xdr:sp macro="" textlink="">
          <xdr:nvSpPr>
            <xdr:cNvPr id="7175" name="Drop Down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6ED57358-758F-7EAB-2B73-156D136DA5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98un-fd/unbunrev/98FER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RQ inputs and toggles"/>
      <sheetName val="Summary Table"/>
      <sheetName val="Total RRQ including ICIP"/>
      <sheetName val="Percentages"/>
      <sheetName val="Nuclear Decommissioning Rates"/>
      <sheetName val="Transmission Allocation - CPUC"/>
      <sheetName val="Public Purpose Program Allocate"/>
      <sheetName val="Distribution Cost Allocation"/>
      <sheetName val="Nuclear Decommissioning"/>
      <sheetName val="Transmission AG and A-10"/>
      <sheetName val="Nonallocated Revenues"/>
      <sheetName val="TRAlloc 98 sales, 96 MC's"/>
      <sheetName val="1996 marginal co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"/>
  <sheetViews>
    <sheetView workbookViewId="0"/>
  </sheetViews>
  <sheetFormatPr defaultRowHeight="15"/>
  <cols>
    <col min="1" max="1" width="29.33203125" style="357" bestFit="1" customWidth="1"/>
    <col min="2" max="2" width="4.1640625" style="357" customWidth="1"/>
    <col min="3" max="5" width="9.33203125" style="357"/>
    <col min="6" max="6" width="10.1640625" style="357" customWidth="1"/>
    <col min="7" max="7" width="9.33203125" style="357"/>
    <col min="8" max="8" width="14.83203125" style="357" customWidth="1"/>
    <col min="9" max="9" width="16" style="357" customWidth="1"/>
    <col min="10" max="16384" width="9.33203125" style="357"/>
  </cols>
  <sheetData>
    <row r="1" spans="1:9">
      <c r="A1" s="356" t="s">
        <v>294</v>
      </c>
      <c r="F1" s="357" t="s">
        <v>399</v>
      </c>
    </row>
    <row r="2" spans="1:9">
      <c r="A2" s="357" t="s">
        <v>296</v>
      </c>
      <c r="F2" s="357" t="s">
        <v>400</v>
      </c>
    </row>
    <row r="3" spans="1:9">
      <c r="A3" s="357" t="s">
        <v>396</v>
      </c>
      <c r="F3" s="357" t="s">
        <v>457</v>
      </c>
    </row>
    <row r="4" spans="1:9">
      <c r="B4" s="357" t="s">
        <v>244</v>
      </c>
      <c r="F4" s="357" t="s">
        <v>458</v>
      </c>
    </row>
    <row r="5" spans="1:9">
      <c r="C5" s="357" t="s">
        <v>246</v>
      </c>
      <c r="F5" s="357" t="s">
        <v>459</v>
      </c>
    </row>
    <row r="6" spans="1:9">
      <c r="C6" s="357" t="s">
        <v>397</v>
      </c>
      <c r="F6" s="357" t="s">
        <v>460</v>
      </c>
    </row>
    <row r="7" spans="1:9">
      <c r="C7" s="357" t="s">
        <v>398</v>
      </c>
      <c r="F7" s="357" t="s">
        <v>461</v>
      </c>
    </row>
    <row r="8" spans="1:9">
      <c r="C8" s="357" t="s">
        <v>286</v>
      </c>
      <c r="F8" s="357" t="s">
        <v>462</v>
      </c>
    </row>
    <row r="9" spans="1:9">
      <c r="C9" s="357" t="s">
        <v>346</v>
      </c>
      <c r="F9" s="357" t="s">
        <v>463</v>
      </c>
    </row>
    <row r="10" spans="1:9">
      <c r="B10" s="357" t="s">
        <v>395</v>
      </c>
      <c r="F10" s="357" t="s">
        <v>464</v>
      </c>
    </row>
    <row r="11" spans="1:9">
      <c r="A11" s="357" t="str">
        <f>A148</f>
        <v>III How to Run the Model</v>
      </c>
      <c r="F11" s="357" t="s">
        <v>468</v>
      </c>
    </row>
    <row r="12" spans="1:9">
      <c r="A12" s="357" t="str">
        <f>A211</f>
        <v>IV Description of Named Variables Created by the Model</v>
      </c>
      <c r="F12" s="357" t="s">
        <v>467</v>
      </c>
    </row>
    <row r="13" spans="1:9">
      <c r="A13" s="357" t="s">
        <v>476</v>
      </c>
      <c r="F13" s="357" t="s">
        <v>478</v>
      </c>
    </row>
    <row r="15" spans="1:9">
      <c r="A15" s="356" t="s">
        <v>295</v>
      </c>
      <c r="B15" s="358"/>
      <c r="C15" s="425" t="s">
        <v>228</v>
      </c>
      <c r="D15" s="425"/>
      <c r="E15" s="425"/>
      <c r="F15" s="425"/>
      <c r="G15" s="425"/>
      <c r="H15" s="425"/>
      <c r="I15" s="425"/>
    </row>
    <row r="18" spans="1:3">
      <c r="A18" s="357" t="s">
        <v>229</v>
      </c>
      <c r="C18" s="357" t="s">
        <v>233</v>
      </c>
    </row>
    <row r="19" spans="1:3">
      <c r="C19" s="357" t="s">
        <v>234</v>
      </c>
    </row>
    <row r="20" spans="1:3">
      <c r="C20" s="357" t="s">
        <v>235</v>
      </c>
    </row>
    <row r="22" spans="1:3">
      <c r="A22" s="357" t="s">
        <v>403</v>
      </c>
      <c r="C22" s="357" t="s">
        <v>408</v>
      </c>
    </row>
    <row r="23" spans="1:3">
      <c r="C23" s="357" t="s">
        <v>405</v>
      </c>
    </row>
    <row r="24" spans="1:3">
      <c r="C24" s="357" t="s">
        <v>236</v>
      </c>
    </row>
    <row r="25" spans="1:3">
      <c r="C25" s="357" t="s">
        <v>391</v>
      </c>
    </row>
    <row r="27" spans="1:3">
      <c r="A27" s="357" t="s">
        <v>406</v>
      </c>
      <c r="C27" s="357" t="s">
        <v>407</v>
      </c>
    </row>
    <row r="28" spans="1:3">
      <c r="C28" s="357" t="s">
        <v>405</v>
      </c>
    </row>
    <row r="29" spans="1:3">
      <c r="C29" s="357" t="s">
        <v>236</v>
      </c>
    </row>
    <row r="30" spans="1:3">
      <c r="C30" s="357" t="s">
        <v>391</v>
      </c>
    </row>
    <row r="32" spans="1:3">
      <c r="A32" s="357" t="s">
        <v>402</v>
      </c>
      <c r="C32" s="357" t="s">
        <v>237</v>
      </c>
    </row>
    <row r="33" spans="1:3">
      <c r="C33" s="357" t="s">
        <v>238</v>
      </c>
    </row>
    <row r="35" spans="1:3">
      <c r="A35" s="357" t="s">
        <v>230</v>
      </c>
      <c r="C35" s="357" t="s">
        <v>239</v>
      </c>
    </row>
    <row r="37" spans="1:3">
      <c r="A37" s="357" t="s">
        <v>231</v>
      </c>
      <c r="C37" s="357" t="s">
        <v>240</v>
      </c>
    </row>
    <row r="38" spans="1:3">
      <c r="C38" s="357" t="s">
        <v>409</v>
      </c>
    </row>
    <row r="40" spans="1:3">
      <c r="A40" s="357" t="s">
        <v>232</v>
      </c>
      <c r="C40" s="357" t="s">
        <v>241</v>
      </c>
    </row>
    <row r="41" spans="1:3">
      <c r="C41" s="357" t="s">
        <v>242</v>
      </c>
    </row>
    <row r="43" spans="1:3">
      <c r="A43" s="356" t="s">
        <v>243</v>
      </c>
    </row>
    <row r="45" spans="1:3">
      <c r="A45" s="357" t="s">
        <v>410</v>
      </c>
    </row>
    <row r="46" spans="1:3">
      <c r="A46" s="357" t="s">
        <v>411</v>
      </c>
    </row>
    <row r="48" spans="1:3">
      <c r="A48" s="357" t="s">
        <v>245</v>
      </c>
    </row>
    <row r="49" spans="1:1">
      <c r="A49" s="357" t="s">
        <v>453</v>
      </c>
    </row>
    <row r="50" spans="1:1">
      <c r="A50" s="357" t="s">
        <v>412</v>
      </c>
    </row>
    <row r="53" spans="1:1">
      <c r="A53" s="358" t="s">
        <v>244</v>
      </c>
    </row>
    <row r="55" spans="1:1">
      <c r="A55" s="358" t="s">
        <v>246</v>
      </c>
    </row>
    <row r="57" spans="1:1">
      <c r="A57" s="357" t="s">
        <v>413</v>
      </c>
    </row>
    <row r="58" spans="1:1">
      <c r="A58" s="357" t="s">
        <v>414</v>
      </c>
    </row>
    <row r="61" spans="1:1">
      <c r="A61" s="358" t="s">
        <v>247</v>
      </c>
    </row>
    <row r="62" spans="1:1">
      <c r="A62" s="357" t="s">
        <v>278</v>
      </c>
    </row>
    <row r="63" spans="1:1">
      <c r="A63" s="357" t="s">
        <v>279</v>
      </c>
    </row>
    <row r="65" spans="1:10">
      <c r="A65" s="357" t="s">
        <v>280</v>
      </c>
    </row>
    <row r="66" spans="1:10">
      <c r="A66" s="357" t="s">
        <v>281</v>
      </c>
    </row>
    <row r="67" spans="1:10">
      <c r="A67" s="357" t="s">
        <v>282</v>
      </c>
    </row>
    <row r="68" spans="1:10">
      <c r="A68" s="357" t="s">
        <v>283</v>
      </c>
    </row>
    <row r="70" spans="1:10">
      <c r="A70" s="358" t="s">
        <v>277</v>
      </c>
    </row>
    <row r="72" spans="1:10">
      <c r="A72" s="357" t="s">
        <v>284</v>
      </c>
    </row>
    <row r="73" spans="1:10">
      <c r="A73" s="357" t="s">
        <v>285</v>
      </c>
    </row>
    <row r="76" spans="1:10">
      <c r="A76" s="358" t="s">
        <v>286</v>
      </c>
    </row>
    <row r="78" spans="1:10">
      <c r="A78" s="357" t="s">
        <v>287</v>
      </c>
    </row>
    <row r="80" spans="1:10">
      <c r="A80" s="357" t="s">
        <v>288</v>
      </c>
      <c r="I80" s="360"/>
      <c r="J80" s="360"/>
    </row>
    <row r="81" spans="1:10">
      <c r="A81" s="361" t="s">
        <v>289</v>
      </c>
      <c r="I81" s="360"/>
      <c r="J81" s="360"/>
    </row>
    <row r="82" spans="1:10">
      <c r="A82" s="426" t="s">
        <v>290</v>
      </c>
      <c r="B82" s="426"/>
      <c r="C82" s="426"/>
      <c r="D82" s="426"/>
      <c r="E82" s="426"/>
      <c r="F82" s="426"/>
      <c r="G82" s="426"/>
      <c r="H82" s="426"/>
      <c r="I82" s="426"/>
      <c r="J82" s="426"/>
    </row>
    <row r="83" spans="1:10">
      <c r="B83" s="362"/>
      <c r="C83" s="362"/>
      <c r="D83" s="362"/>
      <c r="E83" s="362"/>
      <c r="F83" s="362"/>
      <c r="G83" s="362"/>
      <c r="H83" s="362"/>
      <c r="I83" s="362"/>
      <c r="J83" s="362"/>
    </row>
    <row r="84" spans="1:10">
      <c r="A84" s="363" t="s">
        <v>291</v>
      </c>
      <c r="B84" s="362"/>
      <c r="C84" s="362"/>
      <c r="D84" s="362"/>
      <c r="E84" s="362"/>
      <c r="F84" s="362"/>
      <c r="G84" s="362"/>
      <c r="H84" s="362"/>
      <c r="I84" s="362"/>
      <c r="J84" s="362"/>
    </row>
    <row r="85" spans="1:10">
      <c r="A85" s="363" t="s">
        <v>292</v>
      </c>
      <c r="B85" s="362"/>
      <c r="C85" s="362"/>
      <c r="D85" s="362"/>
      <c r="E85" s="362"/>
      <c r="F85" s="362"/>
      <c r="G85" s="362"/>
      <c r="H85" s="362"/>
      <c r="I85" s="362"/>
      <c r="J85" s="362"/>
    </row>
    <row r="86" spans="1:10">
      <c r="A86" s="363" t="s">
        <v>293</v>
      </c>
    </row>
    <row r="87" spans="1:10">
      <c r="A87" s="363"/>
    </row>
    <row r="88" spans="1:10">
      <c r="A88" s="358" t="s">
        <v>346</v>
      </c>
    </row>
    <row r="89" spans="1:10">
      <c r="A89" s="363" t="s">
        <v>454</v>
      </c>
    </row>
    <row r="90" spans="1:10">
      <c r="A90" s="357" t="s">
        <v>352</v>
      </c>
    </row>
    <row r="91" spans="1:10">
      <c r="A91" s="357" t="s">
        <v>353</v>
      </c>
    </row>
    <row r="93" spans="1:10">
      <c r="A93" s="356" t="s">
        <v>415</v>
      </c>
    </row>
    <row r="94" spans="1:10">
      <c r="A94" s="356"/>
    </row>
    <row r="95" spans="1:10">
      <c r="A95" s="358"/>
    </row>
    <row r="96" spans="1:10">
      <c r="A96" s="357" t="s">
        <v>297</v>
      </c>
    </row>
    <row r="97" spans="1:7">
      <c r="A97" s="357" t="s">
        <v>298</v>
      </c>
    </row>
    <row r="99" spans="1:7">
      <c r="A99" s="357" t="s">
        <v>416</v>
      </c>
    </row>
    <row r="102" spans="1:7">
      <c r="A102" s="357" t="s">
        <v>299</v>
      </c>
    </row>
    <row r="103" spans="1:7">
      <c r="A103" s="357" t="s">
        <v>300</v>
      </c>
    </row>
    <row r="104" spans="1:7">
      <c r="A104" s="357" t="s">
        <v>301</v>
      </c>
    </row>
    <row r="106" spans="1:7">
      <c r="A106" s="357" t="s">
        <v>308</v>
      </c>
    </row>
    <row r="107" spans="1:7">
      <c r="A107" s="357" t="s">
        <v>401</v>
      </c>
    </row>
    <row r="108" spans="1:7">
      <c r="A108" s="357" t="s">
        <v>417</v>
      </c>
    </row>
    <row r="110" spans="1:7">
      <c r="A110" s="359" t="s">
        <v>418</v>
      </c>
      <c r="G110" s="359" t="s">
        <v>419</v>
      </c>
    </row>
    <row r="111" spans="1:7">
      <c r="A111" s="357" t="s">
        <v>246</v>
      </c>
      <c r="G111" s="357" t="s">
        <v>420</v>
      </c>
    </row>
    <row r="112" spans="1:7">
      <c r="A112" s="357" t="s">
        <v>305</v>
      </c>
      <c r="G112" s="357" t="s">
        <v>421</v>
      </c>
    </row>
    <row r="113" spans="1:7">
      <c r="A113" s="357" t="s">
        <v>306</v>
      </c>
      <c r="G113" s="357" t="s">
        <v>422</v>
      </c>
    </row>
    <row r="114" spans="1:7">
      <c r="A114" s="357" t="s">
        <v>307</v>
      </c>
      <c r="G114" s="357" t="s">
        <v>423</v>
      </c>
    </row>
    <row r="115" spans="1:7">
      <c r="A115" s="357" t="s">
        <v>346</v>
      </c>
      <c r="G115" s="357" t="s">
        <v>424</v>
      </c>
    </row>
    <row r="116" spans="1:7">
      <c r="A116" s="357" t="s">
        <v>347</v>
      </c>
      <c r="G116" s="357" t="s">
        <v>425</v>
      </c>
    </row>
    <row r="117" spans="1:7">
      <c r="A117" s="357" t="s">
        <v>348</v>
      </c>
      <c r="G117" s="357" t="s">
        <v>426</v>
      </c>
    </row>
    <row r="118" spans="1:7">
      <c r="A118" s="357" t="s">
        <v>349</v>
      </c>
      <c r="G118" s="357" t="s">
        <v>427</v>
      </c>
    </row>
    <row r="119" spans="1:7">
      <c r="A119" s="357" t="s">
        <v>350</v>
      </c>
      <c r="G119" s="357" t="s">
        <v>428</v>
      </c>
    </row>
    <row r="120" spans="1:7">
      <c r="A120" s="357" t="s">
        <v>351</v>
      </c>
      <c r="G120" s="357" t="s">
        <v>429</v>
      </c>
    </row>
    <row r="122" spans="1:7">
      <c r="A122" s="357" t="s">
        <v>311</v>
      </c>
    </row>
    <row r="123" spans="1:7">
      <c r="A123" s="357" t="s">
        <v>312</v>
      </c>
    </row>
    <row r="125" spans="1:7">
      <c r="A125" s="357" t="s">
        <v>452</v>
      </c>
      <c r="C125" s="357" t="s">
        <v>354</v>
      </c>
    </row>
    <row r="126" spans="1:7">
      <c r="B126" s="357" t="s">
        <v>355</v>
      </c>
      <c r="D126" s="357" t="s">
        <v>356</v>
      </c>
    </row>
    <row r="127" spans="1:7">
      <c r="D127" s="357" t="s">
        <v>357</v>
      </c>
    </row>
    <row r="128" spans="1:7">
      <c r="D128" s="357" t="s">
        <v>358</v>
      </c>
    </row>
    <row r="129" spans="1:4">
      <c r="D129" s="357" t="s">
        <v>359</v>
      </c>
    </row>
    <row r="130" spans="1:4">
      <c r="D130" s="357" t="s">
        <v>360</v>
      </c>
    </row>
    <row r="131" spans="1:4">
      <c r="D131" s="357" t="s">
        <v>361</v>
      </c>
    </row>
    <row r="132" spans="1:4">
      <c r="B132" s="357" t="s">
        <v>362</v>
      </c>
      <c r="D132" s="357" t="s">
        <v>363</v>
      </c>
    </row>
    <row r="133" spans="1:4">
      <c r="D133" s="357" t="s">
        <v>159</v>
      </c>
    </row>
    <row r="135" spans="1:4">
      <c r="A135" s="357" t="s">
        <v>455</v>
      </c>
      <c r="C135" s="357" t="s">
        <v>364</v>
      </c>
    </row>
    <row r="136" spans="1:4">
      <c r="B136" s="357" t="s">
        <v>355</v>
      </c>
      <c r="D136" s="357" t="s">
        <v>356</v>
      </c>
    </row>
    <row r="137" spans="1:4">
      <c r="D137" s="357" t="s">
        <v>357</v>
      </c>
    </row>
    <row r="138" spans="1:4">
      <c r="D138" s="357" t="s">
        <v>358</v>
      </c>
    </row>
    <row r="139" spans="1:4">
      <c r="D139" s="357" t="s">
        <v>359</v>
      </c>
    </row>
    <row r="140" spans="1:4">
      <c r="D140" s="357" t="s">
        <v>360</v>
      </c>
    </row>
    <row r="141" spans="1:4">
      <c r="D141" s="357" t="s">
        <v>361</v>
      </c>
    </row>
    <row r="142" spans="1:4">
      <c r="D142" s="357" t="s">
        <v>127</v>
      </c>
    </row>
    <row r="143" spans="1:4">
      <c r="B143" s="357" t="s">
        <v>362</v>
      </c>
      <c r="D143" s="357" t="s">
        <v>363</v>
      </c>
    </row>
    <row r="144" spans="1:4">
      <c r="D144" s="357" t="s">
        <v>159</v>
      </c>
    </row>
    <row r="145" spans="1:4">
      <c r="D145" s="357" t="s">
        <v>365</v>
      </c>
    </row>
    <row r="148" spans="1:4">
      <c r="A148" s="356" t="s">
        <v>465</v>
      </c>
    </row>
    <row r="149" spans="1:4">
      <c r="A149" s="356"/>
    </row>
    <row r="150" spans="1:4">
      <c r="A150" s="357" t="s">
        <v>456</v>
      </c>
    </row>
    <row r="152" spans="1:4">
      <c r="A152" s="356" t="s">
        <v>328</v>
      </c>
    </row>
    <row r="154" spans="1:4">
      <c r="A154" s="357" t="s">
        <v>309</v>
      </c>
    </row>
    <row r="156" spans="1:4">
      <c r="A156" s="357" t="s">
        <v>310</v>
      </c>
    </row>
    <row r="158" spans="1:4">
      <c r="A158" s="357" t="s">
        <v>313</v>
      </c>
    </row>
    <row r="159" spans="1:4">
      <c r="A159" s="357" t="s">
        <v>430</v>
      </c>
    </row>
    <row r="161" spans="1:3">
      <c r="A161" s="357" t="s">
        <v>314</v>
      </c>
    </row>
    <row r="162" spans="1:3">
      <c r="A162" s="357" t="s">
        <v>315</v>
      </c>
    </row>
    <row r="163" spans="1:3">
      <c r="A163" s="357" t="s">
        <v>316</v>
      </c>
    </row>
    <row r="165" spans="1:3">
      <c r="A165" s="357" t="s">
        <v>317</v>
      </c>
    </row>
    <row r="166" spans="1:3">
      <c r="A166" s="357" t="s">
        <v>318</v>
      </c>
    </row>
    <row r="168" spans="1:3">
      <c r="A168" s="357" t="s">
        <v>322</v>
      </c>
    </row>
    <row r="170" spans="1:3">
      <c r="A170" s="357" t="s">
        <v>432</v>
      </c>
    </row>
    <row r="172" spans="1:3">
      <c r="A172" s="357" t="s">
        <v>431</v>
      </c>
      <c r="C172" s="357" t="s">
        <v>434</v>
      </c>
    </row>
    <row r="173" spans="1:3">
      <c r="C173" s="357" t="s">
        <v>435</v>
      </c>
    </row>
    <row r="175" spans="1:3">
      <c r="A175" s="357" t="s">
        <v>319</v>
      </c>
    </row>
    <row r="176" spans="1:3">
      <c r="A176" s="357" t="s">
        <v>320</v>
      </c>
    </row>
    <row r="177" spans="1:7">
      <c r="A177" s="357" t="s">
        <v>321</v>
      </c>
    </row>
    <row r="179" spans="1:7">
      <c r="A179" s="357" t="s">
        <v>433</v>
      </c>
    </row>
    <row r="181" spans="1:7">
      <c r="A181" s="358" t="s">
        <v>436</v>
      </c>
    </row>
    <row r="182" spans="1:7">
      <c r="A182" s="357" t="s">
        <v>404</v>
      </c>
    </row>
    <row r="183" spans="1:7">
      <c r="A183" s="357" t="s">
        <v>323</v>
      </c>
    </row>
    <row r="185" spans="1:7">
      <c r="A185" s="357" t="s">
        <v>246</v>
      </c>
      <c r="G185" s="357" t="s">
        <v>324</v>
      </c>
    </row>
    <row r="186" spans="1:7">
      <c r="A186" s="357" t="s">
        <v>305</v>
      </c>
      <c r="G186" s="357" t="s">
        <v>438</v>
      </c>
    </row>
    <row r="187" spans="1:7">
      <c r="A187" s="357" t="s">
        <v>306</v>
      </c>
      <c r="G187" s="357" t="s">
        <v>439</v>
      </c>
    </row>
    <row r="188" spans="1:7">
      <c r="A188" s="357" t="s">
        <v>307</v>
      </c>
      <c r="G188" s="357" t="s">
        <v>325</v>
      </c>
    </row>
    <row r="189" spans="1:7">
      <c r="A189" s="357" t="s">
        <v>346</v>
      </c>
      <c r="G189" s="357" t="s">
        <v>440</v>
      </c>
    </row>
    <row r="190" spans="1:7">
      <c r="A190" s="357" t="s">
        <v>347</v>
      </c>
      <c r="G190" s="357" t="s">
        <v>441</v>
      </c>
    </row>
    <row r="191" spans="1:7">
      <c r="A191" s="357" t="s">
        <v>348</v>
      </c>
      <c r="G191" s="357" t="s">
        <v>442</v>
      </c>
    </row>
    <row r="192" spans="1:7">
      <c r="A192" s="357" t="s">
        <v>349</v>
      </c>
      <c r="G192" s="357" t="s">
        <v>327</v>
      </c>
    </row>
    <row r="193" spans="1:7">
      <c r="A193" s="357" t="s">
        <v>350</v>
      </c>
      <c r="G193" s="357" t="s">
        <v>443</v>
      </c>
    </row>
    <row r="194" spans="1:7">
      <c r="A194" s="357" t="s">
        <v>437</v>
      </c>
      <c r="G194" s="357" t="s">
        <v>444</v>
      </c>
    </row>
    <row r="196" spans="1:7">
      <c r="A196" s="358" t="s">
        <v>445</v>
      </c>
    </row>
    <row r="197" spans="1:7">
      <c r="A197" s="357" t="s">
        <v>404</v>
      </c>
    </row>
    <row r="198" spans="1:7">
      <c r="A198" s="357" t="s">
        <v>323</v>
      </c>
    </row>
    <row r="200" spans="1:7">
      <c r="A200" s="357" t="s">
        <v>246</v>
      </c>
      <c r="G200" s="357" t="s">
        <v>446</v>
      </c>
    </row>
    <row r="201" spans="1:7">
      <c r="A201" s="357" t="s">
        <v>305</v>
      </c>
      <c r="G201" s="357" t="s">
        <v>324</v>
      </c>
    </row>
    <row r="202" spans="1:7">
      <c r="A202" s="357" t="s">
        <v>306</v>
      </c>
      <c r="G202" s="357" t="s">
        <v>447</v>
      </c>
    </row>
    <row r="203" spans="1:7">
      <c r="A203" s="357" t="s">
        <v>307</v>
      </c>
      <c r="G203" s="357" t="s">
        <v>438</v>
      </c>
    </row>
    <row r="204" spans="1:7">
      <c r="A204" s="357" t="s">
        <v>346</v>
      </c>
      <c r="G204" s="357" t="s">
        <v>448</v>
      </c>
    </row>
    <row r="205" spans="1:7">
      <c r="A205" s="357" t="s">
        <v>347</v>
      </c>
      <c r="G205" s="357" t="s">
        <v>325</v>
      </c>
    </row>
    <row r="206" spans="1:7">
      <c r="A206" s="357" t="s">
        <v>348</v>
      </c>
      <c r="G206" s="357" t="s">
        <v>449</v>
      </c>
    </row>
    <row r="207" spans="1:7">
      <c r="A207" s="357" t="s">
        <v>349</v>
      </c>
      <c r="G207" s="357" t="s">
        <v>450</v>
      </c>
    </row>
    <row r="208" spans="1:7">
      <c r="A208" s="357" t="s">
        <v>350</v>
      </c>
      <c r="G208" s="357" t="s">
        <v>326</v>
      </c>
    </row>
    <row r="209" spans="1:7">
      <c r="A209" s="357" t="s">
        <v>437</v>
      </c>
      <c r="G209" s="357" t="s">
        <v>451</v>
      </c>
    </row>
    <row r="211" spans="1:7">
      <c r="A211" s="356" t="s">
        <v>466</v>
      </c>
    </row>
    <row r="212" spans="1:7">
      <c r="A212" s="356"/>
    </row>
    <row r="213" spans="1:7">
      <c r="A213" s="356" t="s">
        <v>330</v>
      </c>
      <c r="C213" s="356" t="s">
        <v>331</v>
      </c>
      <c r="G213" s="356" t="s">
        <v>228</v>
      </c>
    </row>
    <row r="214" spans="1:7">
      <c r="A214" s="356"/>
    </row>
    <row r="215" spans="1:7">
      <c r="A215" s="360" t="s">
        <v>248</v>
      </c>
      <c r="B215" s="360" t="s">
        <v>249</v>
      </c>
      <c r="G215" s="357" t="s">
        <v>332</v>
      </c>
    </row>
    <row r="216" spans="1:7">
      <c r="A216" s="360" t="s">
        <v>187</v>
      </c>
      <c r="B216" s="360" t="s">
        <v>250</v>
      </c>
      <c r="G216" s="357" t="s">
        <v>329</v>
      </c>
    </row>
    <row r="217" spans="1:7">
      <c r="A217" s="360" t="s">
        <v>251</v>
      </c>
      <c r="B217" s="360" t="s">
        <v>252</v>
      </c>
      <c r="G217" s="357" t="s">
        <v>333</v>
      </c>
    </row>
    <row r="218" spans="1:7">
      <c r="A218" s="360" t="s">
        <v>253</v>
      </c>
      <c r="B218" s="360" t="s">
        <v>254</v>
      </c>
      <c r="G218" s="357" t="s">
        <v>334</v>
      </c>
    </row>
    <row r="219" spans="1:7">
      <c r="A219" s="360" t="s">
        <v>255</v>
      </c>
      <c r="B219" s="360" t="s">
        <v>256</v>
      </c>
      <c r="G219" s="357" t="s">
        <v>335</v>
      </c>
    </row>
    <row r="220" spans="1:7">
      <c r="A220" s="360" t="s">
        <v>257</v>
      </c>
      <c r="B220" s="360" t="s">
        <v>258</v>
      </c>
      <c r="G220" s="357" t="s">
        <v>337</v>
      </c>
    </row>
    <row r="221" spans="1:7">
      <c r="A221" s="360" t="s">
        <v>259</v>
      </c>
      <c r="B221" s="360" t="s">
        <v>260</v>
      </c>
      <c r="G221" s="357" t="s">
        <v>344</v>
      </c>
    </row>
    <row r="222" spans="1:7">
      <c r="A222" s="360" t="s">
        <v>261</v>
      </c>
      <c r="B222" s="360" t="s">
        <v>262</v>
      </c>
      <c r="G222" s="357" t="s">
        <v>336</v>
      </c>
    </row>
    <row r="223" spans="1:7">
      <c r="A223" s="360" t="s">
        <v>263</v>
      </c>
      <c r="B223" s="360" t="s">
        <v>264</v>
      </c>
      <c r="G223" s="357" t="s">
        <v>338</v>
      </c>
    </row>
    <row r="224" spans="1:7">
      <c r="A224" s="360" t="s">
        <v>265</v>
      </c>
      <c r="B224" s="360" t="s">
        <v>266</v>
      </c>
      <c r="G224" s="357" t="s">
        <v>339</v>
      </c>
    </row>
    <row r="225" spans="1:7">
      <c r="A225" s="360" t="s">
        <v>267</v>
      </c>
      <c r="B225" s="360" t="s">
        <v>268</v>
      </c>
      <c r="G225" s="357" t="s">
        <v>340</v>
      </c>
    </row>
    <row r="226" spans="1:7">
      <c r="A226" s="360" t="s">
        <v>269</v>
      </c>
      <c r="B226" s="360" t="s">
        <v>270</v>
      </c>
      <c r="G226" s="357" t="s">
        <v>341</v>
      </c>
    </row>
    <row r="227" spans="1:7">
      <c r="A227" s="360" t="s">
        <v>271</v>
      </c>
      <c r="B227" s="360" t="s">
        <v>272</v>
      </c>
      <c r="G227" s="357" t="s">
        <v>343</v>
      </c>
    </row>
    <row r="228" spans="1:7">
      <c r="A228" s="360" t="s">
        <v>273</v>
      </c>
      <c r="B228" s="360" t="s">
        <v>274</v>
      </c>
      <c r="G228" s="357" t="s">
        <v>342</v>
      </c>
    </row>
    <row r="229" spans="1:7">
      <c r="A229" s="360" t="s">
        <v>275</v>
      </c>
      <c r="B229" s="360" t="s">
        <v>276</v>
      </c>
      <c r="G229" s="357" t="s">
        <v>345</v>
      </c>
    </row>
    <row r="231" spans="1:7">
      <c r="A231" s="358" t="s">
        <v>476</v>
      </c>
    </row>
    <row r="233" spans="1:7">
      <c r="A233" s="357" t="s">
        <v>477</v>
      </c>
    </row>
    <row r="235" spans="1:7">
      <c r="A235" s="357" t="s">
        <v>479</v>
      </c>
    </row>
    <row r="236" spans="1:7">
      <c r="A236" s="357" t="s">
        <v>480</v>
      </c>
    </row>
    <row r="237" spans="1:7">
      <c r="A237" s="357" t="s">
        <v>481</v>
      </c>
    </row>
    <row r="238" spans="1:7">
      <c r="A238" s="357" t="s">
        <v>482</v>
      </c>
    </row>
    <row r="240" spans="1:7">
      <c r="A240" s="357" t="s">
        <v>485</v>
      </c>
    </row>
    <row r="242" spans="1:1">
      <c r="A242" s="357" t="s">
        <v>515</v>
      </c>
    </row>
    <row r="243" spans="1:1">
      <c r="A243" s="357" t="s">
        <v>516</v>
      </c>
    </row>
  </sheetData>
  <mergeCells count="2">
    <mergeCell ref="C15:I15"/>
    <mergeCell ref="A82:J82"/>
  </mergeCells>
  <phoneticPr fontId="0" type="noConversion"/>
  <pageMargins left="0.75" right="0.75" top="1" bottom="1" header="0.5" footer="0.5"/>
  <pageSetup scale="60" fitToHeight="10" orientation="portrait" horizontalDpi="300" verticalDpi="300" r:id="rId1"/>
  <headerFooter alignWithMargins="0">
    <oddHeader>&amp;C&amp;12Pacific Gas and Electric Company
Instructions for Running 
RSP Surcharge Allocation Model</oddHeader>
    <oddFooter>&amp;L&amp;D
&amp;T&amp;C&amp;12Page &amp;P&amp;R&amp;F
&amp;A</oddFooter>
  </headerFooter>
  <rowBreaks count="3" manualBreakCount="3">
    <brk id="69" max="13" man="1"/>
    <brk id="134" max="13" man="1"/>
    <brk id="195" max="1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A34"/>
  <sheetViews>
    <sheetView showGridLines="0" tabSelected="1" topLeftCell="E1" workbookViewId="0">
      <selection activeCell="G2" sqref="G2"/>
    </sheetView>
  </sheetViews>
  <sheetFormatPr defaultRowHeight="12.75"/>
  <cols>
    <col min="1" max="1" width="24.83203125" bestFit="1" customWidth="1"/>
    <col min="2" max="2" width="12.6640625" bestFit="1" customWidth="1"/>
    <col min="3" max="3" width="19" bestFit="1" customWidth="1"/>
    <col min="5" max="5" width="24" customWidth="1"/>
    <col min="6" max="6" width="2.5" bestFit="1" customWidth="1"/>
    <col min="7" max="7" width="12" bestFit="1" customWidth="1"/>
    <col min="8" max="8" width="20.6640625" bestFit="1" customWidth="1"/>
    <col min="9" max="9" width="17.1640625" customWidth="1"/>
    <col min="10" max="10" width="14.83203125" customWidth="1"/>
    <col min="11" max="11" width="18.83203125" bestFit="1" customWidth="1"/>
    <col min="12" max="12" width="3.6640625" customWidth="1"/>
    <col min="13" max="13" width="15.33203125" bestFit="1" customWidth="1"/>
    <col min="14" max="15" width="20.6640625" bestFit="1" customWidth="1"/>
    <col min="16" max="16" width="11.83203125" bestFit="1" customWidth="1"/>
    <col min="17" max="17" width="18.83203125" bestFit="1" customWidth="1"/>
    <col min="18" max="18" width="11.1640625" bestFit="1" customWidth="1"/>
    <col min="21" max="21" width="3.33203125" style="195" customWidth="1"/>
    <col min="22" max="22" width="16" customWidth="1"/>
  </cols>
  <sheetData>
    <row r="1" spans="1:23" ht="13.5" thickBot="1">
      <c r="A1" t="s">
        <v>215</v>
      </c>
      <c r="C1" s="196">
        <v>0.03</v>
      </c>
      <c r="F1" s="224"/>
      <c r="G1" s="427" t="s">
        <v>518</v>
      </c>
      <c r="H1" s="427"/>
      <c r="I1" s="427"/>
      <c r="J1" s="427"/>
      <c r="K1" s="427"/>
      <c r="L1" s="153"/>
      <c r="V1" s="311" t="s">
        <v>135</v>
      </c>
    </row>
    <row r="2" spans="1:23" ht="29.25" customHeight="1" thickBot="1">
      <c r="A2" t="s">
        <v>144</v>
      </c>
      <c r="G2" s="215" t="s">
        <v>181</v>
      </c>
      <c r="H2" s="233" t="s">
        <v>9</v>
      </c>
      <c r="I2" s="224" t="s">
        <v>182</v>
      </c>
      <c r="K2" s="208"/>
      <c r="L2" s="208"/>
      <c r="V2" s="311" t="s">
        <v>212</v>
      </c>
    </row>
    <row r="3" spans="1:23" ht="13.5" thickBot="1">
      <c r="F3" s="224" t="s">
        <v>28</v>
      </c>
      <c r="G3" s="230">
        <f>S_LF</f>
        <v>1.085</v>
      </c>
      <c r="H3" s="288">
        <f>'RSP Surch Allocations'!D134</f>
        <v>65090365718.25238</v>
      </c>
      <c r="I3" s="239">
        <f>H3*G3</f>
        <v>70623046804.303833</v>
      </c>
      <c r="J3" s="274">
        <f>$I$7*G3</f>
        <v>3.8569434685105937E-2</v>
      </c>
      <c r="K3" s="272">
        <f>J3*H3</f>
        <v>2510498609.1997938</v>
      </c>
      <c r="L3" s="272"/>
    </row>
    <row r="4" spans="1:23">
      <c r="A4" s="254" t="s">
        <v>173</v>
      </c>
      <c r="B4" s="255" t="s">
        <v>214</v>
      </c>
      <c r="C4" s="256">
        <f>surcharge*'Revenue Allocation'!Q130</f>
        <v>2459729127.8099999</v>
      </c>
      <c r="F4" s="224" t="s">
        <v>27</v>
      </c>
      <c r="G4" s="231">
        <f>P_LF</f>
        <v>1.06</v>
      </c>
      <c r="H4" s="288">
        <f>'RSP Surch Allocations'!D133</f>
        <v>7248366199.1652546</v>
      </c>
      <c r="I4" s="239">
        <f>H4*G4</f>
        <v>7683268171.1151705</v>
      </c>
      <c r="J4" s="275">
        <f>$I$7*G4</f>
        <v>3.7680738033375391E-2</v>
      </c>
      <c r="K4" s="272">
        <f>J4*H4</f>
        <v>273123787.92071885</v>
      </c>
      <c r="L4" s="272"/>
    </row>
    <row r="5" spans="1:23" ht="15.75" thickBot="1">
      <c r="A5" s="257" t="s">
        <v>218</v>
      </c>
      <c r="B5" s="262"/>
      <c r="C5" s="269"/>
      <c r="F5" s="224" t="s">
        <v>21</v>
      </c>
      <c r="G5" s="231">
        <f>T_LF</f>
        <v>1.02</v>
      </c>
      <c r="H5" s="289">
        <f>'RSP Surch Allocations'!D132</f>
        <v>7614027420.1981068</v>
      </c>
      <c r="I5" s="240">
        <f>H5*G5</f>
        <v>7766307968.6020689</v>
      </c>
      <c r="J5" s="276">
        <f>$I$7*G5</f>
        <v>3.6258823390606508E-2</v>
      </c>
      <c r="K5" s="273">
        <f>J5*H5</f>
        <v>276075675.52019846</v>
      </c>
      <c r="L5" s="273"/>
    </row>
    <row r="6" spans="1:23">
      <c r="A6" s="257" t="s">
        <v>219</v>
      </c>
      <c r="B6" s="262"/>
      <c r="C6" s="268">
        <f>SUM(C4:C5)</f>
        <v>2459729127.8099999</v>
      </c>
      <c r="F6" s="224"/>
      <c r="G6" s="228"/>
      <c r="H6" s="232">
        <f>SUM(H3:H5)</f>
        <v>79952759337.615738</v>
      </c>
      <c r="I6" s="232">
        <f>SUM(I3:I5)</f>
        <v>86072622944.021072</v>
      </c>
      <c r="J6" s="232"/>
      <c r="K6" s="234">
        <f>SUM(K3:K5)</f>
        <v>3059698072.6407108</v>
      </c>
      <c r="L6" s="234"/>
      <c r="V6" s="152" t="s">
        <v>221</v>
      </c>
    </row>
    <row r="7" spans="1:23">
      <c r="A7" s="257" t="s">
        <v>174</v>
      </c>
      <c r="B7" s="38"/>
      <c r="C7" s="258">
        <f>'RSP Surch Allocations'!D127</f>
        <v>79952759337.615753</v>
      </c>
      <c r="F7" s="224"/>
      <c r="G7" s="228"/>
      <c r="H7" s="227">
        <f>'RSP Surch Allocations'!E127</f>
        <v>3059698072.6407113</v>
      </c>
      <c r="I7" s="229">
        <f>H7/I6</f>
        <v>3.5547866069222063E-2</v>
      </c>
      <c r="K7" s="235">
        <f>K6/'Test Year 2001 Sales and Revs.'!F146</f>
        <v>3.7317500183699288E-2</v>
      </c>
      <c r="L7" s="235"/>
      <c r="W7" t="s">
        <v>199</v>
      </c>
    </row>
    <row r="8" spans="1:23" ht="13.5" thickBot="1">
      <c r="A8" s="259" t="s">
        <v>175</v>
      </c>
      <c r="B8" s="260"/>
      <c r="C8" s="424">
        <f>C6/C7+'Development of RRQ'!D39</f>
        <v>3.8268823965418801E-2</v>
      </c>
      <c r="F8" s="224"/>
      <c r="G8" s="228"/>
      <c r="H8" s="227"/>
      <c r="I8" s="229"/>
      <c r="K8" s="235"/>
      <c r="L8" s="235"/>
      <c r="N8" s="51"/>
      <c r="Q8" s="222"/>
      <c r="W8" t="s">
        <v>200</v>
      </c>
    </row>
    <row r="9" spans="1:23" ht="13.5" thickBot="1">
      <c r="A9" s="38"/>
      <c r="B9" s="38"/>
      <c r="C9" s="236"/>
      <c r="D9" s="222"/>
      <c r="F9" s="224"/>
      <c r="G9" s="427" t="s">
        <v>213</v>
      </c>
      <c r="H9" s="427"/>
      <c r="I9" s="427"/>
      <c r="J9" s="427"/>
      <c r="K9" s="427"/>
      <c r="L9" s="235"/>
      <c r="V9" s="314" t="s">
        <v>222</v>
      </c>
      <c r="W9">
        <v>1</v>
      </c>
    </row>
    <row r="10" spans="1:23" ht="13.5" thickBot="1">
      <c r="A10" s="263" t="s">
        <v>186</v>
      </c>
      <c r="B10" s="264"/>
      <c r="C10" s="265"/>
      <c r="D10" s="222"/>
      <c r="F10" s="224"/>
      <c r="G10" s="215" t="s">
        <v>181</v>
      </c>
      <c r="H10" s="233" t="s">
        <v>9</v>
      </c>
      <c r="I10" s="224" t="s">
        <v>182</v>
      </c>
      <c r="K10" s="208"/>
      <c r="L10" s="235"/>
    </row>
    <row r="11" spans="1:23">
      <c r="A11" s="266" t="s">
        <v>160</v>
      </c>
      <c r="B11" s="38"/>
      <c r="C11" s="267">
        <f>CHOOSE(gen_choice,'Generation Calculations'!M130,'Generation Calculations'!N130)</f>
        <v>4763623622</v>
      </c>
      <c r="D11" s="222"/>
      <c r="F11" s="224"/>
      <c r="G11" s="230">
        <f>S_LF</f>
        <v>1.085</v>
      </c>
      <c r="H11" s="288">
        <f>'RSP Surch Allocations'!D134</f>
        <v>65090365718.25238</v>
      </c>
      <c r="I11" s="239">
        <f>H11*G11</f>
        <v>70623046804.303833</v>
      </c>
      <c r="J11" s="274">
        <f>$I$15*G11</f>
        <v>9.9655961445600114E-2</v>
      </c>
      <c r="K11" s="272">
        <f>J11*H11</f>
        <v>6486642976.4981709</v>
      </c>
      <c r="L11" s="235"/>
    </row>
    <row r="12" spans="1:23">
      <c r="A12" s="266" t="s">
        <v>216</v>
      </c>
      <c r="B12" s="38"/>
      <c r="C12" s="267">
        <f>'Revenue Allocation'!M130</f>
        <v>799527593.37615752</v>
      </c>
      <c r="D12" s="222"/>
      <c r="F12" s="224"/>
      <c r="G12" s="231">
        <f>P_LF</f>
        <v>1.06</v>
      </c>
      <c r="H12" s="288">
        <f>'RSP Surch Allocations'!D133</f>
        <v>7248366199.1652546</v>
      </c>
      <c r="I12" s="239">
        <f>H12*G12</f>
        <v>7683268171.1151705</v>
      </c>
      <c r="J12" s="275">
        <f>$I$15*G12</f>
        <v>9.7359741135793668E-2</v>
      </c>
      <c r="K12" s="272">
        <f>J12*H12</f>
        <v>705699056.80816579</v>
      </c>
      <c r="L12" s="235"/>
    </row>
    <row r="13" spans="1:23" ht="15.75" thickBot="1">
      <c r="A13" s="266" t="s">
        <v>217</v>
      </c>
      <c r="B13" s="38"/>
      <c r="C13" s="389">
        <f>C6</f>
        <v>2459729127.8099999</v>
      </c>
      <c r="D13" s="222"/>
      <c r="F13" s="224"/>
      <c r="G13" s="231">
        <f>T_LF</f>
        <v>1.02</v>
      </c>
      <c r="H13" s="289">
        <f>'RSP Surch Allocations'!D132</f>
        <v>7614027420.1981068</v>
      </c>
      <c r="I13" s="271">
        <f>H13*G13</f>
        <v>7766307968.6020689</v>
      </c>
      <c r="J13" s="276">
        <f>$I$15*G13</f>
        <v>9.3685788640103337E-2</v>
      </c>
      <c r="K13" s="273">
        <f>J13*H13</f>
        <v>713326163.58863115</v>
      </c>
      <c r="L13" s="235"/>
    </row>
    <row r="14" spans="1:23">
      <c r="A14" s="266" t="s">
        <v>470</v>
      </c>
      <c r="B14" s="38"/>
      <c r="C14" s="269">
        <f>CHOOSE(gen_choice,'Generation Calculations'!K130,'Generation Calculations'!L130)</f>
        <v>117212146.29118939</v>
      </c>
      <c r="F14" s="224"/>
      <c r="G14" s="228"/>
      <c r="H14" s="232">
        <f>SUM(H11:H13)</f>
        <v>79952759337.615738</v>
      </c>
      <c r="I14" s="232">
        <f>SUM(I11:I13)</f>
        <v>86072622944.021072</v>
      </c>
      <c r="J14" s="232"/>
      <c r="K14" s="234">
        <f>SUM(K11:K13)</f>
        <v>7905668196.894968</v>
      </c>
      <c r="L14" s="235"/>
    </row>
    <row r="15" spans="1:23">
      <c r="A15" s="270" t="s">
        <v>186</v>
      </c>
      <c r="B15" s="38"/>
      <c r="C15" s="268">
        <f>SUM(C11:C13)-C14</f>
        <v>7905668196.894968</v>
      </c>
      <c r="F15" s="224"/>
      <c r="G15" s="228"/>
      <c r="H15" s="227">
        <f>C15</f>
        <v>7905668196.894968</v>
      </c>
      <c r="I15" s="229">
        <f>H15/I14</f>
        <v>9.1848812392258172E-2</v>
      </c>
      <c r="K15" s="235">
        <f>K14/'Test Year 2001 Sales and Revs.'!F146</f>
        <v>9.64212047678525E-2</v>
      </c>
      <c r="L15" s="235"/>
    </row>
    <row r="16" spans="1:23">
      <c r="A16" s="270" t="s">
        <v>189</v>
      </c>
      <c r="B16" s="38"/>
      <c r="C16" s="312">
        <f>C15/$C$7+'Development of RRQ'!D39</f>
        <v>0.10638328448189019</v>
      </c>
      <c r="F16" s="224"/>
      <c r="G16" s="228"/>
      <c r="H16" s="227"/>
      <c r="I16" s="229"/>
      <c r="K16" s="235"/>
      <c r="L16" s="235"/>
      <c r="V16" s="152" t="s">
        <v>136</v>
      </c>
    </row>
    <row r="17" spans="1:27" ht="13.5" thickBot="1">
      <c r="A17" s="259" t="s">
        <v>188</v>
      </c>
      <c r="B17" s="260"/>
      <c r="C17" s="261">
        <f>C15/'Revenue Allocation'!$Q$130</f>
        <v>9.6421204768189855E-2</v>
      </c>
      <c r="F17" s="117"/>
      <c r="H17" s="237"/>
      <c r="I17" s="224"/>
      <c r="K17" s="38"/>
      <c r="L17" s="38"/>
    </row>
    <row r="18" spans="1:27" ht="13.5" thickBot="1">
      <c r="F18" s="117"/>
      <c r="H18" s="152"/>
      <c r="V18" t="s">
        <v>137</v>
      </c>
      <c r="Y18" t="s">
        <v>223</v>
      </c>
      <c r="AA18" s="194">
        <v>1</v>
      </c>
    </row>
    <row r="19" spans="1:27" ht="13.5">
      <c r="A19" s="152" t="s">
        <v>134</v>
      </c>
      <c r="H19" s="409"/>
      <c r="V19" t="s">
        <v>207</v>
      </c>
    </row>
    <row r="20" spans="1:27">
      <c r="H20" s="38"/>
      <c r="J20" s="410"/>
      <c r="K20" s="410"/>
      <c r="V20" t="s">
        <v>206</v>
      </c>
    </row>
    <row r="21" spans="1:27">
      <c r="A21" s="152" t="s">
        <v>220</v>
      </c>
      <c r="I21" s="410"/>
      <c r="J21" s="410"/>
      <c r="K21" s="410"/>
      <c r="V21" t="s">
        <v>208</v>
      </c>
    </row>
    <row r="22" spans="1:27">
      <c r="I22" s="410"/>
      <c r="J22" s="411"/>
      <c r="K22" s="411"/>
      <c r="V22" t="s">
        <v>384</v>
      </c>
    </row>
    <row r="23" spans="1:27" ht="13.5" thickBot="1">
      <c r="A23" s="152" t="s">
        <v>141</v>
      </c>
      <c r="I23" s="410"/>
      <c r="J23" s="326"/>
      <c r="K23" s="326"/>
      <c r="M23" s="326"/>
      <c r="V23" t="s">
        <v>386</v>
      </c>
    </row>
    <row r="24" spans="1:27" ht="13.5" thickBot="1">
      <c r="A24" t="s">
        <v>114</v>
      </c>
      <c r="C24" s="196">
        <v>1.02</v>
      </c>
      <c r="I24" s="410"/>
      <c r="V24" t="s">
        <v>302</v>
      </c>
    </row>
    <row r="25" spans="1:27" ht="13.5" thickBot="1">
      <c r="A25" t="s">
        <v>142</v>
      </c>
      <c r="C25" s="196">
        <v>1.06</v>
      </c>
      <c r="I25" s="410"/>
      <c r="K25" s="234"/>
      <c r="V25" t="s">
        <v>303</v>
      </c>
    </row>
    <row r="26" spans="1:27" ht="13.5" thickBot="1">
      <c r="A26" t="s">
        <v>10</v>
      </c>
      <c r="C26" s="196">
        <v>1.085</v>
      </c>
      <c r="K26" s="326"/>
      <c r="V26" t="s">
        <v>304</v>
      </c>
    </row>
    <row r="27" spans="1:27">
      <c r="I27" s="410"/>
      <c r="K27" s="343"/>
      <c r="V27" t="s">
        <v>385</v>
      </c>
    </row>
    <row r="28" spans="1:27">
      <c r="K28" s="326"/>
    </row>
    <row r="29" spans="1:27" ht="13.5">
      <c r="H29" s="409"/>
      <c r="I29" s="410"/>
      <c r="K29" s="412"/>
    </row>
    <row r="30" spans="1:27">
      <c r="A30" t="s">
        <v>168</v>
      </c>
      <c r="I30" s="410"/>
    </row>
    <row r="31" spans="1:27">
      <c r="A31" s="209" t="s">
        <v>171</v>
      </c>
      <c r="I31" s="410"/>
    </row>
    <row r="32" spans="1:27">
      <c r="A32" s="210" t="s">
        <v>169</v>
      </c>
      <c r="I32" s="410"/>
    </row>
    <row r="33" spans="1:9">
      <c r="A33" s="207" t="s">
        <v>170</v>
      </c>
      <c r="I33" s="410"/>
    </row>
    <row r="34" spans="1:9">
      <c r="A34" s="313" t="s">
        <v>172</v>
      </c>
    </row>
  </sheetData>
  <mergeCells count="2">
    <mergeCell ref="G1:K1"/>
    <mergeCell ref="G9:K9"/>
  </mergeCells>
  <phoneticPr fontId="0" type="noConversion"/>
  <pageMargins left="0.75" right="0.75" top="1.1100000000000001" bottom="1" header="0.45" footer="0.5"/>
  <pageSetup fitToWidth="0" orientation="portrait" horizontalDpi="300" verticalDpi="300" r:id="rId1"/>
  <headerFooter alignWithMargins="0">
    <oddHeader>&amp;CPacific Gas and Electric Company
Revenue Allocation Workpapers for the 3¢ Surcharge
&amp;A
Assumptions for Allocation of RSP  Surcharge</oddHeader>
    <oddFooter>&amp;L&amp;D
&amp;T&amp;R&amp;F
&amp;A</oddFooter>
  </headerFooter>
  <colBreaks count="1" manualBreakCount="1">
    <brk id="5" max="26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Drop Down 1">
              <controlPr defaultSize="0" autoLine="0" autoPict="0">
                <anchor moveWithCells="1">
                  <from>
                    <xdr:col>1</xdr:col>
                    <xdr:colOff>161925</xdr:colOff>
                    <xdr:row>18</xdr:row>
                    <xdr:rowOff>19050</xdr:rowOff>
                  </from>
                  <to>
                    <xdr:col>4</xdr:col>
                    <xdr:colOff>1162050</xdr:colOff>
                    <xdr:row>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5" name="Drop Down 7">
              <controlPr defaultSize="0" autoLine="0" autoPict="0">
                <anchor moveWithCells="1">
                  <from>
                    <xdr:col>3</xdr:col>
                    <xdr:colOff>85725</xdr:colOff>
                    <xdr:row>20</xdr:row>
                    <xdr:rowOff>19050</xdr:rowOff>
                  </from>
                  <to>
                    <xdr:col>4</xdr:col>
                    <xdr:colOff>1314450</xdr:colOff>
                    <xdr:row>21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155"/>
  <sheetViews>
    <sheetView workbookViewId="0"/>
  </sheetViews>
  <sheetFormatPr defaultRowHeight="12.75"/>
  <cols>
    <col min="1" max="1" width="17.83203125" style="117" customWidth="1"/>
    <col min="2" max="2" width="2.6640625" style="117" customWidth="1"/>
    <col min="3" max="3" width="11" bestFit="1" customWidth="1"/>
    <col min="4" max="6" width="12.33203125" customWidth="1"/>
    <col min="7" max="7" width="11" customWidth="1"/>
    <col min="8" max="8" width="13.33203125" customWidth="1"/>
    <col min="9" max="9" width="14.1640625" customWidth="1"/>
    <col min="10" max="10" width="12.33203125" customWidth="1"/>
    <col min="11" max="11" width="11.1640625" customWidth="1"/>
    <col min="12" max="12" width="12.33203125" customWidth="1"/>
    <col min="13" max="13" width="11.1640625" customWidth="1"/>
    <col min="14" max="14" width="3.5" customWidth="1"/>
    <col min="15" max="17" width="12.33203125" customWidth="1"/>
    <col min="18" max="18" width="11" customWidth="1"/>
    <col min="19" max="19" width="13.33203125" customWidth="1"/>
    <col min="20" max="20" width="14.1640625" customWidth="1"/>
    <col min="21" max="21" width="12.33203125" customWidth="1"/>
    <col min="22" max="22" width="11" customWidth="1"/>
    <col min="23" max="23" width="12.33203125" customWidth="1"/>
    <col min="24" max="24" width="11" customWidth="1"/>
    <col min="26" max="26" width="9.33203125" style="309"/>
  </cols>
  <sheetData>
    <row r="1" spans="1:26">
      <c r="C1" s="427" t="s">
        <v>224</v>
      </c>
      <c r="D1" s="427"/>
      <c r="E1" s="427"/>
      <c r="F1" s="427"/>
      <c r="G1" s="427"/>
      <c r="H1" s="427"/>
      <c r="I1" s="427"/>
      <c r="J1" s="427"/>
      <c r="K1" s="427"/>
      <c r="L1" s="427"/>
      <c r="M1" s="427"/>
      <c r="N1" s="153"/>
      <c r="O1" s="427" t="s">
        <v>205</v>
      </c>
      <c r="P1" s="427"/>
      <c r="Q1" s="427"/>
      <c r="R1" s="427"/>
      <c r="S1" s="427"/>
      <c r="T1" s="427"/>
      <c r="U1" s="427"/>
      <c r="V1" s="427"/>
      <c r="W1" s="153"/>
      <c r="X1" s="153"/>
    </row>
    <row r="2" spans="1:26">
      <c r="D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Q2" s="201"/>
      <c r="R2" s="201"/>
      <c r="S2" s="201"/>
      <c r="T2" s="201"/>
      <c r="U2" s="201"/>
      <c r="V2" s="201"/>
      <c r="W2" s="201"/>
      <c r="X2" s="201"/>
    </row>
    <row r="3" spans="1:26">
      <c r="D3" s="201"/>
      <c r="F3" s="428">
        <v>1999</v>
      </c>
      <c r="G3" s="428"/>
      <c r="H3" s="428">
        <v>2000</v>
      </c>
      <c r="I3" s="428"/>
      <c r="J3" s="201"/>
      <c r="L3" s="201"/>
      <c r="O3" s="201"/>
      <c r="Q3" s="428">
        <v>1999</v>
      </c>
      <c r="R3" s="428"/>
      <c r="S3" s="428">
        <v>2000</v>
      </c>
      <c r="T3" s="428"/>
      <c r="U3" s="201"/>
      <c r="W3" s="201"/>
    </row>
    <row r="4" spans="1:26">
      <c r="A4" s="73"/>
      <c r="B4" s="73" t="s">
        <v>0</v>
      </c>
      <c r="D4" s="152" t="s">
        <v>155</v>
      </c>
      <c r="F4" s="427" t="s">
        <v>138</v>
      </c>
      <c r="G4" s="427"/>
      <c r="H4" s="427" t="s">
        <v>138</v>
      </c>
      <c r="I4" s="427"/>
      <c r="J4" s="427" t="s">
        <v>209</v>
      </c>
      <c r="K4" s="427"/>
      <c r="L4" s="427" t="s">
        <v>387</v>
      </c>
      <c r="M4" s="427"/>
      <c r="N4" s="153"/>
      <c r="O4" s="152" t="s">
        <v>155</v>
      </c>
      <c r="Q4" s="427" t="s">
        <v>138</v>
      </c>
      <c r="R4" s="427"/>
      <c r="S4" s="427" t="s">
        <v>138</v>
      </c>
      <c r="T4" s="427"/>
      <c r="U4" s="427" t="s">
        <v>209</v>
      </c>
      <c r="V4" s="427"/>
      <c r="W4" s="427" t="s">
        <v>387</v>
      </c>
      <c r="X4" s="427"/>
      <c r="Z4" s="146" t="str">
        <f>CHOOSE(allocation_method,"equal ¢","99 Loads","00 Loads","¢ by volt","100 Hrs","G equal ¢","G 99 Loads","G 00 Loads","G ¢ by volt","G 100 hrs")</f>
        <v>equal ¢</v>
      </c>
    </row>
    <row r="5" spans="1:26">
      <c r="A5" s="76"/>
      <c r="B5" s="73" t="s">
        <v>5</v>
      </c>
      <c r="C5" s="153" t="s">
        <v>151</v>
      </c>
      <c r="D5" s="153" t="s">
        <v>152</v>
      </c>
      <c r="E5" s="153" t="s">
        <v>154</v>
      </c>
      <c r="F5" s="153" t="s">
        <v>152</v>
      </c>
      <c r="G5" s="153" t="s">
        <v>154</v>
      </c>
      <c r="H5" s="153" t="s">
        <v>152</v>
      </c>
      <c r="I5" s="153" t="s">
        <v>154</v>
      </c>
      <c r="J5" s="153" t="s">
        <v>152</v>
      </c>
      <c r="K5" s="153" t="s">
        <v>154</v>
      </c>
      <c r="L5" s="153" t="s">
        <v>152</v>
      </c>
      <c r="M5" s="153" t="s">
        <v>154</v>
      </c>
      <c r="N5" s="153"/>
      <c r="O5" s="153" t="s">
        <v>152</v>
      </c>
      <c r="P5" s="153" t="s">
        <v>154</v>
      </c>
      <c r="Q5" s="153" t="s">
        <v>152</v>
      </c>
      <c r="R5" s="153" t="s">
        <v>154</v>
      </c>
      <c r="S5" s="153" t="s">
        <v>152</v>
      </c>
      <c r="T5" s="153" t="s">
        <v>154</v>
      </c>
      <c r="U5" s="153" t="s">
        <v>152</v>
      </c>
      <c r="V5" s="153" t="s">
        <v>154</v>
      </c>
      <c r="W5" s="153" t="s">
        <v>152</v>
      </c>
      <c r="X5" s="153" t="s">
        <v>154</v>
      </c>
      <c r="Z5" s="309" t="s">
        <v>157</v>
      </c>
    </row>
    <row r="6" spans="1:26">
      <c r="A6" s="77" t="s">
        <v>20</v>
      </c>
      <c r="B6" s="77" t="s">
        <v>11</v>
      </c>
      <c r="C6" s="203" t="s">
        <v>117</v>
      </c>
      <c r="D6" s="203" t="s">
        <v>153</v>
      </c>
      <c r="E6" s="203" t="s">
        <v>124</v>
      </c>
      <c r="F6" s="203" t="s">
        <v>153</v>
      </c>
      <c r="G6" s="203" t="s">
        <v>124</v>
      </c>
      <c r="H6" s="203" t="s">
        <v>153</v>
      </c>
      <c r="I6" s="203" t="s">
        <v>124</v>
      </c>
      <c r="J6" s="203" t="s">
        <v>153</v>
      </c>
      <c r="K6" s="203" t="s">
        <v>124</v>
      </c>
      <c r="L6" s="203" t="s">
        <v>153</v>
      </c>
      <c r="M6" s="203" t="s">
        <v>124</v>
      </c>
      <c r="N6" s="203"/>
      <c r="O6" s="203" t="s">
        <v>153</v>
      </c>
      <c r="P6" s="203" t="s">
        <v>124</v>
      </c>
      <c r="Q6" s="203" t="s">
        <v>153</v>
      </c>
      <c r="R6" s="203" t="s">
        <v>124</v>
      </c>
      <c r="S6" s="203" t="s">
        <v>153</v>
      </c>
      <c r="T6" s="203" t="s">
        <v>124</v>
      </c>
      <c r="U6" s="203" t="s">
        <v>153</v>
      </c>
      <c r="V6" s="203" t="s">
        <v>124</v>
      </c>
      <c r="W6" s="203" t="s">
        <v>153</v>
      </c>
      <c r="X6" s="203" t="s">
        <v>124</v>
      </c>
      <c r="Z6" s="309" t="s">
        <v>227</v>
      </c>
    </row>
    <row r="7" spans="1:26">
      <c r="A7" s="72"/>
      <c r="B7" s="77" t="s">
        <v>21</v>
      </c>
    </row>
    <row r="8" spans="1:26">
      <c r="A8" s="72"/>
      <c r="B8" s="72"/>
    </row>
    <row r="9" spans="1:26">
      <c r="A9" s="81" t="s">
        <v>99</v>
      </c>
      <c r="B9" s="73"/>
    </row>
    <row r="10" spans="1:26">
      <c r="A10" s="2" t="s">
        <v>130</v>
      </c>
      <c r="B10" s="73" t="s">
        <v>28</v>
      </c>
      <c r="C10" s="204">
        <f>'Revenue Allocation'!$AG8</f>
        <v>12.049479268701621</v>
      </c>
      <c r="D10" s="204">
        <v>15.125957364252177</v>
      </c>
      <c r="E10" s="154">
        <f t="shared" ref="E10:E15" si="0">(D10-$C10)/$C10</f>
        <v>0.25532041899450969</v>
      </c>
      <c r="F10" s="204">
        <v>15.199778236227992</v>
      </c>
      <c r="G10" s="154">
        <f t="shared" ref="G10:G15" si="1">(F10-$C10)/$C10</f>
        <v>0.26144689718743575</v>
      </c>
      <c r="H10" s="204">
        <v>15.383678992322139</v>
      </c>
      <c r="I10" s="154">
        <f t="shared" ref="I10:I15" si="2">(H10-$C10)/$C10</f>
        <v>0.27670903026332949</v>
      </c>
      <c r="J10" s="204">
        <v>15.150123831850996</v>
      </c>
      <c r="K10" s="154">
        <f t="shared" ref="K10:M15" si="3">(J10-$C10)/$C10</f>
        <v>0.25732602164835972</v>
      </c>
      <c r="L10" s="204">
        <v>15.783928005943478</v>
      </c>
      <c r="M10" s="154">
        <f t="shared" si="3"/>
        <v>0.3099261514928735</v>
      </c>
      <c r="N10" s="154"/>
      <c r="O10" s="204">
        <v>14.642570611988107</v>
      </c>
      <c r="P10" s="154">
        <f t="shared" ref="P10:P15" si="4">(O10-$C10)/$C10</f>
        <v>0.21520360220229687</v>
      </c>
      <c r="Q10" s="204">
        <v>14.879833859086322</v>
      </c>
      <c r="R10" s="154">
        <f t="shared" ref="R10:R15" si="5">(Q10-$C10)/$C10</f>
        <v>0.2348943491472294</v>
      </c>
      <c r="S10" s="204">
        <v>15.470898274432274</v>
      </c>
      <c r="T10" s="154">
        <f t="shared" ref="T10:T15" si="6">(S10-$C10)/$C10</f>
        <v>0.28394745776423291</v>
      </c>
      <c r="U10" s="204">
        <v>14.72024260935042</v>
      </c>
      <c r="V10" s="154">
        <f t="shared" ref="V10:X15" si="7">(U10-$C10)/$C10</f>
        <v>0.22164968967464635</v>
      </c>
      <c r="W10" s="204">
        <v>16.757314677787242</v>
      </c>
      <c r="X10" s="154">
        <f t="shared" si="7"/>
        <v>0.39070861936035428</v>
      </c>
      <c r="Z10" s="310">
        <f>'Revenue Allocation'!$AC8</f>
        <v>15.876361665243502</v>
      </c>
    </row>
    <row r="11" spans="1:26">
      <c r="A11" s="2" t="s">
        <v>131</v>
      </c>
      <c r="B11" s="73" t="s">
        <v>28</v>
      </c>
      <c r="C11" s="204">
        <f>'Revenue Allocation'!$AG9</f>
        <v>8.7453398568024365</v>
      </c>
      <c r="D11" s="204">
        <v>8.7453398568024365</v>
      </c>
      <c r="E11" s="154">
        <f t="shared" si="0"/>
        <v>0</v>
      </c>
      <c r="F11" s="204">
        <v>8.7453398568024365</v>
      </c>
      <c r="G11" s="154">
        <f t="shared" si="1"/>
        <v>0</v>
      </c>
      <c r="H11" s="204">
        <v>8.7453398568024365</v>
      </c>
      <c r="I11" s="154">
        <f t="shared" si="2"/>
        <v>0</v>
      </c>
      <c r="J11" s="204">
        <v>8.7453398568024365</v>
      </c>
      <c r="K11" s="154">
        <f t="shared" si="3"/>
        <v>0</v>
      </c>
      <c r="L11" s="204">
        <v>8.7453398568024365</v>
      </c>
      <c r="M11" s="154">
        <f t="shared" si="3"/>
        <v>0</v>
      </c>
      <c r="N11" s="154"/>
      <c r="O11" s="204">
        <v>8.7453398568024365</v>
      </c>
      <c r="P11" s="154">
        <f t="shared" si="4"/>
        <v>0</v>
      </c>
      <c r="Q11" s="204">
        <v>8.7453398568024365</v>
      </c>
      <c r="R11" s="154">
        <f t="shared" si="5"/>
        <v>0</v>
      </c>
      <c r="S11" s="204">
        <v>8.7453398568024365</v>
      </c>
      <c r="T11" s="154">
        <f t="shared" si="6"/>
        <v>0</v>
      </c>
      <c r="U11" s="204">
        <v>8.7453398568024365</v>
      </c>
      <c r="V11" s="154">
        <f t="shared" si="7"/>
        <v>0</v>
      </c>
      <c r="W11" s="204">
        <v>8.7453398568024365</v>
      </c>
      <c r="X11" s="154">
        <f t="shared" si="7"/>
        <v>0</v>
      </c>
      <c r="Z11" s="310">
        <f>'Revenue Allocation'!$AC9</f>
        <v>8.7453398568024365</v>
      </c>
    </row>
    <row r="12" spans="1:26">
      <c r="A12" s="2" t="s">
        <v>29</v>
      </c>
      <c r="B12" s="73" t="s">
        <v>28</v>
      </c>
      <c r="C12" s="204">
        <f>'Revenue Allocation'!$AG10</f>
        <v>10.109229700288306</v>
      </c>
      <c r="D12" s="204">
        <v>13.150587045169321</v>
      </c>
      <c r="E12" s="154">
        <f t="shared" si="0"/>
        <v>0.30084956372039673</v>
      </c>
      <c r="F12" s="204">
        <v>13.167869171183069</v>
      </c>
      <c r="G12" s="154">
        <f t="shared" si="1"/>
        <v>0.30255910307464207</v>
      </c>
      <c r="H12" s="204">
        <v>13.123890206947303</v>
      </c>
      <c r="I12" s="154">
        <f t="shared" si="2"/>
        <v>0.2982087256928212</v>
      </c>
      <c r="J12" s="204">
        <v>13.174477630913387</v>
      </c>
      <c r="K12" s="154">
        <f t="shared" si="3"/>
        <v>0.30321280864136091</v>
      </c>
      <c r="L12" s="204">
        <v>12.991590449506701</v>
      </c>
      <c r="M12" s="154">
        <f t="shared" si="3"/>
        <v>0.2851216991474822</v>
      </c>
      <c r="N12" s="154"/>
      <c r="O12" s="204">
        <v>14.107579550931378</v>
      </c>
      <c r="P12" s="154">
        <f t="shared" si="4"/>
        <v>0.39551478887941799</v>
      </c>
      <c r="Q12" s="204">
        <v>14.107833224399032</v>
      </c>
      <c r="R12" s="154">
        <f t="shared" si="5"/>
        <v>0.39553988213332308</v>
      </c>
      <c r="S12" s="204">
        <v>13.966483067196705</v>
      </c>
      <c r="T12" s="154">
        <f t="shared" si="6"/>
        <v>0.38155759452160765</v>
      </c>
      <c r="U12" s="204">
        <v>14.129073079361005</v>
      </c>
      <c r="V12" s="154">
        <f t="shared" si="7"/>
        <v>0.3976409180768794</v>
      </c>
      <c r="W12" s="204">
        <v>13.541266333764634</v>
      </c>
      <c r="X12" s="154">
        <f t="shared" si="7"/>
        <v>0.33949536564377886</v>
      </c>
      <c r="Z12" s="310">
        <f>'Revenue Allocation'!$AC10</f>
        <v>13.892424809511292</v>
      </c>
    </row>
    <row r="13" spans="1:26">
      <c r="A13" s="2" t="s">
        <v>132</v>
      </c>
      <c r="B13" s="73" t="s">
        <v>28</v>
      </c>
      <c r="C13" s="204">
        <f>'Revenue Allocation'!$AG11</f>
        <v>10.406683071048221</v>
      </c>
      <c r="D13" s="204">
        <v>13.483161166598773</v>
      </c>
      <c r="E13" s="154">
        <f t="shared" si="0"/>
        <v>0.29562523183870454</v>
      </c>
      <c r="F13" s="204">
        <v>13.556982038574592</v>
      </c>
      <c r="G13" s="154">
        <f t="shared" si="1"/>
        <v>0.30271883423553275</v>
      </c>
      <c r="H13" s="204">
        <v>13.740882794668737</v>
      </c>
      <c r="I13" s="154">
        <f t="shared" si="2"/>
        <v>0.32039024354420709</v>
      </c>
      <c r="J13" s="204">
        <v>13.507327634197591</v>
      </c>
      <c r="K13" s="154">
        <f t="shared" si="3"/>
        <v>0.29794743838942095</v>
      </c>
      <c r="L13" s="204">
        <v>14.141131808290075</v>
      </c>
      <c r="M13" s="154">
        <f t="shared" si="3"/>
        <v>0.3588510106194383</v>
      </c>
      <c r="N13" s="154"/>
      <c r="O13" s="204">
        <v>13.763303216933224</v>
      </c>
      <c r="P13" s="154">
        <f t="shared" si="4"/>
        <v>0.32254466893714145</v>
      </c>
      <c r="Q13" s="204">
        <v>14.000566464031438</v>
      </c>
      <c r="R13" s="154">
        <f t="shared" si="5"/>
        <v>0.3453437919120968</v>
      </c>
      <c r="S13" s="204">
        <v>14.591630879377391</v>
      </c>
      <c r="T13" s="154">
        <f t="shared" si="6"/>
        <v>0.40214041109523652</v>
      </c>
      <c r="U13" s="204">
        <v>13.840975214295536</v>
      </c>
      <c r="V13" s="154">
        <f t="shared" si="7"/>
        <v>0.33000833404849655</v>
      </c>
      <c r="W13" s="204">
        <v>15.878047282732361</v>
      </c>
      <c r="X13" s="154">
        <f t="shared" si="7"/>
        <v>0.52575486101865432</v>
      </c>
      <c r="Z13" s="310">
        <f>'Revenue Allocation'!$AC11</f>
        <v>14.233565467590099</v>
      </c>
    </row>
    <row r="14" spans="1:26">
      <c r="A14" s="2" t="s">
        <v>133</v>
      </c>
      <c r="B14" s="73" t="s">
        <v>28</v>
      </c>
      <c r="C14" s="205">
        <f>'Revenue Allocation'!$AG12</f>
        <v>8.0891929623068055</v>
      </c>
      <c r="D14" s="205">
        <v>8.0891929623068055</v>
      </c>
      <c r="E14" s="198">
        <f t="shared" si="0"/>
        <v>0</v>
      </c>
      <c r="F14" s="205">
        <v>8.0891929623068055</v>
      </c>
      <c r="G14" s="198">
        <f t="shared" si="1"/>
        <v>0</v>
      </c>
      <c r="H14" s="205">
        <v>8.0891929623068055</v>
      </c>
      <c r="I14" s="198">
        <f t="shared" si="2"/>
        <v>0</v>
      </c>
      <c r="J14" s="205">
        <v>8.0891929623068055</v>
      </c>
      <c r="K14" s="198">
        <f t="shared" si="3"/>
        <v>0</v>
      </c>
      <c r="L14" s="205">
        <v>8.0891929623068055</v>
      </c>
      <c r="M14" s="198">
        <f t="shared" si="3"/>
        <v>0</v>
      </c>
      <c r="N14" s="198"/>
      <c r="O14" s="205">
        <v>8.0891929623068055</v>
      </c>
      <c r="P14" s="198">
        <f t="shared" si="4"/>
        <v>0</v>
      </c>
      <c r="Q14" s="205">
        <v>8.0891929623068055</v>
      </c>
      <c r="R14" s="198">
        <f t="shared" si="5"/>
        <v>0</v>
      </c>
      <c r="S14" s="205">
        <v>8.0891929623068055</v>
      </c>
      <c r="T14" s="198">
        <f t="shared" si="6"/>
        <v>0</v>
      </c>
      <c r="U14" s="205">
        <v>8.0891929623068055</v>
      </c>
      <c r="V14" s="198">
        <f t="shared" si="7"/>
        <v>0</v>
      </c>
      <c r="W14" s="205">
        <v>8.0891929623068055</v>
      </c>
      <c r="X14" s="198">
        <f t="shared" si="7"/>
        <v>0</v>
      </c>
      <c r="Z14" s="310">
        <f>'Revenue Allocation'!$AC12</f>
        <v>8.0891929623068055</v>
      </c>
    </row>
    <row r="15" spans="1:26">
      <c r="A15" s="81" t="s">
        <v>30</v>
      </c>
      <c r="B15" s="73"/>
      <c r="C15" s="204">
        <f>'Revenue Allocation'!$AG13</f>
        <v>11.606402923888492</v>
      </c>
      <c r="D15" s="204">
        <v>14.466064396144091</v>
      </c>
      <c r="E15" s="154">
        <f t="shared" si="0"/>
        <v>0.24638654120561299</v>
      </c>
      <c r="F15" s="204">
        <v>14.532341039537112</v>
      </c>
      <c r="G15" s="154">
        <f t="shared" si="1"/>
        <v>0.25209689296813964</v>
      </c>
      <c r="H15" s="204">
        <v>14.69378867170186</v>
      </c>
      <c r="I15" s="154">
        <f t="shared" si="2"/>
        <v>0.26600711418167805</v>
      </c>
      <c r="J15" s="204">
        <v>14.488527717567637</v>
      </c>
      <c r="K15" s="154">
        <f t="shared" si="3"/>
        <v>0.24832196612329455</v>
      </c>
      <c r="L15" s="204">
        <v>15.043631757349363</v>
      </c>
      <c r="M15" s="154">
        <f t="shared" si="3"/>
        <v>0.29614936307150852</v>
      </c>
      <c r="N15" s="154"/>
      <c r="O15" s="204">
        <v>14.136573491724485</v>
      </c>
      <c r="P15" s="154">
        <f t="shared" si="4"/>
        <v>0.2179978227904146</v>
      </c>
      <c r="Q15" s="204">
        <v>14.347264622192412</v>
      </c>
      <c r="R15" s="154">
        <f t="shared" si="5"/>
        <v>0.23615083125044994</v>
      </c>
      <c r="S15" s="204">
        <v>14.866163795535634</v>
      </c>
      <c r="T15" s="154">
        <f t="shared" si="6"/>
        <v>0.28085884085049706</v>
      </c>
      <c r="U15" s="204">
        <v>14.206446845885971</v>
      </c>
      <c r="V15" s="154">
        <f t="shared" si="7"/>
        <v>0.22401806477405889</v>
      </c>
      <c r="W15" s="204">
        <v>15.990573522134074</v>
      </c>
      <c r="X15" s="154">
        <f t="shared" si="7"/>
        <v>0.37773723926316644</v>
      </c>
      <c r="Z15" s="310">
        <f>'Revenue Allocation'!$AC13</f>
        <v>15.163583507774808</v>
      </c>
    </row>
    <row r="16" spans="1:26">
      <c r="A16" s="94"/>
      <c r="B16" s="73"/>
      <c r="C16" s="204">
        <f>'Revenue Allocation'!$AG14</f>
        <v>0</v>
      </c>
      <c r="D16" s="204">
        <v>0</v>
      </c>
      <c r="E16" s="206"/>
      <c r="F16" s="204">
        <v>0</v>
      </c>
      <c r="G16" s="206"/>
      <c r="H16" s="204">
        <v>0</v>
      </c>
      <c r="I16" s="206"/>
      <c r="J16" s="204">
        <v>0</v>
      </c>
      <c r="K16" s="206"/>
      <c r="L16" s="204">
        <v>0</v>
      </c>
      <c r="M16" s="206"/>
      <c r="N16" s="206"/>
      <c r="O16" s="204">
        <v>0</v>
      </c>
      <c r="P16" s="206"/>
      <c r="Q16" s="204">
        <v>0</v>
      </c>
      <c r="R16" s="206"/>
      <c r="S16" s="204">
        <v>0</v>
      </c>
      <c r="T16" s="206"/>
      <c r="U16" s="204">
        <v>0</v>
      </c>
      <c r="V16" s="206"/>
      <c r="W16" s="204">
        <v>0</v>
      </c>
      <c r="X16" s="206"/>
      <c r="Z16" s="310">
        <f>'Revenue Allocation'!$AC14</f>
        <v>0</v>
      </c>
    </row>
    <row r="17" spans="1:26">
      <c r="A17" s="81" t="s">
        <v>31</v>
      </c>
      <c r="B17" s="73"/>
      <c r="C17" s="204">
        <f>'Revenue Allocation'!$AG15</f>
        <v>0</v>
      </c>
      <c r="D17" s="204">
        <v>0</v>
      </c>
      <c r="E17" s="206"/>
      <c r="F17" s="204">
        <v>0</v>
      </c>
      <c r="G17" s="206"/>
      <c r="H17" s="204">
        <v>0</v>
      </c>
      <c r="I17" s="206"/>
      <c r="J17" s="204">
        <v>0</v>
      </c>
      <c r="K17" s="206"/>
      <c r="L17" s="204">
        <v>0</v>
      </c>
      <c r="M17" s="206"/>
      <c r="N17" s="206"/>
      <c r="O17" s="204">
        <v>0</v>
      </c>
      <c r="P17" s="206"/>
      <c r="Q17" s="204">
        <v>0</v>
      </c>
      <c r="R17" s="206"/>
      <c r="S17" s="204">
        <v>0</v>
      </c>
      <c r="T17" s="206"/>
      <c r="U17" s="204">
        <v>0</v>
      </c>
      <c r="V17" s="206"/>
      <c r="W17" s="204">
        <v>0</v>
      </c>
      <c r="X17" s="206"/>
      <c r="Z17" s="310">
        <f>'Revenue Allocation'!$AC15</f>
        <v>0</v>
      </c>
    </row>
    <row r="18" spans="1:26">
      <c r="A18" s="89" t="s">
        <v>32</v>
      </c>
      <c r="B18" s="77" t="s">
        <v>28</v>
      </c>
      <c r="C18" s="204">
        <f>'Revenue Allocation'!$AG16</f>
        <v>13.02646903783311</v>
      </c>
      <c r="D18" s="204">
        <v>16.100556999662601</v>
      </c>
      <c r="E18" s="154">
        <f>(D18-$C18)/$C18</f>
        <v>0.23598781472564348</v>
      </c>
      <c r="F18" s="204">
        <v>16.284565690899829</v>
      </c>
      <c r="G18" s="154">
        <f>(F18-$C18)/$C18</f>
        <v>0.25011356827426873</v>
      </c>
      <c r="H18" s="204">
        <v>15.691766234975693</v>
      </c>
      <c r="I18" s="154">
        <f>(H18-$C18)/$C18</f>
        <v>0.2046062666254142</v>
      </c>
      <c r="J18" s="204">
        <v>16.124704692192225</v>
      </c>
      <c r="K18" s="154">
        <f>(J18-$C18)/$C18</f>
        <v>0.23784155517207536</v>
      </c>
      <c r="L18" s="204">
        <v>16.703964359438636</v>
      </c>
      <c r="M18" s="154">
        <f>(L18-$C18)/$C18</f>
        <v>0.28230945092832771</v>
      </c>
      <c r="N18" s="154"/>
      <c r="O18" s="204">
        <v>15.56644136101484</v>
      </c>
      <c r="P18" s="154">
        <f>(O18-$C18)/$C18</f>
        <v>0.19498548039417465</v>
      </c>
      <c r="Q18" s="204">
        <v>16.157852684245206</v>
      </c>
      <c r="R18" s="154">
        <f>(Q18-$C18)/$C18</f>
        <v>0.2403862195747396</v>
      </c>
      <c r="S18" s="204">
        <v>14.252571426707467</v>
      </c>
      <c r="T18" s="154">
        <f>(S18-$C18)/$C18</f>
        <v>9.4123924550341062E-2</v>
      </c>
      <c r="U18" s="204">
        <v>15.644053014550771</v>
      </c>
      <c r="V18" s="154">
        <f>(U18-$C18)/$C18</f>
        <v>0.20094347663325685</v>
      </c>
      <c r="W18" s="204">
        <v>17.505816847534767</v>
      </c>
      <c r="X18" s="154">
        <f>(W18-$C18)/$C18</f>
        <v>0.34386507937739474</v>
      </c>
      <c r="Z18" s="310">
        <f>'Revenue Allocation'!$AC16</f>
        <v>16.850378307189153</v>
      </c>
    </row>
    <row r="19" spans="1:26">
      <c r="A19" s="89" t="s">
        <v>33</v>
      </c>
      <c r="B19" s="77" t="s">
        <v>28</v>
      </c>
      <c r="C19" s="204">
        <f>'Revenue Allocation'!$AG17</f>
        <v>9.9034728402573915</v>
      </c>
      <c r="D19" s="204">
        <v>12.979063492847857</v>
      </c>
      <c r="E19" s="154">
        <f t="shared" ref="E19:E27" si="8">(D19-$C19)/$C19</f>
        <v>0.31055678166635237</v>
      </c>
      <c r="F19" s="204">
        <v>13.010620876557837</v>
      </c>
      <c r="G19" s="154">
        <f>(F19-$C19)/$C19</f>
        <v>0.31374327838512966</v>
      </c>
      <c r="H19" s="204">
        <v>10.732764104989515</v>
      </c>
      <c r="I19" s="154">
        <f>(H19-$C19)/$C19</f>
        <v>8.3737420004937432E-2</v>
      </c>
      <c r="J19" s="204">
        <v>13.003222989371025</v>
      </c>
      <c r="K19" s="154">
        <f>(J19-$C19)/$C19</f>
        <v>0.3129962790944627</v>
      </c>
      <c r="L19" s="204">
        <v>12.620762567846452</v>
      </c>
      <c r="M19" s="154">
        <f>(L19-$C19)/$C19</f>
        <v>0.27437746045441141</v>
      </c>
      <c r="N19" s="154"/>
      <c r="O19" s="204">
        <v>13.159787962995912</v>
      </c>
      <c r="P19" s="154">
        <f t="shared" ref="P19:P27" si="9">(O19-$C19)/$C19</f>
        <v>0.32880537719068342</v>
      </c>
      <c r="Q19" s="204">
        <v>13.261214661550866</v>
      </c>
      <c r="R19" s="154">
        <f>(Q19-$C19)/$C19</f>
        <v>0.33904690561116407</v>
      </c>
      <c r="S19" s="204">
        <v>5.9400915214176244</v>
      </c>
      <c r="T19" s="154">
        <f>(S19-$C19)/$C19</f>
        <v>-0.40020116001416312</v>
      </c>
      <c r="U19" s="204">
        <v>13.237437555041135</v>
      </c>
      <c r="V19" s="154">
        <f>(U19-$C19)/$C19</f>
        <v>0.33664601989225967</v>
      </c>
      <c r="W19" s="204">
        <v>12.008194401056171</v>
      </c>
      <c r="X19" s="154">
        <f>(W19-$C19)/$C19</f>
        <v>0.21252358589232803</v>
      </c>
      <c r="Z19" s="310">
        <f>'Revenue Allocation'!$AC17</f>
        <v>13.729251331705058</v>
      </c>
    </row>
    <row r="20" spans="1:26">
      <c r="A20" s="89" t="s">
        <v>35</v>
      </c>
      <c r="B20" s="77" t="s">
        <v>28</v>
      </c>
      <c r="C20" s="204">
        <f>'Revenue Allocation'!$AG18</f>
        <v>29.557328372614325</v>
      </c>
      <c r="D20" s="204">
        <v>32.633806468164885</v>
      </c>
      <c r="E20" s="154">
        <f t="shared" si="8"/>
        <v>0.1040851208460708</v>
      </c>
      <c r="F20" s="204">
        <v>32.817958227975083</v>
      </c>
      <c r="G20" s="154">
        <f>(F20-$C20)/$C20</f>
        <v>0.11031544577560064</v>
      </c>
      <c r="H20" s="204">
        <v>32.906324840570441</v>
      </c>
      <c r="I20" s="154">
        <f>(H20-$C20)/$C20</f>
        <v>0.11330511424229577</v>
      </c>
      <c r="J20" s="204">
        <v>32.657972935763702</v>
      </c>
      <c r="K20" s="154">
        <f>(J20-$C20)/$C20</f>
        <v>0.10490273424110309</v>
      </c>
      <c r="L20" s="204">
        <v>33.237682983116713</v>
      </c>
      <c r="M20" s="154">
        <f>(L20-$C20)/$C20</f>
        <v>0.12451580752177646</v>
      </c>
      <c r="N20" s="154"/>
      <c r="O20" s="204">
        <v>34.181849438977025</v>
      </c>
      <c r="P20" s="154">
        <f t="shared" si="9"/>
        <v>0.15645937305509131</v>
      </c>
      <c r="Q20" s="204">
        <v>34.773720590346407</v>
      </c>
      <c r="R20" s="154">
        <f>(Q20-$C20)/$C20</f>
        <v>0.17648388758184289</v>
      </c>
      <c r="S20" s="204">
        <v>35.057734431937355</v>
      </c>
      <c r="T20" s="154">
        <f>(S20-$C20)/$C20</f>
        <v>0.18609280209571671</v>
      </c>
      <c r="U20" s="204">
        <v>34.259521436339334</v>
      </c>
      <c r="V20" s="154">
        <f>(U20-$C20)/$C20</f>
        <v>0.15908721534121195</v>
      </c>
      <c r="W20" s="204">
        <v>36.122732809072723</v>
      </c>
      <c r="X20" s="154">
        <f>(W20-$C20)/$C20</f>
        <v>0.22212442050552256</v>
      </c>
      <c r="Z20" s="310">
        <f>'Revenue Allocation'!$AC18</f>
        <v>33.384210769156212</v>
      </c>
    </row>
    <row r="21" spans="1:26">
      <c r="A21" s="89" t="s">
        <v>36</v>
      </c>
      <c r="B21" s="77" t="s">
        <v>28</v>
      </c>
      <c r="C21" s="205">
        <f>'Revenue Allocation'!$AG19</f>
        <v>12.01967975922611</v>
      </c>
      <c r="D21" s="205">
        <v>15.096157854776665</v>
      </c>
      <c r="E21" s="198">
        <f t="shared" si="8"/>
        <v>0.25595341616228184</v>
      </c>
      <c r="F21" s="205">
        <v>14.96887916523875</v>
      </c>
      <c r="G21" s="198">
        <f>(F21-$C21)/$C21</f>
        <v>0.24536422476221825</v>
      </c>
      <c r="H21" s="205">
        <v>14.769055778154099</v>
      </c>
      <c r="I21" s="198">
        <f>(H21-$C21)/$C21</f>
        <v>0.22873953998796129</v>
      </c>
      <c r="J21" s="205">
        <v>15.120324322375483</v>
      </c>
      <c r="K21" s="198">
        <f>(J21-$C21)/$C21</f>
        <v>0.25796399115952895</v>
      </c>
      <c r="L21" s="205">
        <v>13.734641680257164</v>
      </c>
      <c r="M21" s="198">
        <f>(L21-$C21)/$C21</f>
        <v>0.14267950189893189</v>
      </c>
      <c r="N21" s="198"/>
      <c r="O21" s="205">
        <v>15.862139473921696</v>
      </c>
      <c r="P21" s="198">
        <f t="shared" si="9"/>
        <v>0.31968070628056267</v>
      </c>
      <c r="Q21" s="205">
        <v>15.453060654369629</v>
      </c>
      <c r="R21" s="198">
        <f>(Q21-$C21)/$C21</f>
        <v>0.2856466198700604</v>
      </c>
      <c r="S21" s="205">
        <v>14.810820263584221</v>
      </c>
      <c r="T21" s="198">
        <f>(S21-$C21)/$C21</f>
        <v>0.23221421537588616</v>
      </c>
      <c r="U21" s="205">
        <v>15.939811471284013</v>
      </c>
      <c r="V21" s="198">
        <f>(U21-$C21)/$C21</f>
        <v>0.3261427750642753</v>
      </c>
      <c r="W21" s="205">
        <v>11.48617181197012</v>
      </c>
      <c r="X21" s="198">
        <f>(W21-$C21)/$C21</f>
        <v>-4.4386203122132054E-2</v>
      </c>
      <c r="Z21" s="310">
        <f>'Revenue Allocation'!$AC19</f>
        <v>15.846562155767991</v>
      </c>
    </row>
    <row r="22" spans="1:26">
      <c r="A22" s="81" t="s">
        <v>37</v>
      </c>
      <c r="B22" s="73"/>
      <c r="C22" s="204">
        <f>'Revenue Allocation'!$AG20</f>
        <v>12.243797094526375</v>
      </c>
      <c r="D22" s="204">
        <v>15.318311399635027</v>
      </c>
      <c r="E22" s="154">
        <f t="shared" si="8"/>
        <v>0.2511079105094875</v>
      </c>
      <c r="F22" s="204">
        <v>15.46000553332977</v>
      </c>
      <c r="G22" s="154">
        <f>(F22-$C22)/$C22</f>
        <v>0.26268063852848483</v>
      </c>
      <c r="H22" s="204">
        <v>14.457735036235089</v>
      </c>
      <c r="I22" s="154">
        <f>(H22-$C22)/$C22</f>
        <v>0.18082118844475636</v>
      </c>
      <c r="J22" s="204">
        <v>15.342462321019399</v>
      </c>
      <c r="K22" s="154">
        <f>(J22-$C22)/$C22</f>
        <v>0.25308041309164547</v>
      </c>
      <c r="L22" s="204">
        <v>15.654766502068981</v>
      </c>
      <c r="M22" s="154">
        <f>(L22-$C22)/$C22</f>
        <v>0.2785875477361095</v>
      </c>
      <c r="N22" s="154"/>
      <c r="O22" s="204">
        <v>14.980533856444431</v>
      </c>
      <c r="P22" s="154">
        <f t="shared" si="9"/>
        <v>0.22352026424396745</v>
      </c>
      <c r="Q22" s="204">
        <v>15.435944492425488</v>
      </c>
      <c r="R22" s="154">
        <f>(Q22-$C22)/$C22</f>
        <v>0.26071547684550994</v>
      </c>
      <c r="S22" s="204">
        <v>12.214606864642779</v>
      </c>
      <c r="T22" s="154">
        <f>(S22-$C22)/$C22</f>
        <v>-2.3840831123088449E-3</v>
      </c>
      <c r="U22" s="204">
        <v>15.058155887649201</v>
      </c>
      <c r="V22" s="154">
        <f>(U22-$C22)/$C22</f>
        <v>0.22985996675663578</v>
      </c>
      <c r="W22" s="204">
        <v>16.061914067347313</v>
      </c>
      <c r="X22" s="154">
        <f>(W22-$C22)/$C22</f>
        <v>0.31184092184342377</v>
      </c>
      <c r="Z22" s="310">
        <f>'Revenue Allocation'!$AC20</f>
        <v>16.068212890805452</v>
      </c>
    </row>
    <row r="23" spans="1:26">
      <c r="A23" s="94"/>
      <c r="B23" s="73"/>
      <c r="C23" s="204">
        <f>'Revenue Allocation'!$AG21</f>
        <v>0</v>
      </c>
      <c r="D23" s="204">
        <v>0</v>
      </c>
      <c r="E23" s="154"/>
      <c r="F23" s="204">
        <v>0</v>
      </c>
      <c r="G23" s="154"/>
      <c r="H23" s="204">
        <v>0</v>
      </c>
      <c r="I23" s="154"/>
      <c r="J23" s="204">
        <v>0</v>
      </c>
      <c r="K23" s="154"/>
      <c r="L23" s="204">
        <v>0</v>
      </c>
      <c r="M23" s="154"/>
      <c r="N23" s="154"/>
      <c r="O23" s="204">
        <v>0</v>
      </c>
      <c r="P23" s="154"/>
      <c r="Q23" s="204">
        <v>0</v>
      </c>
      <c r="R23" s="154"/>
      <c r="S23" s="204">
        <v>0</v>
      </c>
      <c r="T23" s="154"/>
      <c r="U23" s="204">
        <v>0</v>
      </c>
      <c r="V23" s="154"/>
      <c r="W23" s="204">
        <v>0</v>
      </c>
      <c r="X23" s="154"/>
      <c r="Z23" s="310">
        <f>'Revenue Allocation'!$AC21</f>
        <v>0</v>
      </c>
    </row>
    <row r="24" spans="1:26">
      <c r="A24" s="81" t="s">
        <v>38</v>
      </c>
      <c r="B24" s="73"/>
      <c r="C24" s="204">
        <f>'Revenue Allocation'!$AG22</f>
        <v>0</v>
      </c>
      <c r="D24" s="204">
        <v>0</v>
      </c>
      <c r="E24" s="206"/>
      <c r="F24" s="204">
        <v>0</v>
      </c>
      <c r="G24" s="206"/>
      <c r="H24" s="204">
        <v>0</v>
      </c>
      <c r="I24" s="206"/>
      <c r="J24" s="204">
        <v>0</v>
      </c>
      <c r="K24" s="206"/>
      <c r="L24" s="204">
        <v>0</v>
      </c>
      <c r="M24" s="206"/>
      <c r="N24" s="206"/>
      <c r="O24" s="204">
        <v>0</v>
      </c>
      <c r="P24" s="206"/>
      <c r="Q24" s="204">
        <v>0</v>
      </c>
      <c r="R24" s="206"/>
      <c r="S24" s="204">
        <v>0</v>
      </c>
      <c r="T24" s="206"/>
      <c r="U24" s="204">
        <v>0</v>
      </c>
      <c r="V24" s="206"/>
      <c r="W24" s="204">
        <v>0</v>
      </c>
      <c r="X24" s="206"/>
      <c r="Z24" s="310">
        <f>'Revenue Allocation'!$AC22</f>
        <v>0</v>
      </c>
    </row>
    <row r="25" spans="1:26">
      <c r="A25" s="89" t="s">
        <v>39</v>
      </c>
      <c r="B25" s="77" t="s">
        <v>27</v>
      </c>
      <c r="C25" s="204">
        <f>'Revenue Allocation'!$AG23</f>
        <v>10.356022319295347</v>
      </c>
      <c r="D25" s="204">
        <v>13.434361628139992</v>
      </c>
      <c r="E25" s="154">
        <f t="shared" si="8"/>
        <v>0.2972511273087044</v>
      </c>
      <c r="F25" s="204">
        <v>13.316446782631871</v>
      </c>
      <c r="G25" s="154">
        <f>(F25-$C25)/$C25</f>
        <v>0.28586501381139934</v>
      </c>
      <c r="H25" s="204">
        <v>13.491615460879466</v>
      </c>
      <c r="I25" s="154">
        <f>(H25-$C25)/$C25</f>
        <v>0.30277968170673791</v>
      </c>
      <c r="J25" s="204">
        <v>13.387074238319743</v>
      </c>
      <c r="K25" s="154">
        <f>(J25-$C25)/$C25</f>
        <v>0.29268495427795072</v>
      </c>
      <c r="L25" s="204">
        <v>13.529440858503101</v>
      </c>
      <c r="M25" s="154">
        <f>(L25-$C25)/$C25</f>
        <v>0.30643218422724317</v>
      </c>
      <c r="N25" s="154"/>
      <c r="O25" s="204">
        <v>12.825582687221369</v>
      </c>
      <c r="P25" s="154">
        <f t="shared" si="9"/>
        <v>0.23846611100139628</v>
      </c>
      <c r="Q25" s="204">
        <v>12.4465996384231</v>
      </c>
      <c r="R25" s="154">
        <f>(Q25-$C25)/$C25</f>
        <v>0.20187068496681282</v>
      </c>
      <c r="S25" s="204">
        <v>13.00959880489925</v>
      </c>
      <c r="T25" s="154">
        <f>(S25-$C25)/$C25</f>
        <v>0.2562351068575584</v>
      </c>
      <c r="U25" s="204">
        <v>12.673599117327649</v>
      </c>
      <c r="V25" s="154">
        <f>(U25-$C25)/$C25</f>
        <v>0.22379024750788648</v>
      </c>
      <c r="W25" s="204">
        <v>13.131171151889468</v>
      </c>
      <c r="X25" s="154">
        <f>(W25-$C25)/$C25</f>
        <v>0.26797439663909012</v>
      </c>
      <c r="Z25" s="310">
        <f>'Revenue Allocation'!$AC23</f>
        <v>14.182904715837225</v>
      </c>
    </row>
    <row r="26" spans="1:26">
      <c r="A26" s="94" t="s">
        <v>39</v>
      </c>
      <c r="B26" s="77" t="s">
        <v>28</v>
      </c>
      <c r="C26" s="205">
        <f>'Revenue Allocation'!$AG24</f>
        <v>10.896062497056727</v>
      </c>
      <c r="D26" s="205">
        <v>13.972540592607283</v>
      </c>
      <c r="E26" s="198">
        <f t="shared" si="8"/>
        <v>0.28234769178146529</v>
      </c>
      <c r="F26" s="205">
        <v>14.004889570574431</v>
      </c>
      <c r="G26" s="198">
        <f>(F26-$C26)/$C26</f>
        <v>0.28531656039578224</v>
      </c>
      <c r="H26" s="205">
        <v>14.193974966711384</v>
      </c>
      <c r="I26" s="198">
        <f>(H26-$C26)/$C26</f>
        <v>0.30267011322167964</v>
      </c>
      <c r="J26" s="205">
        <v>13.9967070602061</v>
      </c>
      <c r="K26" s="198">
        <f>(J26-$C26)/$C26</f>
        <v>0.28456560009516535</v>
      </c>
      <c r="L26" s="205">
        <v>14.067598843049629</v>
      </c>
      <c r="M26" s="198">
        <f>(L26-$C26)/$C26</f>
        <v>0.2910717836695233</v>
      </c>
      <c r="N26" s="198"/>
      <c r="O26" s="205">
        <v>13.289123511933159</v>
      </c>
      <c r="P26" s="198">
        <f t="shared" si="9"/>
        <v>0.21962621961124507</v>
      </c>
      <c r="Q26" s="205">
        <v>13.393094426220228</v>
      </c>
      <c r="R26" s="198">
        <f>(Q26-$C26)/$C26</f>
        <v>0.22916828256427552</v>
      </c>
      <c r="S26" s="205">
        <v>14.000822482873405</v>
      </c>
      <c r="T26" s="198">
        <f>(S26-$C26)/$C26</f>
        <v>0.28494329824699</v>
      </c>
      <c r="U26" s="205">
        <v>13.366795509295477</v>
      </c>
      <c r="V26" s="198">
        <f>(U26-$C26)/$C26</f>
        <v>0.22675466600032357</v>
      </c>
      <c r="W26" s="205">
        <v>13.594644546293397</v>
      </c>
      <c r="X26" s="198">
        <f>(W26-$C26)/$C26</f>
        <v>0.24766580128974278</v>
      </c>
      <c r="Z26" s="310">
        <f>'Revenue Allocation'!$AC24</f>
        <v>14.722944893598608</v>
      </c>
    </row>
    <row r="27" spans="1:26">
      <c r="A27" s="188" t="s">
        <v>40</v>
      </c>
      <c r="B27" s="72"/>
      <c r="C27" s="204">
        <f>'Revenue Allocation'!$AG25</f>
        <v>10.89228247078495</v>
      </c>
      <c r="D27" s="204">
        <v>13.968774417191227</v>
      </c>
      <c r="E27" s="154">
        <f t="shared" si="8"/>
        <v>0.28244694853057462</v>
      </c>
      <c r="F27" s="204">
        <v>14.000071849792059</v>
      </c>
      <c r="G27" s="154">
        <f>(F27-$C27)/$C27</f>
        <v>0.28532030704700834</v>
      </c>
      <c r="H27" s="204">
        <v>14.189059856789092</v>
      </c>
      <c r="I27" s="154">
        <f>(H27-$C27)/$C27</f>
        <v>0.3026709410857355</v>
      </c>
      <c r="J27" s="204">
        <v>13.992440851108348</v>
      </c>
      <c r="K27" s="154">
        <f>(J27-$C27)/$C27</f>
        <v>0.28461971938742658</v>
      </c>
      <c r="L27" s="204">
        <v>14.063832814436253</v>
      </c>
      <c r="M27" s="154">
        <f>(L27-$C27)/$C27</f>
        <v>0.2911740814799807</v>
      </c>
      <c r="N27" s="154"/>
      <c r="O27" s="204">
        <v>13.28587965388985</v>
      </c>
      <c r="P27" s="154">
        <f t="shared" si="9"/>
        <v>0.21975166265885554</v>
      </c>
      <c r="Q27" s="204">
        <v>13.386470859140633</v>
      </c>
      <c r="R27" s="154">
        <f>(Q27-$C27)/$C27</f>
        <v>0.22898675232170507</v>
      </c>
      <c r="S27" s="204">
        <v>13.993885903187063</v>
      </c>
      <c r="T27" s="154">
        <f>(S27-$C27)/$C27</f>
        <v>0.28475238690523941</v>
      </c>
      <c r="U27" s="204">
        <v>13.361944522918371</v>
      </c>
      <c r="V27" s="154">
        <f>(U27-$C27)/$C27</f>
        <v>0.22673503544895168</v>
      </c>
      <c r="W27" s="204">
        <v>13.59140116007981</v>
      </c>
      <c r="X27" s="154">
        <f>(W27-$C27)/$C27</f>
        <v>0.24780101843065297</v>
      </c>
      <c r="Z27" s="310">
        <f>'Revenue Allocation'!$AC25</f>
        <v>14.719164867326834</v>
      </c>
    </row>
    <row r="28" spans="1:26">
      <c r="A28" s="94"/>
      <c r="B28" s="73"/>
      <c r="C28" s="204">
        <f>'Revenue Allocation'!$AG26</f>
        <v>0</v>
      </c>
      <c r="D28" s="204">
        <v>0</v>
      </c>
      <c r="E28" s="206"/>
      <c r="F28" s="204">
        <v>0</v>
      </c>
      <c r="G28" s="206"/>
      <c r="H28" s="204">
        <v>0</v>
      </c>
      <c r="I28" s="206"/>
      <c r="J28" s="204">
        <v>0</v>
      </c>
      <c r="K28" s="206"/>
      <c r="L28" s="204">
        <v>0</v>
      </c>
      <c r="M28" s="206"/>
      <c r="N28" s="206"/>
      <c r="O28" s="204">
        <v>0</v>
      </c>
      <c r="P28" s="206"/>
      <c r="Q28" s="204">
        <v>0</v>
      </c>
      <c r="R28" s="206"/>
      <c r="S28" s="204">
        <v>0</v>
      </c>
      <c r="T28" s="206"/>
      <c r="U28" s="204">
        <v>0</v>
      </c>
      <c r="V28" s="206"/>
      <c r="W28" s="204">
        <v>0</v>
      </c>
      <c r="X28" s="206"/>
      <c r="Z28" s="310">
        <f>'Revenue Allocation'!$AC26</f>
        <v>0</v>
      </c>
    </row>
    <row r="29" spans="1:26">
      <c r="A29" s="102" t="s">
        <v>41</v>
      </c>
      <c r="B29" s="73"/>
      <c r="C29" s="204">
        <f>'Revenue Allocation'!$AG27</f>
        <v>0</v>
      </c>
      <c r="D29" s="204">
        <v>0</v>
      </c>
      <c r="E29" s="206"/>
      <c r="F29" s="204">
        <v>0</v>
      </c>
      <c r="G29" s="206"/>
      <c r="H29" s="204">
        <v>0</v>
      </c>
      <c r="I29" s="206"/>
      <c r="J29" s="204">
        <v>0</v>
      </c>
      <c r="K29" s="206"/>
      <c r="L29" s="204">
        <v>0</v>
      </c>
      <c r="M29" s="206"/>
      <c r="N29" s="206"/>
      <c r="O29" s="204">
        <v>0</v>
      </c>
      <c r="P29" s="206"/>
      <c r="Q29" s="204">
        <v>0</v>
      </c>
      <c r="R29" s="206"/>
      <c r="S29" s="204">
        <v>0</v>
      </c>
      <c r="T29" s="206"/>
      <c r="U29" s="204">
        <v>0</v>
      </c>
      <c r="V29" s="206"/>
      <c r="W29" s="204">
        <v>0</v>
      </c>
      <c r="X29" s="206"/>
      <c r="Z29" s="310">
        <f>'Revenue Allocation'!$AC27</f>
        <v>0</v>
      </c>
    </row>
    <row r="30" spans="1:26">
      <c r="A30" s="89" t="s">
        <v>42</v>
      </c>
      <c r="B30" s="77" t="s">
        <v>21</v>
      </c>
      <c r="C30" s="204">
        <f>'Revenue Allocation'!$AG28</f>
        <v>9.4990605852141083</v>
      </c>
      <c r="D30" s="204">
        <v>12.575538680764661</v>
      </c>
      <c r="E30" s="154">
        <f>(D30-$C30)/$C30</f>
        <v>0.32387182584552476</v>
      </c>
      <c r="F30" s="204">
        <v>12.36296873751081</v>
      </c>
      <c r="G30" s="154">
        <f>(F30-$C30)/$C30</f>
        <v>0.30149382947978631</v>
      </c>
      <c r="H30" s="204">
        <v>12.330171001424427</v>
      </c>
      <c r="I30" s="154">
        <f>(H30-$C30)/$C30</f>
        <v>0.29804109478121676</v>
      </c>
      <c r="J30" s="204">
        <v>12.413952248266975</v>
      </c>
      <c r="K30" s="154">
        <f>(J30-$C30)/$C30</f>
        <v>0.30686104556381932</v>
      </c>
      <c r="L30" s="204">
        <v>11.849597353360636</v>
      </c>
      <c r="M30" s="154">
        <f>(L30-$C30)/$C30</f>
        <v>0.24744939218571652</v>
      </c>
      <c r="N30" s="154"/>
      <c r="O30" s="204">
        <v>11.665889801198789</v>
      </c>
      <c r="P30" s="154">
        <f>(O30-$C30)/$C30</f>
        <v>0.22810984270986628</v>
      </c>
      <c r="Q30" s="204">
        <v>10.982681466997379</v>
      </c>
      <c r="R30" s="154">
        <f>(Q30-$C30)/$C30</f>
        <v>0.15618606371377616</v>
      </c>
      <c r="S30" s="204">
        <v>10.877268226093445</v>
      </c>
      <c r="T30" s="154">
        <f>(S30-$C30)/$C30</f>
        <v>0.14508883573440987</v>
      </c>
      <c r="U30" s="204">
        <v>11.146544518011428</v>
      </c>
      <c r="V30" s="154">
        <f>(U30-$C30)/$C30</f>
        <v>0.17343651174956534</v>
      </c>
      <c r="W30" s="204">
        <v>9.3326852218882799</v>
      </c>
      <c r="X30" s="154">
        <f>(W30-$C30)/$C30</f>
        <v>-1.7514928116660538E-2</v>
      </c>
      <c r="Z30" s="310">
        <f>'Revenue Allocation'!$AC28</f>
        <v>13.325942981755986</v>
      </c>
    </row>
    <row r="31" spans="1:26">
      <c r="A31" s="89" t="s">
        <v>43</v>
      </c>
      <c r="B31" s="77" t="s">
        <v>21</v>
      </c>
      <c r="C31" s="204">
        <f>'Revenue Allocation'!$AG29</f>
        <v>9.2242198053295983</v>
      </c>
      <c r="D31" s="204">
        <v>12.300697900880154</v>
      </c>
      <c r="E31" s="154">
        <f>(D31-$C31)/$C31</f>
        <v>0.33352176774593106</v>
      </c>
      <c r="F31" s="204">
        <v>12.03961366652182</v>
      </c>
      <c r="G31" s="154">
        <f>(F31-$C31)/$C31</f>
        <v>0.3052175599247467</v>
      </c>
      <c r="H31" s="204">
        <v>12.051807187174301</v>
      </c>
      <c r="I31" s="154">
        <f>(H31-$C31)/$C31</f>
        <v>0.3065394625799106</v>
      </c>
      <c r="J31" s="204">
        <v>12.139111468382465</v>
      </c>
      <c r="K31" s="154">
        <f>(J31-$C31)/$C31</f>
        <v>0.3160041417669483</v>
      </c>
      <c r="L31" s="204">
        <v>11.651722604523023</v>
      </c>
      <c r="M31" s="154">
        <f>(L31-$C31)/$C31</f>
        <v>0.26316619187574591</v>
      </c>
      <c r="N31" s="154"/>
      <c r="O31" s="204">
        <v>11.539312492161196</v>
      </c>
      <c r="P31" s="154">
        <f>(O31-$C31)/$C31</f>
        <v>0.25097978318924885</v>
      </c>
      <c r="Q31" s="204">
        <v>10.7001772780675</v>
      </c>
      <c r="R31" s="154">
        <f>(Q31-$C31)/$C31</f>
        <v>0.1600089225849885</v>
      </c>
      <c r="S31" s="204">
        <v>10.739367743123433</v>
      </c>
      <c r="T31" s="154">
        <f>(S31-$C31)/$C31</f>
        <v>0.16425757080489425</v>
      </c>
      <c r="U31" s="204">
        <v>11.019967208973833</v>
      </c>
      <c r="V31" s="154">
        <f>(U31-$C31)/$C31</f>
        <v>0.19467742980351382</v>
      </c>
      <c r="W31" s="204">
        <v>9.453479827509609</v>
      </c>
      <c r="X31" s="154">
        <f>(W31-$C31)/$C31</f>
        <v>2.4854136937147591E-2</v>
      </c>
      <c r="Z31" s="310">
        <f>'Revenue Allocation'!$AC29</f>
        <v>13.051102201871478</v>
      </c>
    </row>
    <row r="32" spans="1:26">
      <c r="A32" s="89" t="s">
        <v>44</v>
      </c>
      <c r="B32" s="77" t="s">
        <v>21</v>
      </c>
      <c r="C32" s="204">
        <f>'Revenue Allocation'!$AG30</f>
        <v>0</v>
      </c>
      <c r="D32" s="204">
        <v>0</v>
      </c>
      <c r="E32" s="206"/>
      <c r="F32" s="204">
        <v>0</v>
      </c>
      <c r="G32" s="206"/>
      <c r="H32" s="204">
        <v>0</v>
      </c>
      <c r="I32" s="206"/>
      <c r="J32" s="204">
        <v>0</v>
      </c>
      <c r="K32" s="206"/>
      <c r="L32" s="204">
        <v>0</v>
      </c>
      <c r="M32" s="206"/>
      <c r="N32" s="206"/>
      <c r="O32" s="204">
        <v>0</v>
      </c>
      <c r="P32" s="206"/>
      <c r="Q32" s="204">
        <v>0</v>
      </c>
      <c r="R32" s="206"/>
      <c r="S32" s="204">
        <v>0</v>
      </c>
      <c r="T32" s="206"/>
      <c r="U32" s="204">
        <v>0</v>
      </c>
      <c r="V32" s="206"/>
      <c r="W32" s="204">
        <v>0</v>
      </c>
      <c r="X32" s="206"/>
      <c r="Z32" s="310">
        <f>'Revenue Allocation'!$AC30</f>
        <v>0</v>
      </c>
    </row>
    <row r="33" spans="1:26">
      <c r="A33" s="105" t="s">
        <v>45</v>
      </c>
      <c r="B33" s="189" t="s">
        <v>21</v>
      </c>
      <c r="C33" s="204">
        <f>'Revenue Allocation'!$AG31</f>
        <v>9.444887330214975</v>
      </c>
      <c r="D33" s="204">
        <v>12.522519759087626</v>
      </c>
      <c r="E33" s="154">
        <f>(D33-$C33)/$C33</f>
        <v>0.32585168263755249</v>
      </c>
      <c r="F33" s="204">
        <v>12.300366793595881</v>
      </c>
      <c r="G33" s="154">
        <f>(F33-$C33)/$C33</f>
        <v>0.30233070692606268</v>
      </c>
      <c r="H33" s="204">
        <v>12.276434978035713</v>
      </c>
      <c r="I33" s="154">
        <f>(H33-$C33)/$C33</f>
        <v>0.29979686880566409</v>
      </c>
      <c r="J33" s="204">
        <v>12.360918430083279</v>
      </c>
      <c r="K33" s="154">
        <f>(J33-$C33)/$C33</f>
        <v>0.30874175603341286</v>
      </c>
      <c r="L33" s="204">
        <v>11.811683509616548</v>
      </c>
      <c r="M33" s="154">
        <f>(L33-$C33)/$C33</f>
        <v>0.25059019728377246</v>
      </c>
      <c r="N33" s="154"/>
      <c r="O33" s="204">
        <v>11.642013597006329</v>
      </c>
      <c r="P33" s="154">
        <f>(O33-$C33)/$C33</f>
        <v>0.23262599012299129</v>
      </c>
      <c r="Q33" s="204">
        <v>10.928005044488327</v>
      </c>
      <c r="R33" s="154">
        <f>(Q33-$C33)/$C33</f>
        <v>0.15702862960881867</v>
      </c>
      <c r="S33" s="204">
        <v>10.851087228201612</v>
      </c>
      <c r="T33" s="154">
        <f>(S33-$C33)/$C33</f>
        <v>0.14888477213360579</v>
      </c>
      <c r="U33" s="204">
        <v>11.12262043584834</v>
      </c>
      <c r="V33" s="154">
        <f>(U33-$C33)/$C33</f>
        <v>0.17763399890077652</v>
      </c>
      <c r="W33" s="204">
        <v>9.3573573447762346</v>
      </c>
      <c r="X33" s="154">
        <f>(W33-$C33)/$C33</f>
        <v>-9.2674462255070734E-3</v>
      </c>
      <c r="Z33" s="310">
        <f>'Revenue Allocation'!$AC31</f>
        <v>13.271769726756855</v>
      </c>
    </row>
    <row r="34" spans="1:26">
      <c r="A34" s="94"/>
      <c r="B34" s="73"/>
      <c r="C34" s="204">
        <f>'Revenue Allocation'!$AG32</f>
        <v>0</v>
      </c>
      <c r="D34" s="204">
        <v>0</v>
      </c>
      <c r="E34" s="206"/>
      <c r="F34" s="204">
        <v>0</v>
      </c>
      <c r="G34" s="206"/>
      <c r="H34" s="204">
        <v>0</v>
      </c>
      <c r="I34" s="206"/>
      <c r="J34" s="204">
        <v>0</v>
      </c>
      <c r="K34" s="206"/>
      <c r="L34" s="204">
        <v>0</v>
      </c>
      <c r="M34" s="206"/>
      <c r="N34" s="206"/>
      <c r="O34" s="204">
        <v>0</v>
      </c>
      <c r="P34" s="206"/>
      <c r="Q34" s="204">
        <v>0</v>
      </c>
      <c r="R34" s="206"/>
      <c r="S34" s="204">
        <v>0</v>
      </c>
      <c r="T34" s="206"/>
      <c r="U34" s="204">
        <v>0</v>
      </c>
      <c r="V34" s="206"/>
      <c r="W34" s="204">
        <v>0</v>
      </c>
      <c r="X34" s="206"/>
      <c r="Z34" s="310">
        <f>'Revenue Allocation'!$AC32</f>
        <v>0</v>
      </c>
    </row>
    <row r="35" spans="1:26">
      <c r="A35" s="89" t="s">
        <v>42</v>
      </c>
      <c r="B35" s="77" t="s">
        <v>27</v>
      </c>
      <c r="C35" s="204">
        <f>'Revenue Allocation'!$AG33</f>
        <v>8.7913233240466742</v>
      </c>
      <c r="D35" s="204">
        <v>11.551348332624244</v>
      </c>
      <c r="E35" s="154">
        <f>(D35-$C35)/$C35</f>
        <v>0.31394875456669258</v>
      </c>
      <c r="F35" s="204">
        <v>11.398247520401689</v>
      </c>
      <c r="G35" s="154">
        <f>(F35-$C35)/$C35</f>
        <v>0.2965337640607944</v>
      </c>
      <c r="H35" s="204">
        <v>11.367986058118881</v>
      </c>
      <c r="I35" s="154">
        <f>(H35-$C35)/$C35</f>
        <v>0.29309156757144045</v>
      </c>
      <c r="J35" s="204">
        <v>11.504071377109019</v>
      </c>
      <c r="K35" s="154">
        <f>(J35-$C35)/$C35</f>
        <v>0.30857107093789138</v>
      </c>
      <c r="L35" s="204">
        <v>10.825407005220226</v>
      </c>
      <c r="M35" s="154">
        <f>(L35-$C35)/$C35</f>
        <v>0.23137400436743996</v>
      </c>
      <c r="N35" s="154"/>
      <c r="O35" s="204">
        <v>11.725534203951288</v>
      </c>
      <c r="P35" s="154">
        <f>(O35-$C35)/$C35</f>
        <v>0.33376213929918197</v>
      </c>
      <c r="Q35" s="204">
        <v>11.233462045101721</v>
      </c>
      <c r="R35" s="154">
        <f>(Q35-$C35)/$C35</f>
        <v>0.27778966044567255</v>
      </c>
      <c r="S35" s="204">
        <v>11.136200490056538</v>
      </c>
      <c r="T35" s="154">
        <f>(S35-$C35)/$C35</f>
        <v>0.26672630269392816</v>
      </c>
      <c r="U35" s="204">
        <v>11.573584170332962</v>
      </c>
      <c r="V35" s="154">
        <f>(U35-$C35)/$C35</f>
        <v>0.31647804815414349</v>
      </c>
      <c r="W35" s="204">
        <v>9.3923296246408139</v>
      </c>
      <c r="X35" s="154">
        <f>(W35-$C35)/$C35</f>
        <v>6.8363576044373556E-2</v>
      </c>
      <c r="Z35" s="310">
        <f>'Revenue Allocation'!$AC33</f>
        <v>12.618205720588493</v>
      </c>
    </row>
    <row r="36" spans="1:26">
      <c r="A36" s="89" t="s">
        <v>43</v>
      </c>
      <c r="B36" s="77" t="s">
        <v>27</v>
      </c>
      <c r="C36" s="204">
        <f>'Revenue Allocation'!$AG34</f>
        <v>8.8647072202278725</v>
      </c>
      <c r="D36" s="204">
        <v>11.941185315806555</v>
      </c>
      <c r="E36" s="154">
        <f>(D36-$C36)/$C36</f>
        <v>0.34704790797361496</v>
      </c>
      <c r="F36" s="204">
        <v>11.738005235345259</v>
      </c>
      <c r="G36" s="154">
        <f>(F36-$C36)/$C36</f>
        <v>0.32412779618496262</v>
      </c>
      <c r="H36" s="204">
        <v>11.7539477034973</v>
      </c>
      <c r="I36" s="154">
        <f>(H36-$C36)/$C36</f>
        <v>0.32592621634210694</v>
      </c>
      <c r="J36" s="204">
        <v>11.893908360290901</v>
      </c>
      <c r="K36" s="154">
        <f>(J36-$C36)/$C36</f>
        <v>0.34171474193201395</v>
      </c>
      <c r="L36" s="204">
        <v>11.292210019443491</v>
      </c>
      <c r="M36" s="154">
        <f>(L36-$C36)/$C36</f>
        <v>0.27383902693102347</v>
      </c>
      <c r="N36" s="154"/>
      <c r="O36" s="204">
        <v>12.154088809131272</v>
      </c>
      <c r="P36" s="154">
        <f>(O36-$C36)/$C36</f>
        <v>0.3710648876702376</v>
      </c>
      <c r="Q36" s="204">
        <v>11.501059871032076</v>
      </c>
      <c r="R36" s="154">
        <f>(Q36-$C36)/$C36</f>
        <v>0.29739872793412292</v>
      </c>
      <c r="S36" s="204">
        <v>11.552299603905348</v>
      </c>
      <c r="T36" s="154">
        <f>(S36-$C36)/$C36</f>
        <v>0.30317892254183099</v>
      </c>
      <c r="U36" s="204">
        <v>12.002138775511554</v>
      </c>
      <c r="V36" s="154">
        <f>(U36-$C36)/$C36</f>
        <v>0.35392387783823864</v>
      </c>
      <c r="W36" s="204">
        <v>10.068256144460614</v>
      </c>
      <c r="X36" s="154">
        <f>(W36-$C36)/$C36</f>
        <v>0.13576860400831192</v>
      </c>
      <c r="Z36" s="310">
        <f>'Revenue Allocation'!$AC34</f>
        <v>12.691589616804741</v>
      </c>
    </row>
    <row r="37" spans="1:26">
      <c r="A37" s="89" t="s">
        <v>44</v>
      </c>
      <c r="B37" s="77" t="s">
        <v>27</v>
      </c>
      <c r="C37" s="205">
        <f>'Revenue Allocation'!$AG35</f>
        <v>7.3685748541769112</v>
      </c>
      <c r="D37" s="205">
        <v>10.445052949727467</v>
      </c>
      <c r="E37" s="198">
        <f>(D37-$C37)/$C37</f>
        <v>0.41751331247000084</v>
      </c>
      <c r="F37" s="205">
        <v>10.291952137504909</v>
      </c>
      <c r="G37" s="198">
        <f>(F37-$C37)/$C37</f>
        <v>0.39673577878778932</v>
      </c>
      <c r="H37" s="205">
        <v>10.261690675222102</v>
      </c>
      <c r="I37" s="198">
        <f>(H37-$C37)/$C37</f>
        <v>0.39262895177148327</v>
      </c>
      <c r="J37" s="205">
        <v>10.397775994212244</v>
      </c>
      <c r="K37" s="198">
        <f>(J37-$C37)/$C37</f>
        <v>0.41109728814361113</v>
      </c>
      <c r="L37" s="205">
        <v>9.7191116223234388</v>
      </c>
      <c r="M37" s="198">
        <f>(L37-$C37)/$C37</f>
        <v>0.31899476013521322</v>
      </c>
      <c r="N37" s="198"/>
      <c r="O37" s="205">
        <v>10.786637681631971</v>
      </c>
      <c r="P37" s="198">
        <f>(O37-$C37)/$C37</f>
        <v>0.46387027275939458</v>
      </c>
      <c r="Q37" s="205">
        <v>10.294565522782397</v>
      </c>
      <c r="R37" s="198">
        <f>(Q37-$C37)/$C37</f>
        <v>0.39709044510104619</v>
      </c>
      <c r="S37" s="205">
        <v>10.197303967737211</v>
      </c>
      <c r="T37" s="198">
        <f>(S37-$C37)/$C37</f>
        <v>0.38389093814481934</v>
      </c>
      <c r="U37" s="205">
        <v>10.634687648013644</v>
      </c>
      <c r="V37" s="198">
        <f>(U37-$C37)/$C37</f>
        <v>0.44324891291364454</v>
      </c>
      <c r="W37" s="205">
        <v>8.4534331023214602</v>
      </c>
      <c r="X37" s="198">
        <f>(W37-$C37)/$C37</f>
        <v>0.14722768915478845</v>
      </c>
      <c r="Z37" s="310">
        <f>'Revenue Allocation'!$AC35</f>
        <v>11.195457250718789</v>
      </c>
    </row>
    <row r="38" spans="1:26">
      <c r="A38" s="105" t="s">
        <v>45</v>
      </c>
      <c r="B38" s="189" t="s">
        <v>27</v>
      </c>
      <c r="C38" s="204">
        <f>'Revenue Allocation'!$AG36</f>
        <v>8.7242728350980947</v>
      </c>
      <c r="D38" s="204">
        <v>11.545633694895887</v>
      </c>
      <c r="E38" s="154">
        <f>(D38-$C38)/$C38</f>
        <v>0.32339209388859846</v>
      </c>
      <c r="F38" s="204">
        <v>11.385546815940833</v>
      </c>
      <c r="G38" s="154">
        <f>(F38-$C38)/$C38</f>
        <v>0.30504249822819934</v>
      </c>
      <c r="H38" s="204">
        <v>11.361730810085096</v>
      </c>
      <c r="I38" s="154">
        <f>(H38-$C38)/$C38</f>
        <v>0.30231264253639606</v>
      </c>
      <c r="J38" s="204">
        <v>11.498356739380661</v>
      </c>
      <c r="K38" s="154">
        <f>(J38-$C38)/$C38</f>
        <v>0.31797308001674557</v>
      </c>
      <c r="L38" s="204">
        <v>10.83042914236815</v>
      </c>
      <c r="M38" s="154">
        <f>(L38-$C38)/$C38</f>
        <v>0.24141339307923806</v>
      </c>
      <c r="N38" s="154"/>
      <c r="O38" s="204">
        <v>11.73431424139792</v>
      </c>
      <c r="P38" s="154">
        <f>(O38-$C38)/$C38</f>
        <v>0.34501917388350228</v>
      </c>
      <c r="Q38" s="204">
        <v>11.219788583517071</v>
      </c>
      <c r="R38" s="154">
        <f>(Q38-$C38)/$C38</f>
        <v>0.28604283653067536</v>
      </c>
      <c r="S38" s="204">
        <v>11.143242984271188</v>
      </c>
      <c r="T38" s="154">
        <f>(S38-$C38)/$C38</f>
        <v>0.2772689707091095</v>
      </c>
      <c r="U38" s="204">
        <v>11.582364207779591</v>
      </c>
      <c r="V38" s="154">
        <f>(U38-$C38)/$C38</f>
        <v>0.32760224567751728</v>
      </c>
      <c r="W38" s="204">
        <v>9.4356180877173159</v>
      </c>
      <c r="X38" s="154">
        <f>(W38-$C38)/$C38</f>
        <v>8.1536337304520229E-2</v>
      </c>
      <c r="Z38" s="310">
        <f>'Revenue Allocation'!$AC36</f>
        <v>12.55115523164481</v>
      </c>
    </row>
    <row r="39" spans="1:26">
      <c r="A39" s="94"/>
      <c r="B39" s="73"/>
      <c r="C39" s="204">
        <f>'Revenue Allocation'!$AG37</f>
        <v>0</v>
      </c>
      <c r="D39" s="204">
        <v>0</v>
      </c>
      <c r="E39" s="206"/>
      <c r="F39" s="204">
        <v>0</v>
      </c>
      <c r="G39" s="206"/>
      <c r="H39" s="204">
        <v>0</v>
      </c>
      <c r="I39" s="206"/>
      <c r="J39" s="204">
        <v>0</v>
      </c>
      <c r="K39" s="206"/>
      <c r="L39" s="204">
        <v>0</v>
      </c>
      <c r="M39" s="206"/>
      <c r="N39" s="206"/>
      <c r="O39" s="204">
        <v>0</v>
      </c>
      <c r="P39" s="206"/>
      <c r="Q39" s="204">
        <v>0</v>
      </c>
      <c r="R39" s="206"/>
      <c r="S39" s="204">
        <v>0</v>
      </c>
      <c r="T39" s="206"/>
      <c r="U39" s="204">
        <v>0</v>
      </c>
      <c r="V39" s="206"/>
      <c r="W39" s="204">
        <v>0</v>
      </c>
      <c r="X39" s="206"/>
      <c r="Z39" s="310">
        <f>'Revenue Allocation'!$AC37</f>
        <v>0</v>
      </c>
    </row>
    <row r="40" spans="1:26">
      <c r="A40" s="89" t="s">
        <v>42</v>
      </c>
      <c r="B40" s="77" t="s">
        <v>28</v>
      </c>
      <c r="C40" s="204">
        <f>'Revenue Allocation'!$AG38</f>
        <v>10.081827087081949</v>
      </c>
      <c r="D40" s="204">
        <v>13.158305182632507</v>
      </c>
      <c r="E40" s="154">
        <f>(D40-$C40)/$C40</f>
        <v>0.30515084904526002</v>
      </c>
      <c r="F40" s="204">
        <v>13.218041260416699</v>
      </c>
      <c r="G40" s="154">
        <f>(F40-$C40)/$C40</f>
        <v>0.31107597325818503</v>
      </c>
      <c r="H40" s="204">
        <v>13.192666431922309</v>
      </c>
      <c r="I40" s="154">
        <f>(H40-$C40)/$C40</f>
        <v>0.3085590853691928</v>
      </c>
      <c r="J40" s="204">
        <v>13.182471650231323</v>
      </c>
      <c r="K40" s="154">
        <f>(J40-$C40)/$C40</f>
        <v>0.30754788158609586</v>
      </c>
      <c r="L40" s="204">
        <v>12.772493007613919</v>
      </c>
      <c r="M40" s="154">
        <f>(L40-$C40)/$C40</f>
        <v>0.26688276810257688</v>
      </c>
      <c r="N40" s="154"/>
      <c r="O40" s="204">
        <v>12.795378949273125</v>
      </c>
      <c r="P40" s="154">
        <f>(O40-$C40)/$C40</f>
        <v>0.26915278736213455</v>
      </c>
      <c r="Q40" s="204">
        <v>12.987373102209068</v>
      </c>
      <c r="R40" s="154">
        <f>(Q40-$C40)/$C40</f>
        <v>0.28819637452918168</v>
      </c>
      <c r="S40" s="204">
        <v>12.905817384401891</v>
      </c>
      <c r="T40" s="154">
        <f>(S40-$C40)/$C40</f>
        <v>0.2801069957784118</v>
      </c>
      <c r="U40" s="204">
        <v>12.873050946635441</v>
      </c>
      <c r="V40" s="154">
        <f>(U40-$C40)/$C40</f>
        <v>0.27685694621066692</v>
      </c>
      <c r="W40" s="204">
        <v>11.555363124955536</v>
      </c>
      <c r="X40" s="154">
        <f>(W40-$C40)/$C40</f>
        <v>0.1461576384067981</v>
      </c>
      <c r="Z40" s="310">
        <f>'Revenue Allocation'!$AC38</f>
        <v>13.908709483623829</v>
      </c>
    </row>
    <row r="41" spans="1:26">
      <c r="A41" s="89" t="s">
        <v>43</v>
      </c>
      <c r="B41" s="77" t="s">
        <v>28</v>
      </c>
      <c r="C41" s="204">
        <f>'Revenue Allocation'!$AG39</f>
        <v>9.5654521137279094</v>
      </c>
      <c r="D41" s="204">
        <v>12.641930209278463</v>
      </c>
      <c r="E41" s="154">
        <f>(D41-$C41)/$C41</f>
        <v>0.32162390851712386</v>
      </c>
      <c r="F41" s="204">
        <v>12.583510513566262</v>
      </c>
      <c r="G41" s="154">
        <f>(F41-$C41)/$C41</f>
        <v>0.31551654474407642</v>
      </c>
      <c r="H41" s="204">
        <v>12.604069254073108</v>
      </c>
      <c r="I41" s="154">
        <f>(H41-$C41)/$C41</f>
        <v>0.31766581487395784</v>
      </c>
      <c r="J41" s="204">
        <v>12.666096676877281</v>
      </c>
      <c r="K41" s="154">
        <f>(J41-$C41)/$C41</f>
        <v>0.32415034086046651</v>
      </c>
      <c r="L41" s="204">
        <v>11.992954912921332</v>
      </c>
      <c r="M41" s="154">
        <f>(L41-$C41)/$C41</f>
        <v>0.25377815604863879</v>
      </c>
      <c r="N41" s="154"/>
      <c r="O41" s="204">
        <v>12.62327340503902</v>
      </c>
      <c r="P41" s="154">
        <f>(O41-$C41)/$C41</f>
        <v>0.3196734722996169</v>
      </c>
      <c r="Q41" s="204">
        <v>12.435510156946968</v>
      </c>
      <c r="R41" s="154">
        <f>(Q41-$C41)/$C41</f>
        <v>0.30004415986778921</v>
      </c>
      <c r="S41" s="204">
        <v>12.501586774553186</v>
      </c>
      <c r="T41" s="154">
        <f>(S41-$C41)/$C41</f>
        <v>0.30695200037763681</v>
      </c>
      <c r="U41" s="204">
        <v>12.700945402401336</v>
      </c>
      <c r="V41" s="154">
        <f>(U41-$C41)/$C41</f>
        <v>0.32779352730996447</v>
      </c>
      <c r="W41" s="204">
        <v>10.537440740387433</v>
      </c>
      <c r="X41" s="154">
        <f>(W41-$C41)/$C41</f>
        <v>0.10161449925242627</v>
      </c>
      <c r="Z41" s="310">
        <f>'Revenue Allocation'!$AC39</f>
        <v>13.392334510269787</v>
      </c>
    </row>
    <row r="42" spans="1:26">
      <c r="A42" s="89" t="s">
        <v>44</v>
      </c>
      <c r="B42" s="77" t="s">
        <v>28</v>
      </c>
      <c r="C42" s="205">
        <f>'Revenue Allocation'!$AG40</f>
        <v>8.6246813934778679</v>
      </c>
      <c r="D42" s="205">
        <v>11.701159489028425</v>
      </c>
      <c r="E42" s="198">
        <f>(D42-$C42)/$C42</f>
        <v>0.35670628921748265</v>
      </c>
      <c r="F42" s="205">
        <v>11.760895566812618</v>
      </c>
      <c r="G42" s="198">
        <f>(F42-$C42)/$C42</f>
        <v>0.36363246713164488</v>
      </c>
      <c r="H42" s="205">
        <v>11.735520738318229</v>
      </c>
      <c r="I42" s="198">
        <f>(H42-$C42)/$C42</f>
        <v>0.36069034934934885</v>
      </c>
      <c r="J42" s="205">
        <v>11.725325956627243</v>
      </c>
      <c r="K42" s="198">
        <f>(J42-$C42)/$C42</f>
        <v>0.35950830201033696</v>
      </c>
      <c r="L42" s="205">
        <v>11.315347314009838</v>
      </c>
      <c r="M42" s="198">
        <f>(L42-$C42)/$C42</f>
        <v>0.31197279038814091</v>
      </c>
      <c r="N42" s="198"/>
      <c r="O42" s="205">
        <v>11.479199148724835</v>
      </c>
      <c r="P42" s="198">
        <f>(O42-$C42)/$C42</f>
        <v>0.33097080634255105</v>
      </c>
      <c r="Q42" s="205">
        <v>11.671193301660775</v>
      </c>
      <c r="R42" s="198">
        <f>(Q42-$C42)/$C42</f>
        <v>0.35323182030662975</v>
      </c>
      <c r="S42" s="205">
        <v>11.589637583853607</v>
      </c>
      <c r="T42" s="198">
        <f>(S42-$C42)/$C42</f>
        <v>0.34377573560200031</v>
      </c>
      <c r="U42" s="205">
        <v>11.556871146087154</v>
      </c>
      <c r="V42" s="198">
        <f>(U42-$C42)/$C42</f>
        <v>0.33997658798464814</v>
      </c>
      <c r="W42" s="205">
        <v>10.239183324407247</v>
      </c>
      <c r="X42" s="198">
        <f>(W42-$C42)/$C42</f>
        <v>0.18719554465516752</v>
      </c>
      <c r="Z42" s="310">
        <f>'Revenue Allocation'!$AC40</f>
        <v>12.451563790019748</v>
      </c>
    </row>
    <row r="43" spans="1:26">
      <c r="A43" s="105" t="s">
        <v>45</v>
      </c>
      <c r="B43" s="189" t="s">
        <v>28</v>
      </c>
      <c r="C43" s="204">
        <f>'Revenue Allocation'!$AG41</f>
        <v>9.8044924416220915</v>
      </c>
      <c r="D43" s="204">
        <v>12.88097306919618</v>
      </c>
      <c r="E43" s="154">
        <f>(D43-$C43)/$C43</f>
        <v>0.31378275274238515</v>
      </c>
      <c r="F43" s="204">
        <v>12.878053218664054</v>
      </c>
      <c r="G43" s="154">
        <f>(F43-$C43)/$C43</f>
        <v>0.31348494532914961</v>
      </c>
      <c r="H43" s="204">
        <v>12.877036153413082</v>
      </c>
      <c r="I43" s="154">
        <f>(H43-$C43)/$C43</f>
        <v>0.31338121071391811</v>
      </c>
      <c r="J43" s="204">
        <v>12.905139541545422</v>
      </c>
      <c r="K43" s="154">
        <f>(J43-$C43)/$C43</f>
        <v>0.31624758939692221</v>
      </c>
      <c r="L43" s="204">
        <v>12.355610017997884</v>
      </c>
      <c r="M43" s="154">
        <f>(L43-$C43)/$C43</f>
        <v>0.26019884166015295</v>
      </c>
      <c r="N43" s="154"/>
      <c r="O43" s="204">
        <v>12.700946390610879</v>
      </c>
      <c r="P43" s="154">
        <f>(O43-$C43)/$C43</f>
        <v>0.2954211007081553</v>
      </c>
      <c r="Q43" s="204">
        <v>12.691561873742527</v>
      </c>
      <c r="R43" s="154">
        <f>(Q43-$C43)/$C43</f>
        <v>0.29446393572238688</v>
      </c>
      <c r="S43" s="204">
        <v>12.688292985181629</v>
      </c>
      <c r="T43" s="154">
        <f>(S43-$C43)/$C43</f>
        <v>0.29413052850315941</v>
      </c>
      <c r="U43" s="204">
        <v>12.778618403241248</v>
      </c>
      <c r="V43" s="154">
        <f>(U43-$C43)/$C43</f>
        <v>0.30334318470106408</v>
      </c>
      <c r="W43" s="204">
        <v>11.012408446036485</v>
      </c>
      <c r="X43" s="154">
        <f>(W43-$C43)/$C43</f>
        <v>0.12320025861680925</v>
      </c>
      <c r="Z43" s="310">
        <f>'Revenue Allocation'!$AC41</f>
        <v>13.631374838163971</v>
      </c>
    </row>
    <row r="44" spans="1:26">
      <c r="A44" s="89"/>
      <c r="B44" s="77"/>
      <c r="C44" s="204">
        <f>'Revenue Allocation'!$AG42</f>
        <v>0</v>
      </c>
      <c r="D44" s="204">
        <v>0</v>
      </c>
      <c r="E44" s="206"/>
      <c r="F44" s="204">
        <v>0</v>
      </c>
      <c r="G44" s="206"/>
      <c r="H44" s="204">
        <v>0</v>
      </c>
      <c r="I44" s="206"/>
      <c r="J44" s="204">
        <v>0</v>
      </c>
      <c r="K44" s="206"/>
      <c r="L44" s="204">
        <v>0</v>
      </c>
      <c r="M44" s="206"/>
      <c r="N44" s="206"/>
      <c r="O44" s="204">
        <v>0</v>
      </c>
      <c r="P44" s="206"/>
      <c r="Q44" s="204">
        <v>0</v>
      </c>
      <c r="R44" s="206"/>
      <c r="S44" s="204">
        <v>0</v>
      </c>
      <c r="T44" s="206"/>
      <c r="U44" s="204">
        <v>0</v>
      </c>
      <c r="V44" s="206"/>
      <c r="W44" s="204">
        <v>0</v>
      </c>
      <c r="X44" s="206"/>
      <c r="Z44" s="310">
        <f>'Revenue Allocation'!$AC42</f>
        <v>0</v>
      </c>
    </row>
    <row r="45" spans="1:26">
      <c r="A45" s="105" t="s">
        <v>45</v>
      </c>
      <c r="B45" s="72"/>
      <c r="C45" s="204">
        <f>'Revenue Allocation'!$AG43</f>
        <v>9.7269353863337535</v>
      </c>
      <c r="D45" s="204">
        <v>12.785180696806323</v>
      </c>
      <c r="E45" s="154">
        <f>(D45-$C45)/$C45</f>
        <v>0.31440995431812713</v>
      </c>
      <c r="F45" s="204">
        <v>12.770811597750692</v>
      </c>
      <c r="G45" s="154">
        <f>(F45-$C45)/$C45</f>
        <v>0.31293270598811151</v>
      </c>
      <c r="H45" s="204">
        <v>12.768142472218175</v>
      </c>
      <c r="I45" s="154">
        <f>(H45-$C45)/$C45</f>
        <v>0.31265830038896802</v>
      </c>
      <c r="J45" s="204">
        <v>12.804057523015217</v>
      </c>
      <c r="K45" s="154">
        <f>(J45-$C45)/$C45</f>
        <v>0.31635062992243057</v>
      </c>
      <c r="L45" s="204">
        <v>12.24606673672241</v>
      </c>
      <c r="M45" s="154">
        <f>(L45-$C45)/$C45</f>
        <v>0.25898510171333211</v>
      </c>
      <c r="N45" s="154"/>
      <c r="O45" s="204">
        <v>12.630812241527195</v>
      </c>
      <c r="P45" s="154">
        <f>(O45-$C45)/$C45</f>
        <v>0.29853974965983215</v>
      </c>
      <c r="Q45" s="204">
        <v>12.584629380114611</v>
      </c>
      <c r="R45" s="154">
        <f>(Q45-$C45)/$C45</f>
        <v>0.29379181420243516</v>
      </c>
      <c r="S45" s="204">
        <v>12.576050703463851</v>
      </c>
      <c r="T45" s="154">
        <f>(S45-$C45)/$C45</f>
        <v>0.29290986358695009</v>
      </c>
      <c r="U45" s="204">
        <v>12.691483119035905</v>
      </c>
      <c r="V45" s="154">
        <f>(U45-$C45)/$C45</f>
        <v>0.30477715898753793</v>
      </c>
      <c r="W45" s="204">
        <v>10.898078323572506</v>
      </c>
      <c r="X45" s="154">
        <f>(W45-$C45)/$C45</f>
        <v>0.12040204758470958</v>
      </c>
      <c r="Z45" s="310">
        <f>'Revenue Allocation'!$AC43</f>
        <v>13.55381778287598</v>
      </c>
    </row>
    <row r="46" spans="1:26">
      <c r="A46" s="89"/>
      <c r="B46" s="73"/>
      <c r="C46" s="204">
        <f>'Revenue Allocation'!$AG44</f>
        <v>0</v>
      </c>
      <c r="D46" s="204">
        <v>0</v>
      </c>
      <c r="E46" s="206"/>
      <c r="F46" s="204">
        <v>0</v>
      </c>
      <c r="G46" s="206"/>
      <c r="H46" s="204">
        <v>0</v>
      </c>
      <c r="I46" s="206"/>
      <c r="J46" s="204">
        <v>0</v>
      </c>
      <c r="K46" s="206"/>
      <c r="L46" s="204">
        <v>0</v>
      </c>
      <c r="M46" s="206"/>
      <c r="N46" s="206"/>
      <c r="O46" s="204">
        <v>0</v>
      </c>
      <c r="P46" s="206"/>
      <c r="Q46" s="204">
        <v>0</v>
      </c>
      <c r="R46" s="206"/>
      <c r="S46" s="204">
        <v>0</v>
      </c>
      <c r="T46" s="206"/>
      <c r="U46" s="204">
        <v>0</v>
      </c>
      <c r="V46" s="206"/>
      <c r="W46" s="204">
        <v>0</v>
      </c>
      <c r="X46" s="206"/>
      <c r="Z46" s="310">
        <f>'Revenue Allocation'!$AC44</f>
        <v>0</v>
      </c>
    </row>
    <row r="47" spans="1:26">
      <c r="A47" s="89" t="s">
        <v>47</v>
      </c>
      <c r="B47" s="77" t="s">
        <v>28</v>
      </c>
      <c r="C47" s="205">
        <f>'Revenue Allocation'!$AG45</f>
        <v>7.7291178548663648</v>
      </c>
      <c r="D47" s="205">
        <v>10.805595950416921</v>
      </c>
      <c r="E47" s="198">
        <f>(D47-$C47)/$C47</f>
        <v>0.39803741556529126</v>
      </c>
      <c r="F47" s="205">
        <v>10.865332028201111</v>
      </c>
      <c r="G47" s="198">
        <f>(F47-$C47)/$C47</f>
        <v>0.40576612133817319</v>
      </c>
      <c r="H47" s="205">
        <v>10.839957199706724</v>
      </c>
      <c r="I47" s="198">
        <f>(H47-$C47)/$C47</f>
        <v>0.40248310392650172</v>
      </c>
      <c r="J47" s="205">
        <v>10.829762418015736</v>
      </c>
      <c r="K47" s="198">
        <f>(J47-$C47)/$C47</f>
        <v>0.4011640941918308</v>
      </c>
      <c r="L47" s="205">
        <v>10.419783775398335</v>
      </c>
      <c r="M47" s="198">
        <f>(L47-$C47)/$C47</f>
        <v>0.34812070032518494</v>
      </c>
      <c r="N47" s="198"/>
      <c r="O47" s="205">
        <v>12.469684631667965</v>
      </c>
      <c r="P47" s="198">
        <f>(O47-$C47)/$C47</f>
        <v>0.61333865854003899</v>
      </c>
      <c r="Q47" s="205">
        <v>12.661678784603907</v>
      </c>
      <c r="R47" s="198">
        <f>(Q47-$C47)/$C47</f>
        <v>0.63817902927071168</v>
      </c>
      <c r="S47" s="205">
        <v>12.580123066796736</v>
      </c>
      <c r="T47" s="198">
        <f>(S47-$C47)/$C47</f>
        <v>0.62762727946710084</v>
      </c>
      <c r="U47" s="205">
        <v>12.547356629030284</v>
      </c>
      <c r="V47" s="198">
        <f>(U47-$C47)/$C47</f>
        <v>0.62338792920983688</v>
      </c>
      <c r="W47" s="205">
        <v>11.229668807350375</v>
      </c>
      <c r="X47" s="198">
        <f>(W47-$C47)/$C47</f>
        <v>0.45290433115598216</v>
      </c>
      <c r="Z47" s="310">
        <f>'Revenue Allocation'!$AC45</f>
        <v>11.556000251408244</v>
      </c>
    </row>
    <row r="48" spans="1:26">
      <c r="A48" s="105" t="s">
        <v>48</v>
      </c>
      <c r="B48" s="72"/>
      <c r="C48" s="204">
        <f>'Revenue Allocation'!$AG46</f>
        <v>7.7291178548663648</v>
      </c>
      <c r="D48" s="204">
        <v>10.805595950416921</v>
      </c>
      <c r="E48" s="154">
        <f>(D48-$C48)/$C48</f>
        <v>0.39803741556529126</v>
      </c>
      <c r="F48" s="204">
        <v>10.865332028201111</v>
      </c>
      <c r="G48" s="154">
        <f>(F48-$C48)/$C48</f>
        <v>0.40576612133817319</v>
      </c>
      <c r="H48" s="204">
        <v>10.839957199706724</v>
      </c>
      <c r="I48" s="154">
        <f>(H48-$C48)/$C48</f>
        <v>0.40248310392650172</v>
      </c>
      <c r="J48" s="204">
        <v>10.829762418015736</v>
      </c>
      <c r="K48" s="154">
        <f>(J48-$C48)/$C48</f>
        <v>0.4011640941918308</v>
      </c>
      <c r="L48" s="204">
        <v>10.419783775398335</v>
      </c>
      <c r="M48" s="154">
        <f>(L48-$C48)/$C48</f>
        <v>0.34812070032518494</v>
      </c>
      <c r="N48" s="154"/>
      <c r="O48" s="204">
        <v>12.469684631667965</v>
      </c>
      <c r="P48" s="154">
        <f>(O48-$C48)/$C48</f>
        <v>0.61333865854003899</v>
      </c>
      <c r="Q48" s="204">
        <v>12.661678784603907</v>
      </c>
      <c r="R48" s="154">
        <f>(Q48-$C48)/$C48</f>
        <v>0.63817902927071168</v>
      </c>
      <c r="S48" s="204">
        <v>12.580123066796736</v>
      </c>
      <c r="T48" s="154">
        <f>(S48-$C48)/$C48</f>
        <v>0.62762727946710084</v>
      </c>
      <c r="U48" s="204">
        <v>12.547356629030284</v>
      </c>
      <c r="V48" s="154">
        <f>(U48-$C48)/$C48</f>
        <v>0.62338792920983688</v>
      </c>
      <c r="W48" s="204">
        <v>11.229668807350375</v>
      </c>
      <c r="X48" s="154">
        <f>(W48-$C48)/$C48</f>
        <v>0.45290433115598216</v>
      </c>
      <c r="Z48" s="310">
        <f>'Revenue Allocation'!$AC46</f>
        <v>11.556000251408244</v>
      </c>
    </row>
    <row r="49" spans="1:26">
      <c r="A49" s="89"/>
      <c r="B49" s="73"/>
      <c r="C49" s="204">
        <f>'Revenue Allocation'!$AG47</f>
        <v>0</v>
      </c>
      <c r="D49" s="204">
        <v>0</v>
      </c>
      <c r="E49" s="206"/>
      <c r="F49" s="204">
        <v>0</v>
      </c>
      <c r="G49" s="206"/>
      <c r="H49" s="204">
        <v>0</v>
      </c>
      <c r="I49" s="206"/>
      <c r="J49" s="204">
        <v>0</v>
      </c>
      <c r="K49" s="206"/>
      <c r="L49" s="204">
        <v>0</v>
      </c>
      <c r="M49" s="206"/>
      <c r="N49" s="206"/>
      <c r="O49" s="204">
        <v>0</v>
      </c>
      <c r="P49" s="206"/>
      <c r="Q49" s="204">
        <v>0</v>
      </c>
      <c r="R49" s="206"/>
      <c r="S49" s="204">
        <v>0</v>
      </c>
      <c r="T49" s="206"/>
      <c r="U49" s="204">
        <v>0</v>
      </c>
      <c r="V49" s="206"/>
      <c r="W49" s="204">
        <v>0</v>
      </c>
      <c r="X49" s="206"/>
      <c r="Z49" s="310">
        <f>'Revenue Allocation'!$AC47</f>
        <v>0</v>
      </c>
    </row>
    <row r="50" spans="1:26">
      <c r="A50" s="105" t="s">
        <v>49</v>
      </c>
      <c r="B50" s="189" t="s">
        <v>21</v>
      </c>
      <c r="C50" s="204">
        <f>'Revenue Allocation'!$AG48</f>
        <v>9.444887330214975</v>
      </c>
      <c r="D50" s="204">
        <v>12.522519759087626</v>
      </c>
      <c r="E50" s="154">
        <f>(D50-$C50)/$C50</f>
        <v>0.32585168263755249</v>
      </c>
      <c r="F50" s="204">
        <v>12.300366793595881</v>
      </c>
      <c r="G50" s="154">
        <f>(F50-$C50)/$C50</f>
        <v>0.30233070692606268</v>
      </c>
      <c r="H50" s="204">
        <v>12.276434978035713</v>
      </c>
      <c r="I50" s="154">
        <f>(H50-$C50)/$C50</f>
        <v>0.29979686880566409</v>
      </c>
      <c r="J50" s="204">
        <v>12.360918430083279</v>
      </c>
      <c r="K50" s="154">
        <f>(J50-$C50)/$C50</f>
        <v>0.30874175603341286</v>
      </c>
      <c r="L50" s="204">
        <v>11.811683509616548</v>
      </c>
      <c r="M50" s="154">
        <f>(L50-$C50)/$C50</f>
        <v>0.25059019728377246</v>
      </c>
      <c r="N50" s="154"/>
      <c r="O50" s="204">
        <v>11.642013597006329</v>
      </c>
      <c r="P50" s="154">
        <f>(O50-$C50)/$C50</f>
        <v>0.23262599012299129</v>
      </c>
      <c r="Q50" s="204">
        <v>10.928005044488327</v>
      </c>
      <c r="R50" s="154">
        <f>(Q50-$C50)/$C50</f>
        <v>0.15702862960881867</v>
      </c>
      <c r="S50" s="204">
        <v>10.851087228201612</v>
      </c>
      <c r="T50" s="154">
        <f>(S50-$C50)/$C50</f>
        <v>0.14888477213360579</v>
      </c>
      <c r="U50" s="204">
        <v>11.12262043584834</v>
      </c>
      <c r="V50" s="154">
        <f>(U50-$C50)/$C50</f>
        <v>0.17763399890077652</v>
      </c>
      <c r="W50" s="204">
        <v>9.3573573447762346</v>
      </c>
      <c r="X50" s="154">
        <f>(W50-$C50)/$C50</f>
        <v>-9.2674462255070734E-3</v>
      </c>
      <c r="Z50" s="310">
        <f>'Revenue Allocation'!$AC48</f>
        <v>13.271769726756855</v>
      </c>
    </row>
    <row r="51" spans="1:26">
      <c r="A51" s="105" t="s">
        <v>49</v>
      </c>
      <c r="B51" s="189" t="s">
        <v>27</v>
      </c>
      <c r="C51" s="204">
        <f>'Revenue Allocation'!$AG49</f>
        <v>8.7242728350980947</v>
      </c>
      <c r="D51" s="204">
        <v>11.545633694895887</v>
      </c>
      <c r="E51" s="154">
        <f>(D51-$C51)/$C51</f>
        <v>0.32339209388859846</v>
      </c>
      <c r="F51" s="204">
        <v>11.385546815940833</v>
      </c>
      <c r="G51" s="154">
        <f>(F51-$C51)/$C51</f>
        <v>0.30504249822819934</v>
      </c>
      <c r="H51" s="204">
        <v>11.361730810085096</v>
      </c>
      <c r="I51" s="154">
        <f>(H51-$C51)/$C51</f>
        <v>0.30231264253639606</v>
      </c>
      <c r="J51" s="204">
        <v>11.498356739380661</v>
      </c>
      <c r="K51" s="154">
        <f>(J51-$C51)/$C51</f>
        <v>0.31797308001674557</v>
      </c>
      <c r="L51" s="204">
        <v>10.83042914236815</v>
      </c>
      <c r="M51" s="154">
        <f>(L51-$C51)/$C51</f>
        <v>0.24141339307923806</v>
      </c>
      <c r="N51" s="154"/>
      <c r="O51" s="204">
        <v>11.73431424139792</v>
      </c>
      <c r="P51" s="154">
        <f>(O51-$C51)/$C51</f>
        <v>0.34501917388350228</v>
      </c>
      <c r="Q51" s="204">
        <v>11.219788583517071</v>
      </c>
      <c r="R51" s="154">
        <f>(Q51-$C51)/$C51</f>
        <v>0.28604283653067536</v>
      </c>
      <c r="S51" s="204">
        <v>11.143242984271188</v>
      </c>
      <c r="T51" s="154">
        <f>(S51-$C51)/$C51</f>
        <v>0.2772689707091095</v>
      </c>
      <c r="U51" s="204">
        <v>11.582364207779591</v>
      </c>
      <c r="V51" s="154">
        <f>(U51-$C51)/$C51</f>
        <v>0.32760224567751728</v>
      </c>
      <c r="W51" s="204">
        <v>9.4356180877173159</v>
      </c>
      <c r="X51" s="154">
        <f>(W51-$C51)/$C51</f>
        <v>8.1536337304520229E-2</v>
      </c>
      <c r="Z51" s="310">
        <f>'Revenue Allocation'!$AC49</f>
        <v>12.55115523164481</v>
      </c>
    </row>
    <row r="52" spans="1:26">
      <c r="A52" s="105" t="s">
        <v>49</v>
      </c>
      <c r="B52" s="189" t="s">
        <v>28</v>
      </c>
      <c r="C52" s="205">
        <f>'Revenue Allocation'!$AG50</f>
        <v>9.79512597521183</v>
      </c>
      <c r="D52" s="205">
        <v>12.871604070762382</v>
      </c>
      <c r="E52" s="198">
        <f>(D52-$C52)/$C52</f>
        <v>0.31408254506742267</v>
      </c>
      <c r="F52" s="205">
        <v>12.868966996090347</v>
      </c>
      <c r="G52" s="198">
        <f>(F52-$C52)/$C52</f>
        <v>0.31381332191718353</v>
      </c>
      <c r="H52" s="205">
        <v>12.867840000921346</v>
      </c>
      <c r="I52" s="198">
        <f>(H52-$C52)/$C52</f>
        <v>0.31369826518673899</v>
      </c>
      <c r="J52" s="205">
        <v>12.895770538361202</v>
      </c>
      <c r="K52" s="198">
        <f>(J52-$C52)/$C52</f>
        <v>0.3165497382061303</v>
      </c>
      <c r="L52" s="205">
        <v>12.346870935706182</v>
      </c>
      <c r="M52" s="198">
        <f>(L52-$C52)/$C52</f>
        <v>0.26051170418348474</v>
      </c>
      <c r="N52" s="198"/>
      <c r="O52" s="205">
        <v>12.69990018739519</v>
      </c>
      <c r="P52" s="198">
        <f>(O52-$C52)/$C52</f>
        <v>0.29655302234339476</v>
      </c>
      <c r="Q52" s="205">
        <v>12.691424523497147</v>
      </c>
      <c r="R52" s="198">
        <f>(Q52-$C52)/$C52</f>
        <v>0.29568772832681017</v>
      </c>
      <c r="S52" s="205">
        <v>12.687802315765037</v>
      </c>
      <c r="T52" s="198">
        <f>(S52-$C52)/$C52</f>
        <v>0.29531793137460383</v>
      </c>
      <c r="U52" s="205">
        <v>12.77757218475751</v>
      </c>
      <c r="V52" s="198">
        <f>(U52-$C52)/$C52</f>
        <v>0.30448268017106145</v>
      </c>
      <c r="W52" s="205">
        <v>11.013386818598249</v>
      </c>
      <c r="X52" s="198">
        <f>(W52-$C52)/$C52</f>
        <v>0.12437418839425116</v>
      </c>
      <c r="Z52" s="310">
        <f>'Revenue Allocation'!$AC50</f>
        <v>13.62200837175371</v>
      </c>
    </row>
    <row r="53" spans="1:26">
      <c r="A53" s="84" t="s">
        <v>41</v>
      </c>
      <c r="B53" s="72"/>
      <c r="C53" s="204">
        <f>'Revenue Allocation'!$AG51</f>
        <v>9.7185695167283939</v>
      </c>
      <c r="D53" s="204">
        <v>12.776891177067807</v>
      </c>
      <c r="E53" s="154">
        <f>(D53-$C53)/$C53</f>
        <v>0.31468845853036093</v>
      </c>
      <c r="F53" s="204">
        <v>12.762832393762618</v>
      </c>
      <c r="G53" s="154">
        <f>(F53-$C53)/$C53</f>
        <v>0.31324186875385224</v>
      </c>
      <c r="H53" s="204">
        <v>12.76006818800016</v>
      </c>
      <c r="I53" s="154">
        <f>(H53-$C53)/$C53</f>
        <v>0.31295744358637251</v>
      </c>
      <c r="J53" s="204">
        <v>12.795790153673034</v>
      </c>
      <c r="K53" s="154">
        <f>(J53-$C53)/$C53</f>
        <v>0.31663308387596312</v>
      </c>
      <c r="L53" s="204">
        <v>12.238419168875859</v>
      </c>
      <c r="M53" s="154">
        <f>(L53-$C53)/$C53</f>
        <v>0.25928194965422585</v>
      </c>
      <c r="N53" s="154"/>
      <c r="O53" s="204">
        <v>12.630137518959856</v>
      </c>
      <c r="P53" s="154">
        <f>(O53-$C53)/$C53</f>
        <v>0.29958812325413053</v>
      </c>
      <c r="Q53" s="204">
        <v>12.584952024831145</v>
      </c>
      <c r="R53" s="154">
        <f>(Q53-$C53)/$C53</f>
        <v>0.29493872561891948</v>
      </c>
      <c r="S53" s="204">
        <v>12.576067756503026</v>
      </c>
      <c r="T53" s="154">
        <f>(S53-$C53)/$C53</f>
        <v>0.29402457170842611</v>
      </c>
      <c r="U53" s="204">
        <v>12.690879588731924</v>
      </c>
      <c r="V53" s="154">
        <f>(U53-$C53)/$C53</f>
        <v>0.30583822720898873</v>
      </c>
      <c r="W53" s="204">
        <v>10.899466860166047</v>
      </c>
      <c r="X53" s="154">
        <f>(W53-$C53)/$C53</f>
        <v>0.12150937865958529</v>
      </c>
      <c r="Z53" s="310">
        <f>'Revenue Allocation'!$AC51</f>
        <v>13.545451913270615</v>
      </c>
    </row>
    <row r="54" spans="1:26">
      <c r="A54" s="89"/>
      <c r="B54" s="77"/>
      <c r="C54" s="204">
        <f>'Revenue Allocation'!$AG52</f>
        <v>0</v>
      </c>
      <c r="D54" s="204">
        <v>0</v>
      </c>
      <c r="E54" s="206"/>
      <c r="F54" s="204">
        <v>0</v>
      </c>
      <c r="G54" s="206"/>
      <c r="H54" s="204">
        <v>0</v>
      </c>
      <c r="I54" s="206"/>
      <c r="J54" s="204">
        <v>0</v>
      </c>
      <c r="K54" s="206"/>
      <c r="L54" s="204">
        <v>0</v>
      </c>
      <c r="M54" s="206"/>
      <c r="N54" s="206"/>
      <c r="O54" s="204">
        <v>0</v>
      </c>
      <c r="P54" s="206"/>
      <c r="Q54" s="204">
        <v>0</v>
      </c>
      <c r="R54" s="206"/>
      <c r="S54" s="204">
        <v>0</v>
      </c>
      <c r="T54" s="206"/>
      <c r="U54" s="204">
        <v>0</v>
      </c>
      <c r="V54" s="206"/>
      <c r="W54" s="204">
        <v>0</v>
      </c>
      <c r="X54" s="206"/>
      <c r="Z54" s="310">
        <f>'Revenue Allocation'!$AC52</f>
        <v>0</v>
      </c>
    </row>
    <row r="55" spans="1:26">
      <c r="A55" s="81" t="s">
        <v>51</v>
      </c>
      <c r="B55" s="77" t="s">
        <v>28</v>
      </c>
      <c r="C55" s="204">
        <f>'Revenue Allocation'!$AG53</f>
        <v>13.231842444156401</v>
      </c>
      <c r="D55" s="204">
        <v>16.308320539706955</v>
      </c>
      <c r="E55" s="154">
        <f>(D55-$C55)/$C55</f>
        <v>0.23250564753431022</v>
      </c>
      <c r="F55" s="204">
        <v>15.9736823801257</v>
      </c>
      <c r="G55" s="154">
        <f>(F55-$C55)/$C55</f>
        <v>0.20721527992348354</v>
      </c>
      <c r="H55" s="204">
        <v>15.523928602427226</v>
      </c>
      <c r="I55" s="154">
        <f>(H55-$C55)/$C55</f>
        <v>0.173225018960461</v>
      </c>
      <c r="J55" s="204">
        <v>16.332487007305772</v>
      </c>
      <c r="K55" s="154">
        <f>(J55-$C55)/$C55</f>
        <v>0.23433203472874739</v>
      </c>
      <c r="L55" s="204">
        <v>13.778098739534931</v>
      </c>
      <c r="M55" s="154">
        <f>(L55-$C55)/$C55</f>
        <v>4.1283464316020042E-2</v>
      </c>
      <c r="N55" s="154"/>
      <c r="O55" s="204">
        <v>18.029273769996486</v>
      </c>
      <c r="P55" s="154">
        <f>(O55-$C55)/$C55</f>
        <v>0.36256714407590168</v>
      </c>
      <c r="Q55" s="204">
        <v>16.95373328638868</v>
      </c>
      <c r="R55" s="154">
        <f>(Q55-$C55)/$C55</f>
        <v>0.28128288694035825</v>
      </c>
      <c r="S55" s="204">
        <v>15.508206583230949</v>
      </c>
      <c r="T55" s="154">
        <f>(S55-$C55)/$C55</f>
        <v>0.17203682319236371</v>
      </c>
      <c r="U55" s="204">
        <v>18.106945767358802</v>
      </c>
      <c r="V55" s="154">
        <f>(U55-$C55)/$C55</f>
        <v>0.3684372258645961</v>
      </c>
      <c r="W55" s="204">
        <v>9.897039293218997</v>
      </c>
      <c r="X55" s="154">
        <f>(W55-$C55)/$C55</f>
        <v>-0.2520286320678008</v>
      </c>
      <c r="Z55" s="310">
        <f>'Revenue Allocation'!$AC53</f>
        <v>17.058724840698282</v>
      </c>
    </row>
    <row r="56" spans="1:26">
      <c r="A56" s="89"/>
      <c r="B56" s="77"/>
      <c r="C56" s="204">
        <f>'Revenue Allocation'!$AG54</f>
        <v>0</v>
      </c>
      <c r="D56" s="204">
        <v>0</v>
      </c>
      <c r="E56" s="206"/>
      <c r="F56" s="204">
        <v>0</v>
      </c>
      <c r="G56" s="206"/>
      <c r="H56" s="204">
        <v>0</v>
      </c>
      <c r="I56" s="206"/>
      <c r="J56" s="204">
        <v>0</v>
      </c>
      <c r="K56" s="206"/>
      <c r="L56" s="204">
        <v>0</v>
      </c>
      <c r="M56" s="206"/>
      <c r="N56" s="206"/>
      <c r="O56" s="204">
        <v>0</v>
      </c>
      <c r="P56" s="206"/>
      <c r="Q56" s="204">
        <v>0</v>
      </c>
      <c r="R56" s="206"/>
      <c r="S56" s="204">
        <v>0</v>
      </c>
      <c r="T56" s="206"/>
      <c r="U56" s="204">
        <v>0</v>
      </c>
      <c r="V56" s="206"/>
      <c r="W56" s="204">
        <v>0</v>
      </c>
      <c r="X56" s="206"/>
      <c r="Z56" s="310">
        <f>'Revenue Allocation'!$AC54</f>
        <v>0</v>
      </c>
    </row>
    <row r="57" spans="1:26">
      <c r="A57" s="81" t="s">
        <v>52</v>
      </c>
      <c r="B57" s="77"/>
      <c r="C57" s="204">
        <f>'Revenue Allocation'!$AG55</f>
        <v>0</v>
      </c>
      <c r="D57" s="204">
        <v>0</v>
      </c>
      <c r="E57" s="206"/>
      <c r="F57" s="204">
        <v>0</v>
      </c>
      <c r="G57" s="206"/>
      <c r="H57" s="204">
        <v>0</v>
      </c>
      <c r="I57" s="206"/>
      <c r="J57" s="204">
        <v>0</v>
      </c>
      <c r="K57" s="206"/>
      <c r="L57" s="204">
        <v>0</v>
      </c>
      <c r="M57" s="206"/>
      <c r="N57" s="206"/>
      <c r="O57" s="204">
        <v>0</v>
      </c>
      <c r="P57" s="206"/>
      <c r="Q57" s="204">
        <v>0</v>
      </c>
      <c r="R57" s="206"/>
      <c r="S57" s="204">
        <v>0</v>
      </c>
      <c r="T57" s="206"/>
      <c r="U57" s="204">
        <v>0</v>
      </c>
      <c r="V57" s="206"/>
      <c r="W57" s="204">
        <v>0</v>
      </c>
      <c r="X57" s="206"/>
      <c r="Z57" s="310">
        <f>'Revenue Allocation'!$AC55</f>
        <v>0</v>
      </c>
    </row>
    <row r="58" spans="1:26" hidden="1">
      <c r="A58" s="89" t="s">
        <v>53</v>
      </c>
      <c r="B58" s="77" t="s">
        <v>21</v>
      </c>
      <c r="C58" s="204">
        <f>'Revenue Allocation'!$AG56</f>
        <v>0</v>
      </c>
      <c r="D58" s="204">
        <v>0</v>
      </c>
      <c r="E58" s="206"/>
      <c r="F58" s="204">
        <v>0</v>
      </c>
      <c r="G58" s="206"/>
      <c r="H58" s="204">
        <v>0</v>
      </c>
      <c r="I58" s="206"/>
      <c r="J58" s="204">
        <v>0</v>
      </c>
      <c r="K58" s="206"/>
      <c r="L58" s="204">
        <v>0</v>
      </c>
      <c r="M58" s="206"/>
      <c r="N58" s="206"/>
      <c r="O58" s="204">
        <v>0</v>
      </c>
      <c r="P58" s="206"/>
      <c r="Q58" s="204">
        <v>0</v>
      </c>
      <c r="R58" s="206"/>
      <c r="S58" s="204">
        <v>0</v>
      </c>
      <c r="T58" s="206"/>
      <c r="U58" s="204">
        <v>0</v>
      </c>
      <c r="V58" s="206"/>
      <c r="W58" s="204">
        <v>0</v>
      </c>
      <c r="X58" s="206"/>
      <c r="Z58" s="310">
        <f>'Revenue Allocation'!$AC56</f>
        <v>0</v>
      </c>
    </row>
    <row r="59" spans="1:26" hidden="1">
      <c r="A59" s="89"/>
      <c r="B59" s="77" t="s">
        <v>27</v>
      </c>
      <c r="C59" s="204">
        <f>'Revenue Allocation'!$AG57</f>
        <v>0</v>
      </c>
      <c r="D59" s="204">
        <v>0</v>
      </c>
      <c r="E59" s="206"/>
      <c r="F59" s="204">
        <v>0</v>
      </c>
      <c r="G59" s="206"/>
      <c r="H59" s="204">
        <v>0</v>
      </c>
      <c r="I59" s="206"/>
      <c r="J59" s="204">
        <v>0</v>
      </c>
      <c r="K59" s="206"/>
      <c r="L59" s="204">
        <v>0</v>
      </c>
      <c r="M59" s="206"/>
      <c r="N59" s="206"/>
      <c r="O59" s="204">
        <v>0</v>
      </c>
      <c r="P59" s="206"/>
      <c r="Q59" s="204">
        <v>0</v>
      </c>
      <c r="R59" s="206"/>
      <c r="S59" s="204">
        <v>0</v>
      </c>
      <c r="T59" s="206"/>
      <c r="U59" s="204">
        <v>0</v>
      </c>
      <c r="V59" s="206"/>
      <c r="W59" s="204">
        <v>0</v>
      </c>
      <c r="X59" s="206"/>
      <c r="Z59" s="310">
        <f>'Revenue Allocation'!$AC57</f>
        <v>0</v>
      </c>
    </row>
    <row r="60" spans="1:26" hidden="1">
      <c r="A60" s="89"/>
      <c r="B60" s="77" t="s">
        <v>28</v>
      </c>
      <c r="C60" s="204">
        <f>'Revenue Allocation'!$AG58</f>
        <v>0</v>
      </c>
      <c r="D60" s="204">
        <v>0</v>
      </c>
      <c r="E60" s="206"/>
      <c r="F60" s="204">
        <v>0</v>
      </c>
      <c r="G60" s="206"/>
      <c r="H60" s="204">
        <v>0</v>
      </c>
      <c r="I60" s="206"/>
      <c r="J60" s="204">
        <v>0</v>
      </c>
      <c r="K60" s="206"/>
      <c r="L60" s="204">
        <v>0</v>
      </c>
      <c r="M60" s="206"/>
      <c r="N60" s="206"/>
      <c r="O60" s="204">
        <v>0</v>
      </c>
      <c r="P60" s="206"/>
      <c r="Q60" s="204">
        <v>0</v>
      </c>
      <c r="R60" s="206"/>
      <c r="S60" s="204">
        <v>0</v>
      </c>
      <c r="T60" s="206"/>
      <c r="U60" s="204">
        <v>0</v>
      </c>
      <c r="V60" s="206"/>
      <c r="W60" s="204">
        <v>0</v>
      </c>
      <c r="X60" s="206"/>
      <c r="Z60" s="310">
        <f>'Revenue Allocation'!$AC58</f>
        <v>0</v>
      </c>
    </row>
    <row r="61" spans="1:26" hidden="1">
      <c r="A61" s="89" t="s">
        <v>54</v>
      </c>
      <c r="B61" s="77"/>
      <c r="C61" s="204">
        <f>'Revenue Allocation'!$AG59</f>
        <v>0</v>
      </c>
      <c r="D61" s="204">
        <v>0</v>
      </c>
      <c r="E61" s="206"/>
      <c r="F61" s="204">
        <v>0</v>
      </c>
      <c r="G61" s="206"/>
      <c r="H61" s="204">
        <v>0</v>
      </c>
      <c r="I61" s="206"/>
      <c r="J61" s="204">
        <v>0</v>
      </c>
      <c r="K61" s="206"/>
      <c r="L61" s="204">
        <v>0</v>
      </c>
      <c r="M61" s="206"/>
      <c r="N61" s="206"/>
      <c r="O61" s="204">
        <v>0</v>
      </c>
      <c r="P61" s="206"/>
      <c r="Q61" s="204">
        <v>0</v>
      </c>
      <c r="R61" s="206"/>
      <c r="S61" s="204">
        <v>0</v>
      </c>
      <c r="T61" s="206"/>
      <c r="U61" s="204">
        <v>0</v>
      </c>
      <c r="V61" s="206"/>
      <c r="W61" s="204">
        <v>0</v>
      </c>
      <c r="X61" s="206"/>
      <c r="Z61" s="310">
        <f>'Revenue Allocation'!$AC59</f>
        <v>0</v>
      </c>
    </row>
    <row r="62" spans="1:26" hidden="1">
      <c r="A62" s="89"/>
      <c r="B62" s="77"/>
      <c r="C62" s="204">
        <f>'Revenue Allocation'!$AG60</f>
        <v>0</v>
      </c>
      <c r="D62" s="204">
        <v>0</v>
      </c>
      <c r="E62" s="206"/>
      <c r="F62" s="204">
        <v>0</v>
      </c>
      <c r="G62" s="206"/>
      <c r="H62" s="204">
        <v>0</v>
      </c>
      <c r="I62" s="206"/>
      <c r="J62" s="204">
        <v>0</v>
      </c>
      <c r="K62" s="206"/>
      <c r="L62" s="204">
        <v>0</v>
      </c>
      <c r="M62" s="206"/>
      <c r="N62" s="206"/>
      <c r="O62" s="204">
        <v>0</v>
      </c>
      <c r="P62" s="206"/>
      <c r="Q62" s="204">
        <v>0</v>
      </c>
      <c r="R62" s="206"/>
      <c r="S62" s="204">
        <v>0</v>
      </c>
      <c r="T62" s="206"/>
      <c r="U62" s="204">
        <v>0</v>
      </c>
      <c r="V62" s="206"/>
      <c r="W62" s="204">
        <v>0</v>
      </c>
      <c r="X62" s="206"/>
      <c r="Z62" s="310">
        <f>'Revenue Allocation'!$AC60</f>
        <v>0</v>
      </c>
    </row>
    <row r="63" spans="1:26" hidden="1">
      <c r="A63" s="89" t="s">
        <v>55</v>
      </c>
      <c r="B63" s="77" t="s">
        <v>21</v>
      </c>
      <c r="C63" s="204">
        <f>'Revenue Allocation'!$AG61</f>
        <v>0</v>
      </c>
      <c r="D63" s="204">
        <v>0</v>
      </c>
      <c r="E63" s="206"/>
      <c r="F63" s="204">
        <v>0</v>
      </c>
      <c r="G63" s="206"/>
      <c r="H63" s="204">
        <v>0</v>
      </c>
      <c r="I63" s="206"/>
      <c r="J63" s="204">
        <v>0</v>
      </c>
      <c r="K63" s="206"/>
      <c r="L63" s="204">
        <v>0</v>
      </c>
      <c r="M63" s="206"/>
      <c r="N63" s="206"/>
      <c r="O63" s="204">
        <v>0</v>
      </c>
      <c r="P63" s="206"/>
      <c r="Q63" s="204">
        <v>0</v>
      </c>
      <c r="R63" s="206"/>
      <c r="S63" s="204">
        <v>0</v>
      </c>
      <c r="T63" s="206"/>
      <c r="U63" s="204">
        <v>0</v>
      </c>
      <c r="V63" s="206"/>
      <c r="W63" s="204">
        <v>0</v>
      </c>
      <c r="X63" s="206"/>
      <c r="Z63" s="310">
        <f>'Revenue Allocation'!$AC61</f>
        <v>0</v>
      </c>
    </row>
    <row r="64" spans="1:26" hidden="1">
      <c r="A64" s="89"/>
      <c r="B64" s="77" t="s">
        <v>27</v>
      </c>
      <c r="C64" s="204">
        <f>'Revenue Allocation'!$AG62</f>
        <v>0</v>
      </c>
      <c r="D64" s="204">
        <v>0</v>
      </c>
      <c r="E64" s="206"/>
      <c r="F64" s="204">
        <v>0</v>
      </c>
      <c r="G64" s="206"/>
      <c r="H64" s="204">
        <v>0</v>
      </c>
      <c r="I64" s="206"/>
      <c r="J64" s="204">
        <v>0</v>
      </c>
      <c r="K64" s="206"/>
      <c r="L64" s="204">
        <v>0</v>
      </c>
      <c r="M64" s="206"/>
      <c r="N64" s="206"/>
      <c r="O64" s="204">
        <v>0</v>
      </c>
      <c r="P64" s="206"/>
      <c r="Q64" s="204">
        <v>0</v>
      </c>
      <c r="R64" s="206"/>
      <c r="S64" s="204">
        <v>0</v>
      </c>
      <c r="T64" s="206"/>
      <c r="U64" s="204">
        <v>0</v>
      </c>
      <c r="V64" s="206"/>
      <c r="W64" s="204">
        <v>0</v>
      </c>
      <c r="X64" s="206"/>
      <c r="Z64" s="310">
        <f>'Revenue Allocation'!$AC62</f>
        <v>0</v>
      </c>
    </row>
    <row r="65" spans="1:26" hidden="1">
      <c r="A65" s="89"/>
      <c r="B65" s="77" t="s">
        <v>28</v>
      </c>
      <c r="C65" s="204">
        <f>'Revenue Allocation'!$AG63</f>
        <v>0</v>
      </c>
      <c r="D65" s="204">
        <v>0</v>
      </c>
      <c r="E65" s="206"/>
      <c r="F65" s="204">
        <v>0</v>
      </c>
      <c r="G65" s="206"/>
      <c r="H65" s="204">
        <v>0</v>
      </c>
      <c r="I65" s="206"/>
      <c r="J65" s="204">
        <v>0</v>
      </c>
      <c r="K65" s="206"/>
      <c r="L65" s="204">
        <v>0</v>
      </c>
      <c r="M65" s="206"/>
      <c r="N65" s="206"/>
      <c r="O65" s="204">
        <v>0</v>
      </c>
      <c r="P65" s="206"/>
      <c r="Q65" s="204">
        <v>0</v>
      </c>
      <c r="R65" s="206"/>
      <c r="S65" s="204">
        <v>0</v>
      </c>
      <c r="T65" s="206"/>
      <c r="U65" s="204">
        <v>0</v>
      </c>
      <c r="V65" s="206"/>
      <c r="W65" s="204">
        <v>0</v>
      </c>
      <c r="X65" s="206"/>
      <c r="Z65" s="310">
        <f>'Revenue Allocation'!$AC63</f>
        <v>0</v>
      </c>
    </row>
    <row r="66" spans="1:26" hidden="1">
      <c r="A66" s="89" t="s">
        <v>56</v>
      </c>
      <c r="B66" s="77"/>
      <c r="C66" s="204">
        <f>'Revenue Allocation'!$AG64</f>
        <v>0</v>
      </c>
      <c r="D66" s="204">
        <v>0</v>
      </c>
      <c r="E66" s="206"/>
      <c r="F66" s="204">
        <v>0</v>
      </c>
      <c r="G66" s="206"/>
      <c r="H66" s="204">
        <v>0</v>
      </c>
      <c r="I66" s="206"/>
      <c r="J66" s="204">
        <v>0</v>
      </c>
      <c r="K66" s="206"/>
      <c r="L66" s="204">
        <v>0</v>
      </c>
      <c r="M66" s="206"/>
      <c r="N66" s="206"/>
      <c r="O66" s="204">
        <v>0</v>
      </c>
      <c r="P66" s="206"/>
      <c r="Q66" s="204">
        <v>0</v>
      </c>
      <c r="R66" s="206"/>
      <c r="S66" s="204">
        <v>0</v>
      </c>
      <c r="T66" s="206"/>
      <c r="U66" s="204">
        <v>0</v>
      </c>
      <c r="V66" s="206"/>
      <c r="W66" s="204">
        <v>0</v>
      </c>
      <c r="X66" s="206"/>
      <c r="Z66" s="310">
        <f>'Revenue Allocation'!$AC64</f>
        <v>0</v>
      </c>
    </row>
    <row r="67" spans="1:26" hidden="1">
      <c r="A67" s="89"/>
      <c r="B67" s="77"/>
      <c r="C67" s="204">
        <f>'Revenue Allocation'!$AG65</f>
        <v>0</v>
      </c>
      <c r="D67" s="204">
        <v>0</v>
      </c>
      <c r="E67" s="206"/>
      <c r="F67" s="204">
        <v>0</v>
      </c>
      <c r="G67" s="206"/>
      <c r="H67" s="204">
        <v>0</v>
      </c>
      <c r="I67" s="206"/>
      <c r="J67" s="204">
        <v>0</v>
      </c>
      <c r="K67" s="206"/>
      <c r="L67" s="204">
        <v>0</v>
      </c>
      <c r="M67" s="206"/>
      <c r="N67" s="206"/>
      <c r="O67" s="204">
        <v>0</v>
      </c>
      <c r="P67" s="206"/>
      <c r="Q67" s="204">
        <v>0</v>
      </c>
      <c r="R67" s="206"/>
      <c r="S67" s="204">
        <v>0</v>
      </c>
      <c r="T67" s="206"/>
      <c r="U67" s="204">
        <v>0</v>
      </c>
      <c r="V67" s="206"/>
      <c r="W67" s="204">
        <v>0</v>
      </c>
      <c r="X67" s="206"/>
      <c r="Z67" s="310">
        <f>'Revenue Allocation'!$AC65</f>
        <v>0</v>
      </c>
    </row>
    <row r="68" spans="1:26">
      <c r="A68" s="89"/>
      <c r="B68" s="77" t="s">
        <v>21</v>
      </c>
      <c r="C68" s="204">
        <f>'Revenue Allocation'!$AG66</f>
        <v>10.242861665460058</v>
      </c>
      <c r="D68" s="204">
        <v>13.317792803246931</v>
      </c>
      <c r="E68" s="154">
        <f t="shared" ref="E68:E92" si="10">(D68-$C68)/$C68</f>
        <v>0.30020234952072472</v>
      </c>
      <c r="F68" s="204">
        <v>13.147477242567945</v>
      </c>
      <c r="G68" s="154">
        <f>(F68-$C68)/$C68</f>
        <v>0.28357461732618505</v>
      </c>
      <c r="H68" s="204">
        <v>12.438631241532084</v>
      </c>
      <c r="I68" s="154">
        <f>(H68-$C68)/$C68</f>
        <v>0.21437071472676214</v>
      </c>
      <c r="J68" s="204">
        <v>13.156206370749244</v>
      </c>
      <c r="K68" s="154">
        <f>(J68-$C68)/$C68</f>
        <v>0.28442683309033373</v>
      </c>
      <c r="L68" s="204">
        <v>11.25890556390058</v>
      </c>
      <c r="M68" s="154">
        <f>(L68-$C68)/$C68</f>
        <v>9.9195315881959262E-2</v>
      </c>
      <c r="N68" s="154"/>
      <c r="O68" s="204">
        <v>16.635549572051403</v>
      </c>
      <c r="P68" s="154">
        <f t="shared" ref="P68:P92" si="11">(O68-$C68)/$C68</f>
        <v>0.62411151447530722</v>
      </c>
      <c r="Q68" s="204">
        <v>16.088148520336819</v>
      </c>
      <c r="R68" s="154">
        <f>(Q68-$C68)/$C68</f>
        <v>0.57066931544996313</v>
      </c>
      <c r="S68" s="204">
        <v>13.809889006503781</v>
      </c>
      <c r="T68" s="154">
        <f>(S68-$C68)/$C68</f>
        <v>0.34824519334006931</v>
      </c>
      <c r="U68" s="204">
        <v>16.11620428886404</v>
      </c>
      <c r="V68" s="154">
        <f>(U68-$C68)/$C68</f>
        <v>0.57340837114001775</v>
      </c>
      <c r="W68" s="204">
        <v>10.018203302063821</v>
      </c>
      <c r="X68" s="154">
        <f>(W68-$C68)/$C68</f>
        <v>-2.1933163869019882E-2</v>
      </c>
      <c r="Z68" s="310">
        <f>'Revenue Allocation'!$AC66</f>
        <v>14.06974406200194</v>
      </c>
    </row>
    <row r="69" spans="1:26">
      <c r="A69" s="89"/>
      <c r="B69" s="77" t="s">
        <v>27</v>
      </c>
      <c r="C69" s="204">
        <f>'Revenue Allocation'!$AG67</f>
        <v>14.551344520125211</v>
      </c>
      <c r="D69" s="204">
        <v>17.627822615675768</v>
      </c>
      <c r="E69" s="154">
        <f t="shared" si="10"/>
        <v>0.21142225663722278</v>
      </c>
      <c r="F69" s="204">
        <v>17.457507054996782</v>
      </c>
      <c r="G69" s="154">
        <f>(F69-$C69)/$C69</f>
        <v>0.19971780139300588</v>
      </c>
      <c r="H69" s="204">
        <v>16.74866105396092</v>
      </c>
      <c r="I69" s="154">
        <f>(H69-$C69)/$C69</f>
        <v>0.15100436463425865</v>
      </c>
      <c r="J69" s="204">
        <v>17.580545660160542</v>
      </c>
      <c r="K69" s="154">
        <f>(J69-$C69)/$C69</f>
        <v>0.20817328157173381</v>
      </c>
      <c r="L69" s="204">
        <v>16.462843611215039</v>
      </c>
      <c r="M69" s="154">
        <f>(L69-$C69)/$C69</f>
        <v>0.13136236919180444</v>
      </c>
      <c r="N69" s="154"/>
      <c r="O69" s="204">
        <v>19.482255979963494</v>
      </c>
      <c r="P69" s="154">
        <f t="shared" si="11"/>
        <v>0.33886294514012744</v>
      </c>
      <c r="Q69" s="204">
        <v>18.93485492824891</v>
      </c>
      <c r="R69" s="154">
        <f>(Q69-$C69)/$C69</f>
        <v>0.30124435594670262</v>
      </c>
      <c r="S69" s="204">
        <v>16.656595414415872</v>
      </c>
      <c r="T69" s="154">
        <f>(S69-$C69)/$C69</f>
        <v>0.14467741392412209</v>
      </c>
      <c r="U69" s="204">
        <v>19.330305946345163</v>
      </c>
      <c r="V69" s="154">
        <f>(U69-$C69)/$C69</f>
        <v>0.328420608804253</v>
      </c>
      <c r="W69" s="204">
        <v>15.737966675305168</v>
      </c>
      <c r="X69" s="154">
        <f>(W69-$C69)/$C69</f>
        <v>8.1547251770364038E-2</v>
      </c>
      <c r="Z69" s="310">
        <f>'Revenue Allocation'!$AC67</f>
        <v>18.378226916667092</v>
      </c>
    </row>
    <row r="70" spans="1:26">
      <c r="A70" s="89"/>
      <c r="B70" s="77" t="s">
        <v>28</v>
      </c>
      <c r="C70" s="205">
        <f>'Revenue Allocation'!$AG68</f>
        <v>11.985286588315574</v>
      </c>
      <c r="D70" s="205">
        <v>15.06176468386613</v>
      </c>
      <c r="E70" s="198">
        <f t="shared" si="10"/>
        <v>0.25668790419661774</v>
      </c>
      <c r="F70" s="205">
        <v>14.891449123187142</v>
      </c>
      <c r="G70" s="198">
        <f>(F70-$C70)/$C70</f>
        <v>0.24247751720052971</v>
      </c>
      <c r="H70" s="205">
        <v>14.182603122151283</v>
      </c>
      <c r="I70" s="198">
        <f>(H70-$C70)/$C70</f>
        <v>0.18333450081851752</v>
      </c>
      <c r="J70" s="205">
        <v>15.085931151464948</v>
      </c>
      <c r="K70" s="198">
        <f>(J70-$C70)/$C70</f>
        <v>0.25870424877217235</v>
      </c>
      <c r="L70" s="205">
        <v>12.996458263551641</v>
      </c>
      <c r="M70" s="198">
        <f>(L70-$C70)/$C70</f>
        <v>8.4367751057522131E-2</v>
      </c>
      <c r="N70" s="198"/>
      <c r="O70" s="205">
        <v>18.054746175058099</v>
      </c>
      <c r="P70" s="198">
        <f t="shared" si="11"/>
        <v>0.50640921616839984</v>
      </c>
      <c r="Q70" s="205">
        <v>17.507345123343519</v>
      </c>
      <c r="R70" s="198">
        <f>(Q70-$C70)/$C70</f>
        <v>0.46073646168889992</v>
      </c>
      <c r="S70" s="205">
        <v>15.229085609510479</v>
      </c>
      <c r="T70" s="198">
        <f>(S70-$C70)/$C70</f>
        <v>0.27064843191628607</v>
      </c>
      <c r="U70" s="205">
        <v>18.132418172420415</v>
      </c>
      <c r="V70" s="198">
        <f>(U70-$C70)/$C70</f>
        <v>0.51288982860849264</v>
      </c>
      <c r="W70" s="205">
        <v>11.416768399651421</v>
      </c>
      <c r="X70" s="198">
        <f>(W70-$C70)/$C70</f>
        <v>-4.7434676215285555E-2</v>
      </c>
      <c r="Z70" s="310">
        <f>'Revenue Allocation'!$AC68</f>
        <v>15.812168984857452</v>
      </c>
    </row>
    <row r="71" spans="1:26">
      <c r="A71" s="188" t="s">
        <v>57</v>
      </c>
      <c r="B71" s="189"/>
      <c r="C71" s="204">
        <f>'Revenue Allocation'!$AG69</f>
        <v>11.089756378184999</v>
      </c>
      <c r="D71" s="204">
        <v>14.165032308925257</v>
      </c>
      <c r="E71" s="154">
        <f t="shared" si="10"/>
        <v>0.27730779882502449</v>
      </c>
      <c r="F71" s="204">
        <v>13.994716748246272</v>
      </c>
      <c r="G71" s="154">
        <f>(F71-$C71)/$C71</f>
        <v>0.26194988158402738</v>
      </c>
      <c r="H71" s="204">
        <v>13.28587074721041</v>
      </c>
      <c r="I71" s="154">
        <f>(H71-$C71)/$C71</f>
        <v>0.1980308939288743</v>
      </c>
      <c r="J71" s="204">
        <v>14.032080924564886</v>
      </c>
      <c r="K71" s="154">
        <f>(J71-$C71)/$C71</f>
        <v>0.26531913290429204</v>
      </c>
      <c r="L71" s="204">
        <v>12.265596036365375</v>
      </c>
      <c r="M71" s="154">
        <f>(L71-$C71)/$C71</f>
        <v>0.10602934979648482</v>
      </c>
      <c r="N71" s="154"/>
      <c r="O71" s="204">
        <v>17.206951749691004</v>
      </c>
      <c r="P71" s="154">
        <f t="shared" si="11"/>
        <v>0.55160773265852159</v>
      </c>
      <c r="Q71" s="204">
        <v>16.659550697976421</v>
      </c>
      <c r="R71" s="154">
        <f>(Q71-$C71)/$C71</f>
        <v>0.50224676988828498</v>
      </c>
      <c r="S71" s="204">
        <v>14.381291184143382</v>
      </c>
      <c r="T71" s="154">
        <f>(S71-$C71)/$C71</f>
        <v>0.29680857664585514</v>
      </c>
      <c r="U71" s="204">
        <v>16.779640661170152</v>
      </c>
      <c r="V71" s="154">
        <f>(U71-$C71)/$C71</f>
        <v>0.51307567893717654</v>
      </c>
      <c r="W71" s="204">
        <v>11.102087290336886</v>
      </c>
      <c r="X71" s="154">
        <f>(W71-$C71)/$C71</f>
        <v>1.1119191198954903E-3</v>
      </c>
      <c r="Z71" s="310">
        <f>'Revenue Allocation'!$AC69</f>
        <v>14.916638774726881</v>
      </c>
    </row>
    <row r="72" spans="1:26">
      <c r="A72" s="81"/>
      <c r="B72" s="77"/>
      <c r="C72" s="204">
        <f>'Revenue Allocation'!$AG70</f>
        <v>0</v>
      </c>
      <c r="D72" s="204">
        <v>0</v>
      </c>
      <c r="E72" s="206"/>
      <c r="F72" s="204">
        <v>0</v>
      </c>
      <c r="G72" s="206"/>
      <c r="H72" s="204">
        <v>0</v>
      </c>
      <c r="I72" s="206"/>
      <c r="J72" s="204">
        <v>0</v>
      </c>
      <c r="K72" s="206"/>
      <c r="L72" s="204">
        <v>0</v>
      </c>
      <c r="M72" s="206"/>
      <c r="N72" s="206"/>
      <c r="O72" s="204">
        <v>0</v>
      </c>
      <c r="P72" s="206"/>
      <c r="Q72" s="204">
        <v>0</v>
      </c>
      <c r="R72" s="206"/>
      <c r="S72" s="204">
        <v>0</v>
      </c>
      <c r="T72" s="206"/>
      <c r="U72" s="204">
        <v>0</v>
      </c>
      <c r="V72" s="206"/>
      <c r="W72" s="204">
        <v>0</v>
      </c>
      <c r="X72" s="206"/>
      <c r="Z72" s="310">
        <f>'Revenue Allocation'!$AC70</f>
        <v>0</v>
      </c>
    </row>
    <row r="73" spans="1:26">
      <c r="A73" s="89" t="s">
        <v>100</v>
      </c>
      <c r="B73" s="73" t="s">
        <v>28</v>
      </c>
      <c r="C73" s="204">
        <f>'Revenue Allocation'!$AG71</f>
        <v>22.082577368729218</v>
      </c>
      <c r="D73" s="204">
        <v>25.159055464279774</v>
      </c>
      <c r="E73" s="154">
        <f t="shared" si="10"/>
        <v>0.13931698479667082</v>
      </c>
      <c r="F73" s="204">
        <v>25.077943600147741</v>
      </c>
      <c r="G73" s="154">
        <f t="shared" ref="G73:I92" si="12">(F73-$C73)/$C73</f>
        <v>0.13564386898334665</v>
      </c>
      <c r="H73" s="204">
        <v>25.837779699041043</v>
      </c>
      <c r="I73" s="154">
        <f t="shared" si="12"/>
        <v>0.17005271928219332</v>
      </c>
      <c r="J73" s="204">
        <v>25.183221931878592</v>
      </c>
      <c r="K73" s="154">
        <f t="shared" ref="K73:M92" si="13">(J73-$C73)/$C73</f>
        <v>0.14041135286772033</v>
      </c>
      <c r="L73" s="204">
        <v>25.954438151355379</v>
      </c>
      <c r="M73" s="154">
        <f t="shared" si="13"/>
        <v>0.1753355470231043</v>
      </c>
      <c r="N73" s="154"/>
      <c r="O73" s="204">
        <v>22.138300756877918</v>
      </c>
      <c r="P73" s="154">
        <f t="shared" si="11"/>
        <v>2.5234096191873129E-3</v>
      </c>
      <c r="Q73" s="204">
        <v>21.877603968191096</v>
      </c>
      <c r="R73" s="154">
        <f t="shared" ref="R73:R92" si="14">(Q73-$C73)/$C73</f>
        <v>-9.2821321132732469E-3</v>
      </c>
      <c r="S73" s="204">
        <v>24.319747704246225</v>
      </c>
      <c r="T73" s="154">
        <f t="shared" ref="T73:T92" si="15">(S73-$C73)/$C73</f>
        <v>0.10130929457016316</v>
      </c>
      <c r="U73" s="204">
        <v>22.215972754240237</v>
      </c>
      <c r="V73" s="154">
        <f t="shared" ref="V73:X92" si="16">(U73-$C73)/$C73</f>
        <v>6.0407525482019985E-3</v>
      </c>
      <c r="W73" s="204">
        <v>24.694692654864259</v>
      </c>
      <c r="X73" s="154">
        <f t="shared" si="16"/>
        <v>0.11828851508221204</v>
      </c>
      <c r="Z73" s="310">
        <f>'Revenue Allocation'!$AC71</f>
        <v>25.909459765271098</v>
      </c>
    </row>
    <row r="74" spans="1:26">
      <c r="A74" s="89" t="s">
        <v>59</v>
      </c>
      <c r="B74" s="73" t="s">
        <v>28</v>
      </c>
      <c r="C74" s="204">
        <f>'Revenue Allocation'!$AG72</f>
        <v>16.025174165805677</v>
      </c>
      <c r="D74" s="204">
        <v>19.101652261356232</v>
      </c>
      <c r="E74" s="154">
        <f t="shared" si="10"/>
        <v>0.19197782587069209</v>
      </c>
      <c r="F74" s="204">
        <v>18.803791064386438</v>
      </c>
      <c r="G74" s="154">
        <f t="shared" si="12"/>
        <v>0.1733907456999588</v>
      </c>
      <c r="H74" s="204">
        <v>19.910024160772227</v>
      </c>
      <c r="I74" s="154">
        <f t="shared" si="12"/>
        <v>0.24242170192795764</v>
      </c>
      <c r="J74" s="204">
        <v>19.125818728955053</v>
      </c>
      <c r="K74" s="154">
        <f t="shared" si="13"/>
        <v>0.19348585738091351</v>
      </c>
      <c r="L74" s="204">
        <v>19.063262328955304</v>
      </c>
      <c r="M74" s="154">
        <f t="shared" si="13"/>
        <v>0.18958222430008051</v>
      </c>
      <c r="N74" s="154"/>
      <c r="O74" s="204">
        <v>18.343814529487002</v>
      </c>
      <c r="P74" s="154">
        <f t="shared" si="11"/>
        <v>0.14468737373405977</v>
      </c>
      <c r="Q74" s="204">
        <v>17.386476680636246</v>
      </c>
      <c r="R74" s="154">
        <f t="shared" si="14"/>
        <v>8.4947751627891852E-2</v>
      </c>
      <c r="S74" s="204">
        <v>20.941954277568346</v>
      </c>
      <c r="T74" s="154">
        <f t="shared" si="15"/>
        <v>0.30681601715468626</v>
      </c>
      <c r="U74" s="204">
        <v>18.421486526849314</v>
      </c>
      <c r="V74" s="154">
        <f t="shared" si="16"/>
        <v>0.149534247568857</v>
      </c>
      <c r="W74" s="204">
        <v>18.220427745051442</v>
      </c>
      <c r="X74" s="154">
        <f t="shared" si="16"/>
        <v>0.13698781408129534</v>
      </c>
      <c r="Z74" s="310">
        <f>'Revenue Allocation'!$AC72</f>
        <v>19.852056562347556</v>
      </c>
    </row>
    <row r="75" spans="1:26">
      <c r="A75" s="89" t="s">
        <v>60</v>
      </c>
      <c r="B75" s="73" t="s">
        <v>28</v>
      </c>
      <c r="C75" s="204">
        <f>'Revenue Allocation'!$AG73</f>
        <v>15.803179128768521</v>
      </c>
      <c r="D75" s="204">
        <v>18.879657224319075</v>
      </c>
      <c r="E75" s="154">
        <f t="shared" si="10"/>
        <v>0.19467463290029111</v>
      </c>
      <c r="F75" s="204">
        <v>18.730468854927526</v>
      </c>
      <c r="G75" s="154">
        <f t="shared" si="12"/>
        <v>0.18523423054985752</v>
      </c>
      <c r="H75" s="204">
        <v>19.760955935103354</v>
      </c>
      <c r="I75" s="154">
        <f t="shared" si="12"/>
        <v>0.25044181136503046</v>
      </c>
      <c r="J75" s="204">
        <v>18.903823691917893</v>
      </c>
      <c r="K75" s="154">
        <f t="shared" si="13"/>
        <v>0.19620384847153172</v>
      </c>
      <c r="L75" s="204">
        <v>19.740470235987313</v>
      </c>
      <c r="M75" s="154">
        <f t="shared" si="13"/>
        <v>0.24914550895972851</v>
      </c>
      <c r="N75" s="154"/>
      <c r="O75" s="204">
        <v>17.829996575820008</v>
      </c>
      <c r="P75" s="154">
        <f t="shared" si="11"/>
        <v>0.12825377922609352</v>
      </c>
      <c r="Q75" s="204">
        <v>17.350499165348847</v>
      </c>
      <c r="R75" s="154">
        <f t="shared" si="14"/>
        <v>9.791194695525178E-2</v>
      </c>
      <c r="S75" s="204">
        <v>20.662526024302437</v>
      </c>
      <c r="T75" s="154">
        <f t="shared" si="15"/>
        <v>0.30749173036252136</v>
      </c>
      <c r="U75" s="204">
        <v>17.907668573182324</v>
      </c>
      <c r="V75" s="154">
        <f t="shared" si="16"/>
        <v>0.13316873948373686</v>
      </c>
      <c r="W75" s="204">
        <v>20.596684164659521</v>
      </c>
      <c r="X75" s="154">
        <f t="shared" si="16"/>
        <v>0.30332536237375035</v>
      </c>
      <c r="Z75" s="310">
        <f>'Revenue Allocation'!$AC73</f>
        <v>19.630061525310399</v>
      </c>
    </row>
    <row r="76" spans="1:26">
      <c r="A76" s="89" t="s">
        <v>61</v>
      </c>
      <c r="B76" s="73" t="s">
        <v>28</v>
      </c>
      <c r="C76" s="204">
        <f>'Revenue Allocation'!$AG74</f>
        <v>15.253405847812637</v>
      </c>
      <c r="D76" s="204">
        <v>18.329737113828859</v>
      </c>
      <c r="E76" s="154">
        <f t="shared" si="10"/>
        <v>0.2016815979794685</v>
      </c>
      <c r="F76" s="204">
        <v>18.002923839909617</v>
      </c>
      <c r="G76" s="154">
        <f t="shared" si="12"/>
        <v>0.18025600443138179</v>
      </c>
      <c r="H76" s="204">
        <v>19.008813652026689</v>
      </c>
      <c r="I76" s="154">
        <f t="shared" si="12"/>
        <v>0.24620126427387909</v>
      </c>
      <c r="J76" s="204">
        <v>18.353903581427673</v>
      </c>
      <c r="K76" s="154">
        <f t="shared" si="13"/>
        <v>0.2032659305436138</v>
      </c>
      <c r="L76" s="204">
        <v>18.136107064595617</v>
      </c>
      <c r="M76" s="154">
        <f t="shared" si="13"/>
        <v>0.18898738062465989</v>
      </c>
      <c r="N76" s="154"/>
      <c r="O76" s="204">
        <v>17.75758444262107</v>
      </c>
      <c r="P76" s="154">
        <f t="shared" si="11"/>
        <v>0.16417176726255772</v>
      </c>
      <c r="Q76" s="204">
        <v>16.707193455770081</v>
      </c>
      <c r="R76" s="154">
        <f t="shared" si="14"/>
        <v>9.5309049169888832E-2</v>
      </c>
      <c r="S76" s="204">
        <v>19.940163707382617</v>
      </c>
      <c r="T76" s="154">
        <f t="shared" si="15"/>
        <v>0.30725976259538579</v>
      </c>
      <c r="U76" s="204">
        <v>17.835256439983386</v>
      </c>
      <c r="V76" s="154">
        <f t="shared" si="16"/>
        <v>0.16926387574883747</v>
      </c>
      <c r="W76" s="204">
        <v>17.135249688407963</v>
      </c>
      <c r="X76" s="154">
        <f t="shared" si="16"/>
        <v>0.12337204289789391</v>
      </c>
      <c r="Z76" s="310">
        <f>'Revenue Allocation'!$AC74</f>
        <v>19.080288244354517</v>
      </c>
    </row>
    <row r="77" spans="1:26">
      <c r="A77" s="89" t="s">
        <v>62</v>
      </c>
      <c r="B77" s="73" t="s">
        <v>28</v>
      </c>
      <c r="C77" s="204">
        <f>'Revenue Allocation'!$AG75</f>
        <v>12.350557079877223</v>
      </c>
      <c r="D77" s="204">
        <v>15.413222137847665</v>
      </c>
      <c r="E77" s="154">
        <f t="shared" si="10"/>
        <v>0.24797788781207655</v>
      </c>
      <c r="F77" s="204">
        <v>15.294565023815299</v>
      </c>
      <c r="G77" s="154">
        <f t="shared" si="12"/>
        <v>0.23837045769658041</v>
      </c>
      <c r="H77" s="204">
        <v>16.010140534151255</v>
      </c>
      <c r="I77" s="154">
        <f t="shared" si="12"/>
        <v>0.29630918108435733</v>
      </c>
      <c r="J77" s="204">
        <v>15.437385713469535</v>
      </c>
      <c r="K77" s="154">
        <f t="shared" si="13"/>
        <v>0.24993436438763439</v>
      </c>
      <c r="L77" s="204">
        <v>15.805837886349735</v>
      </c>
      <c r="M77" s="154">
        <f t="shared" si="13"/>
        <v>0.27976720273632072</v>
      </c>
      <c r="N77" s="154"/>
      <c r="O77" s="204">
        <v>15.327787520754175</v>
      </c>
      <c r="P77" s="154">
        <f t="shared" si="11"/>
        <v>0.24106041708254247</v>
      </c>
      <c r="Q77" s="204">
        <v>14.946418791110261</v>
      </c>
      <c r="R77" s="154">
        <f t="shared" si="14"/>
        <v>0.2101817508671312</v>
      </c>
      <c r="S77" s="204">
        <v>17.246307218083771</v>
      </c>
      <c r="T77" s="154">
        <f t="shared" si="15"/>
        <v>0.39639913459314313</v>
      </c>
      <c r="U77" s="204">
        <v>15.405450223186435</v>
      </c>
      <c r="V77" s="154">
        <f t="shared" si="16"/>
        <v>0.24734861136640973</v>
      </c>
      <c r="W77" s="204">
        <v>16.589670303471983</v>
      </c>
      <c r="X77" s="154">
        <f t="shared" si="16"/>
        <v>0.34323255187424317</v>
      </c>
      <c r="Z77" s="310">
        <f>'Revenue Allocation'!$AC75</f>
        <v>16.177439476419103</v>
      </c>
    </row>
    <row r="78" spans="1:26">
      <c r="A78" s="89" t="s">
        <v>63</v>
      </c>
      <c r="B78" s="73"/>
      <c r="C78" s="204">
        <f>'Revenue Allocation'!$AG76</f>
        <v>17.245223591153476</v>
      </c>
      <c r="D78" s="204">
        <v>20.403668397480736</v>
      </c>
      <c r="E78" s="154">
        <f t="shared" si="10"/>
        <v>0.18314896235659664</v>
      </c>
      <c r="F78" s="204">
        <v>20.268805532514218</v>
      </c>
      <c r="G78" s="154">
        <f t="shared" si="12"/>
        <v>0.17532865986798754</v>
      </c>
      <c r="H78" s="204">
        <v>21.070627535355481</v>
      </c>
      <c r="I78" s="154">
        <f t="shared" si="12"/>
        <v>0.22182396905334276</v>
      </c>
      <c r="J78" s="204">
        <v>20.427932339488475</v>
      </c>
      <c r="K78" s="154">
        <f t="shared" si="13"/>
        <v>0.18455595727779825</v>
      </c>
      <c r="L78" s="204">
        <v>21.83551872457975</v>
      </c>
      <c r="M78" s="154">
        <f t="shared" si="13"/>
        <v>0.26617776853766173</v>
      </c>
      <c r="N78" s="154"/>
      <c r="O78" s="204">
        <v>17.864999579751391</v>
      </c>
      <c r="P78" s="154">
        <f t="shared" si="11"/>
        <v>3.5938994082735494E-2</v>
      </c>
      <c r="Q78" s="204">
        <v>17.431544915799353</v>
      </c>
      <c r="R78" s="154">
        <f t="shared" si="14"/>
        <v>1.0804227829290514E-2</v>
      </c>
      <c r="S78" s="204">
        <v>20.0086330332526</v>
      </c>
      <c r="T78" s="154">
        <f t="shared" si="15"/>
        <v>0.16024201875333816</v>
      </c>
      <c r="U78" s="204">
        <v>17.942984863778445</v>
      </c>
      <c r="V78" s="154">
        <f t="shared" si="16"/>
        <v>4.0461132262901475E-2</v>
      </c>
      <c r="W78" s="204">
        <v>22.467024032638523</v>
      </c>
      <c r="X78" s="154">
        <f t="shared" si="16"/>
        <v>0.30279691149749705</v>
      </c>
      <c r="Z78" s="310">
        <f>'Revenue Allocation'!$AC76</f>
        <v>21.072105987695355</v>
      </c>
    </row>
    <row r="79" spans="1:26">
      <c r="A79" s="89" t="s">
        <v>64</v>
      </c>
      <c r="B79" s="73" t="s">
        <v>28</v>
      </c>
      <c r="C79" s="204">
        <f>'Revenue Allocation'!$AG77</f>
        <v>15.070833637731269</v>
      </c>
      <c r="D79" s="204">
        <v>18.147311733281825</v>
      </c>
      <c r="E79" s="154">
        <f t="shared" si="10"/>
        <v>0.20413456677328715</v>
      </c>
      <c r="F79" s="204">
        <v>18.010643180949494</v>
      </c>
      <c r="G79" s="154">
        <f t="shared" si="12"/>
        <v>0.19506615319925841</v>
      </c>
      <c r="H79" s="204">
        <v>18.599504858333876</v>
      </c>
      <c r="I79" s="154">
        <f t="shared" si="12"/>
        <v>0.2341390864914229</v>
      </c>
      <c r="J79" s="204">
        <v>18.171478200880642</v>
      </c>
      <c r="K79" s="154">
        <f t="shared" si="13"/>
        <v>0.20573809237643059</v>
      </c>
      <c r="L79" s="204">
        <v>19.013918677475747</v>
      </c>
      <c r="M79" s="154">
        <f t="shared" si="13"/>
        <v>0.26163682345166284</v>
      </c>
      <c r="N79" s="154"/>
      <c r="O79" s="204">
        <v>16.335871079308891</v>
      </c>
      <c r="P79" s="154">
        <f t="shared" si="11"/>
        <v>8.3939447013102186E-2</v>
      </c>
      <c r="Q79" s="204">
        <v>15.896612863648638</v>
      </c>
      <c r="R79" s="154">
        <f t="shared" si="14"/>
        <v>5.4793201608300687E-2</v>
      </c>
      <c r="S79" s="204">
        <v>17.789237942822616</v>
      </c>
      <c r="T79" s="154">
        <f t="shared" si="15"/>
        <v>0.18037517833688793</v>
      </c>
      <c r="U79" s="204">
        <v>16.413543076671207</v>
      </c>
      <c r="V79" s="154">
        <f t="shared" si="16"/>
        <v>8.9093242697493302E-2</v>
      </c>
      <c r="W79" s="204">
        <v>19.121180599964145</v>
      </c>
      <c r="X79" s="154">
        <f t="shared" si="16"/>
        <v>0.26875400920705844</v>
      </c>
      <c r="Z79" s="310">
        <f>'Revenue Allocation'!$AC77</f>
        <v>18.897716034273149</v>
      </c>
    </row>
    <row r="80" spans="1:26">
      <c r="A80" s="89" t="s">
        <v>65</v>
      </c>
      <c r="B80" s="73" t="s">
        <v>28</v>
      </c>
      <c r="C80" s="204">
        <f>'Revenue Allocation'!$AG78</f>
        <v>14.246245958343925</v>
      </c>
      <c r="D80" s="204">
        <v>17.322724053894479</v>
      </c>
      <c r="E80" s="154">
        <f t="shared" si="10"/>
        <v>0.2159500899076281</v>
      </c>
      <c r="F80" s="204">
        <v>17.186055501562151</v>
      </c>
      <c r="G80" s="154">
        <f t="shared" si="12"/>
        <v>0.20635678703107049</v>
      </c>
      <c r="H80" s="204">
        <v>17.774917178946534</v>
      </c>
      <c r="I80" s="154">
        <f t="shared" si="12"/>
        <v>0.24769130274182102</v>
      </c>
      <c r="J80" s="204">
        <v>17.346890521493297</v>
      </c>
      <c r="K80" s="154">
        <f t="shared" si="13"/>
        <v>0.21764642925691915</v>
      </c>
      <c r="L80" s="204">
        <v>18.189330998088405</v>
      </c>
      <c r="M80" s="154">
        <f t="shared" si="13"/>
        <v>0.27678063759913135</v>
      </c>
      <c r="N80" s="154"/>
      <c r="O80" s="204">
        <v>16.187411876822832</v>
      </c>
      <c r="P80" s="154">
        <f t="shared" si="11"/>
        <v>0.13625806574973387</v>
      </c>
      <c r="Q80" s="204">
        <v>15.748153661162581</v>
      </c>
      <c r="R80" s="154">
        <f t="shared" si="14"/>
        <v>0.10542480504760618</v>
      </c>
      <c r="S80" s="204">
        <v>17.640778740336561</v>
      </c>
      <c r="T80" s="154">
        <f t="shared" si="15"/>
        <v>0.23827559849228083</v>
      </c>
      <c r="U80" s="204">
        <v>16.265083874185152</v>
      </c>
      <c r="V80" s="154">
        <f t="shared" si="16"/>
        <v>0.14171016854154531</v>
      </c>
      <c r="W80" s="204">
        <v>18.97272139747809</v>
      </c>
      <c r="X80" s="154">
        <f t="shared" si="16"/>
        <v>0.33176988892051951</v>
      </c>
      <c r="Z80" s="310">
        <f>'Revenue Allocation'!$AC78</f>
        <v>18.073128354885803</v>
      </c>
    </row>
    <row r="81" spans="1:26" hidden="1">
      <c r="A81" s="89" t="s">
        <v>66</v>
      </c>
      <c r="B81" s="73" t="s">
        <v>28</v>
      </c>
      <c r="C81" s="204">
        <f>'Revenue Allocation'!$AG79</f>
        <v>0</v>
      </c>
      <c r="D81" s="204">
        <v>0</v>
      </c>
      <c r="E81" s="154" t="e">
        <f t="shared" si="10"/>
        <v>#DIV/0!</v>
      </c>
      <c r="F81" s="204">
        <v>0</v>
      </c>
      <c r="G81" s="154" t="e">
        <f t="shared" si="12"/>
        <v>#DIV/0!</v>
      </c>
      <c r="H81" s="204">
        <v>0</v>
      </c>
      <c r="I81" s="154" t="e">
        <f t="shared" si="12"/>
        <v>#DIV/0!</v>
      </c>
      <c r="J81" s="204">
        <v>0</v>
      </c>
      <c r="K81" s="154" t="e">
        <f t="shared" si="13"/>
        <v>#DIV/0!</v>
      </c>
      <c r="L81" s="204">
        <v>0</v>
      </c>
      <c r="M81" s="154" t="e">
        <f t="shared" si="13"/>
        <v>#DIV/0!</v>
      </c>
      <c r="N81" s="154"/>
      <c r="O81" s="204">
        <v>0</v>
      </c>
      <c r="P81" s="154" t="e">
        <f t="shared" si="11"/>
        <v>#DIV/0!</v>
      </c>
      <c r="Q81" s="204">
        <v>0</v>
      </c>
      <c r="R81" s="154" t="e">
        <f t="shared" si="14"/>
        <v>#DIV/0!</v>
      </c>
      <c r="S81" s="204">
        <v>0</v>
      </c>
      <c r="T81" s="154" t="e">
        <f t="shared" si="15"/>
        <v>#DIV/0!</v>
      </c>
      <c r="U81" s="204">
        <v>0</v>
      </c>
      <c r="V81" s="154" t="e">
        <f t="shared" si="16"/>
        <v>#DIV/0!</v>
      </c>
      <c r="W81" s="204">
        <v>0</v>
      </c>
      <c r="X81" s="154" t="e">
        <f t="shared" si="16"/>
        <v>#DIV/0!</v>
      </c>
      <c r="Z81" s="310">
        <f>'Revenue Allocation'!$AC79</f>
        <v>0</v>
      </c>
    </row>
    <row r="82" spans="1:26" hidden="1">
      <c r="A82" s="89" t="s">
        <v>66</v>
      </c>
      <c r="B82" s="73" t="s">
        <v>27</v>
      </c>
      <c r="C82" s="204">
        <f>'Revenue Allocation'!$AG80</f>
        <v>0</v>
      </c>
      <c r="D82" s="204">
        <v>0</v>
      </c>
      <c r="E82" s="154" t="e">
        <f t="shared" si="10"/>
        <v>#DIV/0!</v>
      </c>
      <c r="F82" s="204">
        <v>0</v>
      </c>
      <c r="G82" s="154" t="e">
        <f t="shared" si="12"/>
        <v>#DIV/0!</v>
      </c>
      <c r="H82" s="204">
        <v>0</v>
      </c>
      <c r="I82" s="154" t="e">
        <f t="shared" si="12"/>
        <v>#DIV/0!</v>
      </c>
      <c r="J82" s="204">
        <v>0</v>
      </c>
      <c r="K82" s="154" t="e">
        <f t="shared" si="13"/>
        <v>#DIV/0!</v>
      </c>
      <c r="L82" s="204">
        <v>0</v>
      </c>
      <c r="M82" s="154" t="e">
        <f t="shared" si="13"/>
        <v>#DIV/0!</v>
      </c>
      <c r="N82" s="154"/>
      <c r="O82" s="204">
        <v>0</v>
      </c>
      <c r="P82" s="154" t="e">
        <f t="shared" si="11"/>
        <v>#DIV/0!</v>
      </c>
      <c r="Q82" s="204">
        <v>0</v>
      </c>
      <c r="R82" s="154" t="e">
        <f t="shared" si="14"/>
        <v>#DIV/0!</v>
      </c>
      <c r="S82" s="204">
        <v>0</v>
      </c>
      <c r="T82" s="154" t="e">
        <f t="shared" si="15"/>
        <v>#DIV/0!</v>
      </c>
      <c r="U82" s="204">
        <v>0</v>
      </c>
      <c r="V82" s="154" t="e">
        <f t="shared" si="16"/>
        <v>#DIV/0!</v>
      </c>
      <c r="W82" s="204">
        <v>0</v>
      </c>
      <c r="X82" s="154" t="e">
        <f t="shared" si="16"/>
        <v>#DIV/0!</v>
      </c>
      <c r="Z82" s="310">
        <f>'Revenue Allocation'!$AC80</f>
        <v>0</v>
      </c>
    </row>
    <row r="83" spans="1:26">
      <c r="A83" s="89" t="s">
        <v>67</v>
      </c>
      <c r="B83" s="73"/>
      <c r="C83" s="204">
        <f>'Revenue Allocation'!$AG81</f>
        <v>13.888159110073536</v>
      </c>
      <c r="D83" s="204">
        <v>16.698130256163569</v>
      </c>
      <c r="E83" s="154">
        <f t="shared" si="10"/>
        <v>0.20232855368512229</v>
      </c>
      <c r="F83" s="204">
        <v>16.561324844454962</v>
      </c>
      <c r="G83" s="154">
        <f t="shared" si="12"/>
        <v>0.19247804645631481</v>
      </c>
      <c r="H83" s="204">
        <v>17.150157044050772</v>
      </c>
      <c r="I83" s="154">
        <f t="shared" si="12"/>
        <v>0.23487619259857143</v>
      </c>
      <c r="J83" s="204">
        <v>16.722228441528415</v>
      </c>
      <c r="K83" s="154">
        <f t="shared" si="13"/>
        <v>0.20406371420379507</v>
      </c>
      <c r="L83" s="204">
        <v>17.564737200357492</v>
      </c>
      <c r="M83" s="154">
        <f t="shared" si="13"/>
        <v>0.26472753236368191</v>
      </c>
      <c r="N83" s="154"/>
      <c r="O83" s="204">
        <v>15.299527626796314</v>
      </c>
      <c r="P83" s="154">
        <f t="shared" si="11"/>
        <v>0.10162387293641142</v>
      </c>
      <c r="Q83" s="204">
        <v>14.859829539604577</v>
      </c>
      <c r="R83" s="154">
        <f t="shared" si="14"/>
        <v>6.9963947117098996E-2</v>
      </c>
      <c r="S83" s="204">
        <v>16.752359875982282</v>
      </c>
      <c r="T83" s="154">
        <f t="shared" si="15"/>
        <v>0.20623329148290417</v>
      </c>
      <c r="U83" s="204">
        <v>15.376980162316499</v>
      </c>
      <c r="V83" s="154">
        <f t="shared" si="16"/>
        <v>0.10720074852563237</v>
      </c>
      <c r="W83" s="204">
        <v>18.084837147451569</v>
      </c>
      <c r="X83" s="154">
        <f t="shared" si="16"/>
        <v>0.30217669628612231</v>
      </c>
      <c r="Z83" s="310">
        <f>'Revenue Allocation'!$AC81</f>
        <v>17.715041506615414</v>
      </c>
    </row>
    <row r="84" spans="1:26">
      <c r="A84" s="89" t="s">
        <v>68</v>
      </c>
      <c r="B84" s="73" t="s">
        <v>28</v>
      </c>
      <c r="C84" s="204">
        <f>'Revenue Allocation'!$AG82</f>
        <v>14.679008626726773</v>
      </c>
      <c r="D84" s="204">
        <v>17.76199417789018</v>
      </c>
      <c r="E84" s="154">
        <f t="shared" si="10"/>
        <v>0.21002682330672304</v>
      </c>
      <c r="F84" s="204">
        <v>17.625325625557849</v>
      </c>
      <c r="G84" s="154">
        <f t="shared" si="12"/>
        <v>0.20071634766033011</v>
      </c>
      <c r="H84" s="204">
        <v>18.214187302942232</v>
      </c>
      <c r="I84" s="154">
        <f t="shared" si="12"/>
        <v>0.2408322500593664</v>
      </c>
      <c r="J84" s="204">
        <v>17.786160645488998</v>
      </c>
      <c r="K84" s="154">
        <f t="shared" si="13"/>
        <v>0.21167315162584513</v>
      </c>
      <c r="L84" s="204">
        <v>18.628601122084103</v>
      </c>
      <c r="M84" s="154">
        <f t="shared" si="13"/>
        <v>0.26906398080358895</v>
      </c>
      <c r="N84" s="154"/>
      <c r="O84" s="204">
        <v>17.529987408876625</v>
      </c>
      <c r="P84" s="154">
        <f t="shared" si="11"/>
        <v>0.19422148011814222</v>
      </c>
      <c r="Q84" s="204">
        <v>17.090729193216369</v>
      </c>
      <c r="R84" s="154">
        <f t="shared" si="14"/>
        <v>0.16429723749180586</v>
      </c>
      <c r="S84" s="204">
        <v>18.983354272390347</v>
      </c>
      <c r="T84" s="154">
        <f t="shared" si="15"/>
        <v>0.29323135881441242</v>
      </c>
      <c r="U84" s="204">
        <v>17.607659406238941</v>
      </c>
      <c r="V84" s="154">
        <f t="shared" si="16"/>
        <v>0.19951284545060036</v>
      </c>
      <c r="W84" s="204">
        <v>20.315296929531872</v>
      </c>
      <c r="X84" s="154">
        <f t="shared" si="16"/>
        <v>0.38396927518271495</v>
      </c>
      <c r="Z84" s="310">
        <f>'Revenue Allocation'!$AC82</f>
        <v>18.505891023268656</v>
      </c>
    </row>
    <row r="85" spans="1:26" hidden="1">
      <c r="A85" s="105" t="s">
        <v>69</v>
      </c>
      <c r="B85" s="73" t="s">
        <v>28</v>
      </c>
      <c r="C85" s="204">
        <f>'Revenue Allocation'!$AG83</f>
        <v>0</v>
      </c>
      <c r="D85" s="204">
        <v>0</v>
      </c>
      <c r="E85" s="154" t="e">
        <f t="shared" si="10"/>
        <v>#DIV/0!</v>
      </c>
      <c r="F85" s="204">
        <v>0</v>
      </c>
      <c r="G85" s="154" t="e">
        <f t="shared" si="12"/>
        <v>#DIV/0!</v>
      </c>
      <c r="H85" s="204">
        <v>0</v>
      </c>
      <c r="I85" s="154" t="e">
        <f t="shared" si="12"/>
        <v>#DIV/0!</v>
      </c>
      <c r="J85" s="204">
        <v>0</v>
      </c>
      <c r="K85" s="154" t="e">
        <f t="shared" si="13"/>
        <v>#DIV/0!</v>
      </c>
      <c r="L85" s="204">
        <v>0</v>
      </c>
      <c r="M85" s="154" t="e">
        <f t="shared" si="13"/>
        <v>#DIV/0!</v>
      </c>
      <c r="N85" s="154"/>
      <c r="O85" s="204">
        <v>0</v>
      </c>
      <c r="P85" s="154" t="e">
        <f t="shared" si="11"/>
        <v>#DIV/0!</v>
      </c>
      <c r="Q85" s="204">
        <v>0</v>
      </c>
      <c r="R85" s="154" t="e">
        <f t="shared" si="14"/>
        <v>#DIV/0!</v>
      </c>
      <c r="S85" s="204">
        <v>0</v>
      </c>
      <c r="T85" s="154" t="e">
        <f t="shared" si="15"/>
        <v>#DIV/0!</v>
      </c>
      <c r="U85" s="204">
        <v>0</v>
      </c>
      <c r="V85" s="154" t="e">
        <f t="shared" si="16"/>
        <v>#DIV/0!</v>
      </c>
      <c r="W85" s="204">
        <v>0</v>
      </c>
      <c r="X85" s="154" t="e">
        <f t="shared" si="16"/>
        <v>#DIV/0!</v>
      </c>
      <c r="Z85" s="310">
        <f>'Revenue Allocation'!$AC83</f>
        <v>0</v>
      </c>
    </row>
    <row r="86" spans="1:26" hidden="1">
      <c r="A86" s="105" t="s">
        <v>69</v>
      </c>
      <c r="B86" s="73" t="s">
        <v>27</v>
      </c>
      <c r="C86" s="204">
        <f>'Revenue Allocation'!$AG84</f>
        <v>0</v>
      </c>
      <c r="D86" s="204">
        <v>0</v>
      </c>
      <c r="E86" s="154" t="e">
        <f t="shared" si="10"/>
        <v>#DIV/0!</v>
      </c>
      <c r="F86" s="204">
        <v>0</v>
      </c>
      <c r="G86" s="154" t="e">
        <f t="shared" si="12"/>
        <v>#DIV/0!</v>
      </c>
      <c r="H86" s="204">
        <v>0</v>
      </c>
      <c r="I86" s="154" t="e">
        <f t="shared" si="12"/>
        <v>#DIV/0!</v>
      </c>
      <c r="J86" s="204">
        <v>0</v>
      </c>
      <c r="K86" s="154" t="e">
        <f t="shared" si="13"/>
        <v>#DIV/0!</v>
      </c>
      <c r="L86" s="204">
        <v>0</v>
      </c>
      <c r="M86" s="154" t="e">
        <f t="shared" si="13"/>
        <v>#DIV/0!</v>
      </c>
      <c r="N86" s="154"/>
      <c r="O86" s="204">
        <v>0</v>
      </c>
      <c r="P86" s="154" t="e">
        <f t="shared" si="11"/>
        <v>#DIV/0!</v>
      </c>
      <c r="Q86" s="204">
        <v>0</v>
      </c>
      <c r="R86" s="154" t="e">
        <f t="shared" si="14"/>
        <v>#DIV/0!</v>
      </c>
      <c r="S86" s="204">
        <v>0</v>
      </c>
      <c r="T86" s="154" t="e">
        <f t="shared" si="15"/>
        <v>#DIV/0!</v>
      </c>
      <c r="U86" s="204">
        <v>0</v>
      </c>
      <c r="V86" s="154" t="e">
        <f t="shared" si="16"/>
        <v>#DIV/0!</v>
      </c>
      <c r="W86" s="204">
        <v>0</v>
      </c>
      <c r="X86" s="154" t="e">
        <f t="shared" si="16"/>
        <v>#DIV/0!</v>
      </c>
      <c r="Z86" s="310">
        <f>'Revenue Allocation'!$AC84</f>
        <v>0</v>
      </c>
    </row>
    <row r="87" spans="1:26" hidden="1">
      <c r="A87" s="105" t="s">
        <v>69</v>
      </c>
      <c r="B87" s="73" t="s">
        <v>21</v>
      </c>
      <c r="C87" s="204">
        <f>'Revenue Allocation'!$AG85</f>
        <v>0</v>
      </c>
      <c r="D87" s="204">
        <v>0</v>
      </c>
      <c r="E87" s="154" t="e">
        <f t="shared" si="10"/>
        <v>#DIV/0!</v>
      </c>
      <c r="F87" s="204">
        <v>0</v>
      </c>
      <c r="G87" s="154" t="e">
        <f t="shared" si="12"/>
        <v>#DIV/0!</v>
      </c>
      <c r="H87" s="204">
        <v>0</v>
      </c>
      <c r="I87" s="154" t="e">
        <f t="shared" si="12"/>
        <v>#DIV/0!</v>
      </c>
      <c r="J87" s="204">
        <v>0</v>
      </c>
      <c r="K87" s="154" t="e">
        <f t="shared" si="13"/>
        <v>#DIV/0!</v>
      </c>
      <c r="L87" s="204">
        <v>0</v>
      </c>
      <c r="M87" s="154" t="e">
        <f t="shared" si="13"/>
        <v>#DIV/0!</v>
      </c>
      <c r="N87" s="154"/>
      <c r="O87" s="204">
        <v>0</v>
      </c>
      <c r="P87" s="154" t="e">
        <f t="shared" si="11"/>
        <v>#DIV/0!</v>
      </c>
      <c r="Q87" s="204">
        <v>0</v>
      </c>
      <c r="R87" s="154" t="e">
        <f t="shared" si="14"/>
        <v>#DIV/0!</v>
      </c>
      <c r="S87" s="204">
        <v>0</v>
      </c>
      <c r="T87" s="154" t="e">
        <f t="shared" si="15"/>
        <v>#DIV/0!</v>
      </c>
      <c r="U87" s="204">
        <v>0</v>
      </c>
      <c r="V87" s="154" t="e">
        <f t="shared" si="16"/>
        <v>#DIV/0!</v>
      </c>
      <c r="W87" s="204">
        <v>0</v>
      </c>
      <c r="X87" s="154" t="e">
        <f t="shared" si="16"/>
        <v>#DIV/0!</v>
      </c>
      <c r="Z87" s="310">
        <f>'Revenue Allocation'!$AC85</f>
        <v>0</v>
      </c>
    </row>
    <row r="88" spans="1:26">
      <c r="A88" s="105" t="s">
        <v>70</v>
      </c>
      <c r="B88" s="72"/>
      <c r="C88" s="204">
        <f>'Revenue Allocation'!$AG86</f>
        <v>9.7643096903782727</v>
      </c>
      <c r="D88" s="204">
        <v>12.840787785928828</v>
      </c>
      <c r="E88" s="154">
        <f t="shared" si="10"/>
        <v>0.31507379355061932</v>
      </c>
      <c r="F88" s="204">
        <v>12.757288249463016</v>
      </c>
      <c r="G88" s="154">
        <f t="shared" si="12"/>
        <v>0.30652228923402725</v>
      </c>
      <c r="H88" s="204">
        <v>13.453656848131196</v>
      </c>
      <c r="I88" s="154">
        <f t="shared" si="12"/>
        <v>0.3778400393617582</v>
      </c>
      <c r="J88" s="204">
        <v>12.856004357849415</v>
      </c>
      <c r="K88" s="154">
        <f t="shared" si="13"/>
        <v>0.31663218041083746</v>
      </c>
      <c r="L88" s="204">
        <v>13.221332962545636</v>
      </c>
      <c r="M88" s="154">
        <f t="shared" si="13"/>
        <v>0.35404686883025699</v>
      </c>
      <c r="N88" s="154"/>
      <c r="O88" s="204">
        <v>13.816305427446169</v>
      </c>
      <c r="P88" s="154">
        <f t="shared" si="11"/>
        <v>0.41498025621419232</v>
      </c>
      <c r="Q88" s="204">
        <v>13.547934563992204</v>
      </c>
      <c r="R88" s="154">
        <f t="shared" si="14"/>
        <v>0.38749537792131949</v>
      </c>
      <c r="S88" s="204">
        <v>15.786091205536259</v>
      </c>
      <c r="T88" s="154">
        <f t="shared" si="15"/>
        <v>0.61671349087706995</v>
      </c>
      <c r="U88" s="204">
        <v>13.865212100680333</v>
      </c>
      <c r="V88" s="154">
        <f t="shared" si="16"/>
        <v>0.41998897416609798</v>
      </c>
      <c r="W88" s="204">
        <v>15.039392907383373</v>
      </c>
      <c r="X88" s="154">
        <f t="shared" si="16"/>
        <v>0.540241285280326</v>
      </c>
      <c r="Z88" s="310">
        <f>'Revenue Allocation'!$AC86</f>
        <v>13.591192086920154</v>
      </c>
    </row>
    <row r="89" spans="1:26">
      <c r="A89" s="89" t="s">
        <v>101</v>
      </c>
      <c r="B89" s="73" t="s">
        <v>28</v>
      </c>
      <c r="C89" s="205">
        <f>'Revenue Allocation'!$AG87</f>
        <v>9.6191996019209896</v>
      </c>
      <c r="D89" s="205">
        <v>12.695677697471544</v>
      </c>
      <c r="E89" s="198">
        <f t="shared" si="10"/>
        <v>0.31982682789284983</v>
      </c>
      <c r="F89" s="205">
        <v>12.624738184700124</v>
      </c>
      <c r="G89" s="198">
        <f t="shared" si="12"/>
        <v>0.31245204457332582</v>
      </c>
      <c r="H89" s="205">
        <v>13.32437484424104</v>
      </c>
      <c r="I89" s="198">
        <f t="shared" si="12"/>
        <v>0.38518539958149051</v>
      </c>
      <c r="J89" s="205">
        <v>12.719844165070359</v>
      </c>
      <c r="K89" s="198">
        <f t="shared" si="13"/>
        <v>0.32233914374020889</v>
      </c>
      <c r="L89" s="205">
        <v>13.07622287408835</v>
      </c>
      <c r="M89" s="198">
        <f t="shared" si="13"/>
        <v>0.35938783009315867</v>
      </c>
      <c r="N89" s="198"/>
      <c r="O89" s="205">
        <v>13.755051783290915</v>
      </c>
      <c r="P89" s="198">
        <f t="shared" si="11"/>
        <v>0.42995803731362225</v>
      </c>
      <c r="Q89" s="205">
        <v>13.527049340387954</v>
      </c>
      <c r="R89" s="198">
        <f t="shared" si="14"/>
        <v>0.406255187561193</v>
      </c>
      <c r="S89" s="205">
        <v>15.775709660818857</v>
      </c>
      <c r="T89" s="198">
        <f t="shared" si="15"/>
        <v>0.64002311145184987</v>
      </c>
      <c r="U89" s="205">
        <v>13.832723780653231</v>
      </c>
      <c r="V89" s="198">
        <f t="shared" si="16"/>
        <v>0.43803272133897553</v>
      </c>
      <c r="W89" s="205">
        <v>14.978139263228121</v>
      </c>
      <c r="X89" s="198">
        <f t="shared" si="16"/>
        <v>0.55710868711331563</v>
      </c>
      <c r="Z89" s="310">
        <f>'Revenue Allocation'!$AC87</f>
        <v>13.446081998462866</v>
      </c>
    </row>
    <row r="90" spans="1:26">
      <c r="A90" s="190" t="s">
        <v>72</v>
      </c>
      <c r="B90" s="72"/>
      <c r="C90" s="204">
        <f>'Revenue Allocation'!$AG88</f>
        <v>17.482644945467129</v>
      </c>
      <c r="D90" s="204">
        <v>20.556455447158722</v>
      </c>
      <c r="E90" s="154">
        <f t="shared" si="10"/>
        <v>0.17582067880916186</v>
      </c>
      <c r="F90" s="204">
        <v>20.377483690920556</v>
      </c>
      <c r="G90" s="154">
        <f t="shared" si="12"/>
        <v>0.16558356898988535</v>
      </c>
      <c r="H90" s="204">
        <v>21.242266649130841</v>
      </c>
      <c r="I90" s="154">
        <f t="shared" si="12"/>
        <v>0.21504879355446155</v>
      </c>
      <c r="J90" s="204">
        <v>20.580621388755731</v>
      </c>
      <c r="K90" s="154">
        <f t="shared" si="13"/>
        <v>0.17720296059045915</v>
      </c>
      <c r="L90" s="204">
        <v>20.93761575366587</v>
      </c>
      <c r="M90" s="154">
        <f t="shared" si="13"/>
        <v>0.19762288938405401</v>
      </c>
      <c r="N90" s="154"/>
      <c r="O90" s="204">
        <v>19.070937595886086</v>
      </c>
      <c r="P90" s="154">
        <f t="shared" si="11"/>
        <v>9.0849677229804221E-2</v>
      </c>
      <c r="Q90" s="204">
        <v>18.495715184020671</v>
      </c>
      <c r="R90" s="154">
        <f t="shared" si="14"/>
        <v>5.794719515917466E-2</v>
      </c>
      <c r="S90" s="204">
        <v>21.275162340475152</v>
      </c>
      <c r="T90" s="154">
        <f t="shared" si="15"/>
        <v>0.21693041338069047</v>
      </c>
      <c r="U90" s="204">
        <v>19.14860790265746</v>
      </c>
      <c r="V90" s="154">
        <f t="shared" si="16"/>
        <v>9.5292386385864292E-2</v>
      </c>
      <c r="W90" s="204">
        <v>20.296002127993816</v>
      </c>
      <c r="X90" s="154">
        <f t="shared" si="16"/>
        <v>0.16092285757116687</v>
      </c>
      <c r="Z90" s="310">
        <f>'Revenue Allocation'!$AC88</f>
        <v>21.309527342009005</v>
      </c>
    </row>
    <row r="91" spans="1:26">
      <c r="A91" s="190" t="s">
        <v>73</v>
      </c>
      <c r="B91" s="72"/>
      <c r="C91" s="205">
        <f>'Revenue Allocation'!$AG89</f>
        <v>11.043048892931708</v>
      </c>
      <c r="D91" s="205">
        <v>14.090619553847471</v>
      </c>
      <c r="E91" s="198">
        <f t="shared" si="10"/>
        <v>0.27597185256205947</v>
      </c>
      <c r="F91" s="205">
        <v>13.995270279704291</v>
      </c>
      <c r="G91" s="198">
        <f t="shared" si="12"/>
        <v>0.26733752747053424</v>
      </c>
      <c r="H91" s="205">
        <v>14.684059628096541</v>
      </c>
      <c r="I91" s="198">
        <f t="shared" si="12"/>
        <v>0.32971064155075186</v>
      </c>
      <c r="J91" s="205">
        <v>14.108436617667266</v>
      </c>
      <c r="K91" s="198">
        <f t="shared" si="13"/>
        <v>0.27758527146408019</v>
      </c>
      <c r="L91" s="205">
        <v>14.634079654300217</v>
      </c>
      <c r="M91" s="198">
        <f t="shared" si="13"/>
        <v>0.32518471992522013</v>
      </c>
      <c r="N91" s="198"/>
      <c r="O91" s="205">
        <v>14.423243620357832</v>
      </c>
      <c r="P91" s="198">
        <f t="shared" si="11"/>
        <v>0.30609252573260592</v>
      </c>
      <c r="Q91" s="205">
        <v>14.116787224135919</v>
      </c>
      <c r="R91" s="198">
        <f t="shared" si="14"/>
        <v>0.27834145814310485</v>
      </c>
      <c r="S91" s="205">
        <v>16.330583850918476</v>
      </c>
      <c r="T91" s="198">
        <f t="shared" si="15"/>
        <v>0.47881115163504756</v>
      </c>
      <c r="U91" s="205">
        <v>14.480508378989043</v>
      </c>
      <c r="V91" s="198">
        <f t="shared" si="16"/>
        <v>0.31127811887689277</v>
      </c>
      <c r="W91" s="205">
        <v>16.169946207994339</v>
      </c>
      <c r="X91" s="198">
        <f t="shared" si="16"/>
        <v>0.46426465777437514</v>
      </c>
      <c r="Z91" s="310">
        <f>'Revenue Allocation'!$AC89</f>
        <v>14.869931289473589</v>
      </c>
    </row>
    <row r="92" spans="1:26">
      <c r="A92" s="188" t="s">
        <v>74</v>
      </c>
      <c r="B92" s="189"/>
      <c r="C92" s="204">
        <f>'Revenue Allocation'!$AG90</f>
        <v>11.90738801319088</v>
      </c>
      <c r="D92" s="204">
        <v>14.958750633085089</v>
      </c>
      <c r="E92" s="154">
        <f t="shared" si="10"/>
        <v>0.25625793133758135</v>
      </c>
      <c r="F92" s="204">
        <v>14.85217384299076</v>
      </c>
      <c r="G92" s="154">
        <f t="shared" si="12"/>
        <v>0.247307455382967</v>
      </c>
      <c r="H92" s="204">
        <v>15.564592854268252</v>
      </c>
      <c r="I92" s="154">
        <f t="shared" si="12"/>
        <v>0.30713745424487371</v>
      </c>
      <c r="J92" s="204">
        <v>14.977420124681831</v>
      </c>
      <c r="K92" s="154">
        <f t="shared" si="13"/>
        <v>0.25782582276566457</v>
      </c>
      <c r="L92" s="204">
        <v>15.480419661570819</v>
      </c>
      <c r="M92" s="154">
        <f t="shared" si="13"/>
        <v>0.30006846542850296</v>
      </c>
      <c r="N92" s="154"/>
      <c r="O92" s="204">
        <v>15.04726310577586</v>
      </c>
      <c r="P92" s="154">
        <f t="shared" si="11"/>
        <v>0.26369133928504379</v>
      </c>
      <c r="Q92" s="204">
        <v>14.704721022401825</v>
      </c>
      <c r="R92" s="154">
        <f t="shared" si="14"/>
        <v>0.234924150125291</v>
      </c>
      <c r="S92" s="204">
        <v>16.994464334639765</v>
      </c>
      <c r="T92" s="154">
        <f t="shared" si="15"/>
        <v>0.42722016917677286</v>
      </c>
      <c r="U92" s="204">
        <v>15.107267601514796</v>
      </c>
      <c r="V92" s="154">
        <f t="shared" si="16"/>
        <v>0.26873060529976195</v>
      </c>
      <c r="W92" s="204">
        <v>16.723928313004048</v>
      </c>
      <c r="X92" s="154">
        <f t="shared" si="16"/>
        <v>0.40450015523786198</v>
      </c>
      <c r="Z92" s="310">
        <f>'Revenue Allocation'!$AC90</f>
        <v>15.734270409732758</v>
      </c>
    </row>
    <row r="93" spans="1:26">
      <c r="A93" s="81"/>
      <c r="B93" s="77"/>
      <c r="C93" s="204">
        <f>'Revenue Allocation'!$AG91</f>
        <v>0</v>
      </c>
      <c r="D93" s="204">
        <v>0</v>
      </c>
      <c r="E93" s="206"/>
      <c r="F93" s="204">
        <v>0</v>
      </c>
      <c r="G93" s="206"/>
      <c r="H93" s="204">
        <v>0</v>
      </c>
      <c r="I93" s="206"/>
      <c r="J93" s="204">
        <v>0</v>
      </c>
      <c r="K93" s="206"/>
      <c r="L93" s="204">
        <v>0</v>
      </c>
      <c r="M93" s="206"/>
      <c r="N93" s="206"/>
      <c r="O93" s="204">
        <v>0</v>
      </c>
      <c r="P93" s="206"/>
      <c r="Q93" s="204">
        <v>0</v>
      </c>
      <c r="R93" s="206"/>
      <c r="S93" s="204">
        <v>0</v>
      </c>
      <c r="T93" s="206"/>
      <c r="U93" s="204">
        <v>0</v>
      </c>
      <c r="V93" s="206"/>
      <c r="W93" s="204">
        <v>0</v>
      </c>
      <c r="X93" s="206"/>
      <c r="Z93" s="310">
        <f>'Revenue Allocation'!$AC91</f>
        <v>0</v>
      </c>
    </row>
    <row r="94" spans="1:26">
      <c r="A94" s="81" t="s">
        <v>102</v>
      </c>
      <c r="B94" s="77"/>
      <c r="C94" s="204">
        <f>'Revenue Allocation'!$AG92</f>
        <v>0</v>
      </c>
      <c r="D94" s="204">
        <v>0</v>
      </c>
      <c r="E94" s="206"/>
      <c r="F94" s="204">
        <v>0</v>
      </c>
      <c r="G94" s="206"/>
      <c r="H94" s="204">
        <v>0</v>
      </c>
      <c r="I94" s="206"/>
      <c r="J94" s="204">
        <v>0</v>
      </c>
      <c r="K94" s="206"/>
      <c r="L94" s="204">
        <v>0</v>
      </c>
      <c r="M94" s="206"/>
      <c r="N94" s="206"/>
      <c r="O94" s="204">
        <v>0</v>
      </c>
      <c r="P94" s="206"/>
      <c r="Q94" s="204">
        <v>0</v>
      </c>
      <c r="R94" s="206"/>
      <c r="S94" s="204">
        <v>0</v>
      </c>
      <c r="T94" s="206"/>
      <c r="U94" s="204">
        <v>0</v>
      </c>
      <c r="V94" s="206"/>
      <c r="W94" s="204">
        <v>0</v>
      </c>
      <c r="X94" s="206"/>
      <c r="Z94" s="310">
        <f>'Revenue Allocation'!$AC92</f>
        <v>0</v>
      </c>
    </row>
    <row r="95" spans="1:26">
      <c r="A95" s="89" t="s">
        <v>103</v>
      </c>
      <c r="B95" s="77" t="s">
        <v>21</v>
      </c>
      <c r="C95" s="204">
        <f>'Revenue Allocation'!$AG93</f>
        <v>6.1728786373761428</v>
      </c>
      <c r="D95" s="204">
        <v>9.2493567329266995</v>
      </c>
      <c r="E95" s="154">
        <f>(D95-$C95)/$C95</f>
        <v>0.49838629208142848</v>
      </c>
      <c r="F95" s="204">
        <v>8.9906199642669691</v>
      </c>
      <c r="G95" s="154">
        <f>(F95-$C95)/$C95</f>
        <v>0.45647120126899848</v>
      </c>
      <c r="H95" s="204">
        <v>8.9145039806997772</v>
      </c>
      <c r="I95" s="154">
        <f>(H95-$C95)/$C95</f>
        <v>0.44414049009863504</v>
      </c>
      <c r="J95" s="204">
        <v>9.0877703004290105</v>
      </c>
      <c r="K95" s="154">
        <f>(J95-$C95)/$C95</f>
        <v>0.47220945595844044</v>
      </c>
      <c r="L95" s="204">
        <v>8.1287900274180984</v>
      </c>
      <c r="M95" s="154">
        <f>(L95-$C95)/$C95</f>
        <v>0.31685563655813903</v>
      </c>
      <c r="N95" s="154"/>
      <c r="O95" s="204">
        <v>10.350075036270526</v>
      </c>
      <c r="P95" s="154">
        <f>(O95-$C95)/$C95</f>
        <v>0.67670152683739648</v>
      </c>
      <c r="Q95" s="204">
        <v>9.5184846712038773</v>
      </c>
      <c r="R95" s="154">
        <f>(Q95-$C95)/$C95</f>
        <v>0.54198474170064437</v>
      </c>
      <c r="S95" s="204">
        <v>9.2738448432817258</v>
      </c>
      <c r="T95" s="154">
        <f>(S95-$C95)/$C95</f>
        <v>0.50235334081080951</v>
      </c>
      <c r="U95" s="204">
        <v>9.8307297530831654</v>
      </c>
      <c r="V95" s="154">
        <f>(U95-$C95)/$C95</f>
        <v>0.59256812430413131</v>
      </c>
      <c r="W95" s="204">
        <v>6.7485286439951704</v>
      </c>
      <c r="X95" s="154">
        <f>(W95-$C95)/$C95</f>
        <v>9.3254709906902461E-2</v>
      </c>
      <c r="Z95" s="310">
        <f>'Revenue Allocation'!$AC93</f>
        <v>9.9997610339180234</v>
      </c>
    </row>
    <row r="96" spans="1:26">
      <c r="A96" s="89" t="s">
        <v>104</v>
      </c>
      <c r="B96" s="77" t="s">
        <v>21</v>
      </c>
      <c r="C96" s="205">
        <f>'Revenue Allocation'!$AG94</f>
        <v>5.03914089304177</v>
      </c>
      <c r="D96" s="205">
        <v>8.1158927221076613</v>
      </c>
      <c r="E96" s="198">
        <f>(D96-$C96)/$C96</f>
        <v>0.61057070924815438</v>
      </c>
      <c r="F96" s="205">
        <v>7.8571472264579976</v>
      </c>
      <c r="G96" s="198">
        <f>(F96-$C96)/$C96</f>
        <v>0.55922356473648782</v>
      </c>
      <c r="H96" s="205">
        <v>7.7810286755578897</v>
      </c>
      <c r="I96" s="198">
        <f>(H96-$C96)/$C96</f>
        <v>0.54411810281038553</v>
      </c>
      <c r="J96" s="205">
        <v>7.9543008394253034</v>
      </c>
      <c r="K96" s="198">
        <f>(J96-$C96)/$C96</f>
        <v>0.57850336163628457</v>
      </c>
      <c r="L96" s="205">
        <v>6.9952882207557741</v>
      </c>
      <c r="M96" s="198">
        <f>(L96-$C96)/$C96</f>
        <v>0.38819063987973101</v>
      </c>
      <c r="N96" s="198"/>
      <c r="O96" s="205">
        <v>9.2432223929676081</v>
      </c>
      <c r="P96" s="198">
        <f>(O96-$C96)/$C96</f>
        <v>0.83428536513654294</v>
      </c>
      <c r="Q96" s="205">
        <v>8.4116039790048411</v>
      </c>
      <c r="R96" s="198">
        <f>(Q96-$C96)/$C96</f>
        <v>0.66925358062916862</v>
      </c>
      <c r="S96" s="205">
        <v>8.166955899571601</v>
      </c>
      <c r="T96" s="198">
        <f>(S96-$C96)/$C96</f>
        <v>0.6207040193793415</v>
      </c>
      <c r="U96" s="205">
        <v>8.7238595926678446</v>
      </c>
      <c r="V96" s="198">
        <f>(U96-$C96)/$C96</f>
        <v>0.73121962212131608</v>
      </c>
      <c r="W96" s="205">
        <v>5.6415545233340865</v>
      </c>
      <c r="X96" s="198">
        <f>(W96-$C96)/$C96</f>
        <v>0.11954689163864245</v>
      </c>
      <c r="Z96" s="310">
        <f>'Revenue Allocation'!$AC94</f>
        <v>8.8660232895836515</v>
      </c>
    </row>
    <row r="97" spans="1:26">
      <c r="A97" s="105" t="s">
        <v>3</v>
      </c>
      <c r="B97" s="189" t="s">
        <v>21</v>
      </c>
      <c r="C97" s="204">
        <f>'Revenue Allocation'!$AG95</f>
        <v>5.6955507096272031</v>
      </c>
      <c r="D97" s="204">
        <v>8.7720288051777846</v>
      </c>
      <c r="E97" s="154">
        <f>(D97-$C97)/$C97</f>
        <v>0.54015463164087063</v>
      </c>
      <c r="F97" s="204">
        <v>8.513292036518056</v>
      </c>
      <c r="G97" s="154">
        <f>(F97-$C97)/$C97</f>
        <v>0.494726756120004</v>
      </c>
      <c r="H97" s="204">
        <v>8.4371760529508641</v>
      </c>
      <c r="I97" s="154">
        <f>(H97-$C97)/$C97</f>
        <v>0.48136264306970089</v>
      </c>
      <c r="J97" s="204">
        <v>8.6104423726800974</v>
      </c>
      <c r="K97" s="154">
        <f>(J97-$C97)/$C97</f>
        <v>0.51178398923318269</v>
      </c>
      <c r="L97" s="204">
        <v>7.65146209966918</v>
      </c>
      <c r="M97" s="154">
        <f>(L97-$C97)/$C97</f>
        <v>0.34341040748454671</v>
      </c>
      <c r="N97" s="154"/>
      <c r="O97" s="204">
        <v>9.8839350571384497</v>
      </c>
      <c r="P97" s="154">
        <f>(O97-$C97)/$C97</f>
        <v>0.73537829106351571</v>
      </c>
      <c r="Q97" s="204">
        <v>9.0523446920717987</v>
      </c>
      <c r="R97" s="154">
        <f>(Q97-$C97)/$C97</f>
        <v>0.58937127480413765</v>
      </c>
      <c r="S97" s="204">
        <v>8.8077048641496472</v>
      </c>
      <c r="T97" s="154">
        <f>(S97-$C97)/$C97</f>
        <v>0.54641847877185301</v>
      </c>
      <c r="U97" s="204">
        <v>9.3645897739510886</v>
      </c>
      <c r="V97" s="154">
        <f>(U97-$C97)/$C97</f>
        <v>0.64419390703028945</v>
      </c>
      <c r="W97" s="204">
        <v>6.2823886648630838</v>
      </c>
      <c r="X97" s="154">
        <f>(W97-$C97)/$C97</f>
        <v>0.10303445358566417</v>
      </c>
      <c r="Z97" s="310">
        <f>'Revenue Allocation'!$AC95</f>
        <v>9.5224331061690837</v>
      </c>
    </row>
    <row r="98" spans="1:26">
      <c r="A98" s="89"/>
      <c r="B98" s="77"/>
      <c r="C98" s="204">
        <f>'Revenue Allocation'!$AG96</f>
        <v>0</v>
      </c>
      <c r="D98" s="204">
        <v>0</v>
      </c>
      <c r="E98" s="206"/>
      <c r="F98" s="204">
        <v>0</v>
      </c>
      <c r="G98" s="206"/>
      <c r="H98" s="204">
        <v>0</v>
      </c>
      <c r="I98" s="206"/>
      <c r="J98" s="204">
        <v>0</v>
      </c>
      <c r="K98" s="206"/>
      <c r="L98" s="204">
        <v>0</v>
      </c>
      <c r="M98" s="206"/>
      <c r="N98" s="206"/>
      <c r="O98" s="204">
        <v>0</v>
      </c>
      <c r="P98" s="206"/>
      <c r="Q98" s="204">
        <v>0</v>
      </c>
      <c r="R98" s="206"/>
      <c r="S98" s="204">
        <v>0</v>
      </c>
      <c r="T98" s="206"/>
      <c r="U98" s="204">
        <v>0</v>
      </c>
      <c r="V98" s="206"/>
      <c r="W98" s="204">
        <v>0</v>
      </c>
      <c r="X98" s="206"/>
      <c r="Z98" s="310">
        <f>'Revenue Allocation'!$AC96</f>
        <v>0</v>
      </c>
    </row>
    <row r="99" spans="1:26">
      <c r="A99" s="89" t="s">
        <v>103</v>
      </c>
      <c r="B99" s="77" t="s">
        <v>27</v>
      </c>
      <c r="C99" s="204">
        <f>'Revenue Allocation'!$AG97</f>
        <v>7.9640199603566586</v>
      </c>
      <c r="D99" s="204">
        <v>11.040498055907214</v>
      </c>
      <c r="E99" s="154">
        <f>(D99-$C99)/$C99</f>
        <v>0.38629713522375192</v>
      </c>
      <c r="F99" s="204">
        <v>10.870182495228232</v>
      </c>
      <c r="G99" s="154">
        <f>(F99-$C99)/$C99</f>
        <v>0.36491150817525375</v>
      </c>
      <c r="H99" s="204">
        <v>10.80111953498853</v>
      </c>
      <c r="I99" s="154">
        <f>(H99-$C99)/$C99</f>
        <v>0.35623963635882389</v>
      </c>
      <c r="J99" s="204">
        <v>10.993221100391992</v>
      </c>
      <c r="K99" s="154">
        <f>(J99-$C99)/$C99</f>
        <v>0.38036081716446052</v>
      </c>
      <c r="L99" s="204">
        <v>10.252707775701744</v>
      </c>
      <c r="M99" s="154">
        <f>(L99-$C99)/$C99</f>
        <v>0.28737846297946612</v>
      </c>
      <c r="N99" s="154"/>
      <c r="O99" s="204">
        <v>11.287897031058419</v>
      </c>
      <c r="P99" s="154">
        <f>(O99-$C99)/$C99</f>
        <v>0.41736172024271329</v>
      </c>
      <c r="Q99" s="204">
        <v>10.740495979343839</v>
      </c>
      <c r="R99" s="154">
        <f>(Q99-$C99)/$C99</f>
        <v>0.34862745608473328</v>
      </c>
      <c r="S99" s="204">
        <v>10.518524851638187</v>
      </c>
      <c r="T99" s="154">
        <f>(S99-$C99)/$C99</f>
        <v>0.320755711813551</v>
      </c>
      <c r="U99" s="204">
        <v>11.13594699744009</v>
      </c>
      <c r="V99" s="154">
        <f>(U99-$C99)/$C99</f>
        <v>0.398282155603912</v>
      </c>
      <c r="W99" s="204">
        <v>8.7559074336557075</v>
      </c>
      <c r="X99" s="154">
        <f>(W99-$C99)/$C99</f>
        <v>9.9433135180588522E-2</v>
      </c>
      <c r="Z99" s="310">
        <f>'Revenue Allocation'!$AC97</f>
        <v>11.790902356898538</v>
      </c>
    </row>
    <row r="100" spans="1:26">
      <c r="A100" s="89" t="s">
        <v>104</v>
      </c>
      <c r="B100" s="77" t="s">
        <v>27</v>
      </c>
      <c r="C100" s="205">
        <f>'Revenue Allocation'!$AG98</f>
        <v>6.9108390778971991</v>
      </c>
      <c r="D100" s="205">
        <v>10.006402413352292</v>
      </c>
      <c r="E100" s="198">
        <f>(D100-$C100)/$C100</f>
        <v>0.44792872479921764</v>
      </c>
      <c r="F100" s="205">
        <v>9.8357613885593143</v>
      </c>
      <c r="G100" s="198">
        <f>(F100-$C100)/$C100</f>
        <v>0.42323692936460305</v>
      </c>
      <c r="H100" s="205">
        <v>9.7665664526206548</v>
      </c>
      <c r="I100" s="198">
        <f>(H100-$C100)/$C100</f>
        <v>0.41322440626014179</v>
      </c>
      <c r="J100" s="205">
        <v>9.959035114051817</v>
      </c>
      <c r="K100" s="198">
        <f>(J100-$C100)/$C100</f>
        <v>0.44107466572381976</v>
      </c>
      <c r="L100" s="205">
        <v>9.2171067071919772</v>
      </c>
      <c r="M100" s="198">
        <f>(L100-$C100)/$C100</f>
        <v>0.3337174550440436</v>
      </c>
      <c r="N100" s="198"/>
      <c r="O100" s="205">
        <v>10.15264093167321</v>
      </c>
      <c r="P100" s="198">
        <f>(O100-$C100)/$C100</f>
        <v>0.46908947194910117</v>
      </c>
      <c r="Q100" s="205">
        <v>9.6041938252259573</v>
      </c>
      <c r="R100" s="198">
        <f>(Q100-$C100)/$C100</f>
        <v>0.3897290498259266</v>
      </c>
      <c r="S100" s="205">
        <v>9.381798522323848</v>
      </c>
      <c r="T100" s="198">
        <f>(S100-$C100)/$C100</f>
        <v>0.35754839847587683</v>
      </c>
      <c r="U100" s="205">
        <v>10.000400529500968</v>
      </c>
      <c r="V100" s="198">
        <f>(U100-$C100)/$C100</f>
        <v>0.44706025082902784</v>
      </c>
      <c r="W100" s="205">
        <v>7.6158128347953129</v>
      </c>
      <c r="X100" s="198">
        <f>(W100-$C100)/$C100</f>
        <v>0.10200986435248037</v>
      </c>
      <c r="Z100" s="310">
        <f>'Revenue Allocation'!$AC98</f>
        <v>10.737721474439079</v>
      </c>
    </row>
    <row r="101" spans="1:26">
      <c r="A101" s="105" t="s">
        <v>3</v>
      </c>
      <c r="B101" s="189" t="s">
        <v>27</v>
      </c>
      <c r="C101" s="204">
        <f>'Revenue Allocation'!$AG99</f>
        <v>7.7874538251002727</v>
      </c>
      <c r="D101" s="204">
        <v>10.863931920650831</v>
      </c>
      <c r="E101" s="154">
        <f>(D101-$C101)/$C101</f>
        <v>0.39505570943285112</v>
      </c>
      <c r="F101" s="204">
        <v>10.693616359971845</v>
      </c>
      <c r="G101" s="154">
        <f>(F101-$C101)/$C101</f>
        <v>0.37318520278149475</v>
      </c>
      <c r="H101" s="204">
        <v>10.624553399732143</v>
      </c>
      <c r="I101" s="154">
        <f>(H101-$C101)/$C101</f>
        <v>0.36431671228501178</v>
      </c>
      <c r="J101" s="204">
        <v>10.816654965135607</v>
      </c>
      <c r="K101" s="154">
        <f>(J101-$C101)/$C101</f>
        <v>0.38898479632350558</v>
      </c>
      <c r="L101" s="204">
        <v>10.076141640445357</v>
      </c>
      <c r="M101" s="154">
        <f>(L101-$C101)/$C101</f>
        <v>0.29389423895757283</v>
      </c>
      <c r="N101" s="154"/>
      <c r="O101" s="204">
        <v>11.094324549380467</v>
      </c>
      <c r="P101" s="154">
        <f>(O101-$C101)/$C101</f>
        <v>0.42464081310140084</v>
      </c>
      <c r="Q101" s="204">
        <v>10.546923497665885</v>
      </c>
      <c r="R101" s="154">
        <f>(Q101-$C101)/$C101</f>
        <v>0.35434812642758506</v>
      </c>
      <c r="S101" s="204">
        <v>10.324952369960235</v>
      </c>
      <c r="T101" s="154">
        <f>(S101-$C101)/$C101</f>
        <v>0.32584444182271455</v>
      </c>
      <c r="U101" s="204">
        <v>10.942374515762136</v>
      </c>
      <c r="V101" s="154">
        <f>(U101-$C101)/$C101</f>
        <v>0.40512865456653158</v>
      </c>
      <c r="W101" s="204">
        <v>8.5623349519777534</v>
      </c>
      <c r="X101" s="154">
        <f>(W101-$C101)/$C101</f>
        <v>9.950378445646875E-2</v>
      </c>
      <c r="Z101" s="310">
        <f>'Revenue Allocation'!$AC99</f>
        <v>11.614336221642153</v>
      </c>
    </row>
    <row r="102" spans="1:26">
      <c r="A102" s="89"/>
      <c r="B102" s="77"/>
      <c r="C102" s="204">
        <f>'Revenue Allocation'!$AG100</f>
        <v>0</v>
      </c>
      <c r="D102" s="204">
        <v>0</v>
      </c>
      <c r="E102" s="206"/>
      <c r="F102" s="204">
        <v>0</v>
      </c>
      <c r="G102" s="206"/>
      <c r="H102" s="204">
        <v>0</v>
      </c>
      <c r="I102" s="206"/>
      <c r="J102" s="204">
        <v>0</v>
      </c>
      <c r="K102" s="206"/>
      <c r="L102" s="204">
        <v>0</v>
      </c>
      <c r="M102" s="206"/>
      <c r="N102" s="206"/>
      <c r="O102" s="204">
        <v>0</v>
      </c>
      <c r="P102" s="206"/>
      <c r="Q102" s="204">
        <v>0</v>
      </c>
      <c r="R102" s="206"/>
      <c r="S102" s="204">
        <v>0</v>
      </c>
      <c r="T102" s="206"/>
      <c r="U102" s="204">
        <v>0</v>
      </c>
      <c r="V102" s="206"/>
      <c r="W102" s="204">
        <v>0</v>
      </c>
      <c r="X102" s="206"/>
      <c r="Z102" s="310">
        <f>'Revenue Allocation'!$AC100</f>
        <v>0</v>
      </c>
    </row>
    <row r="103" spans="1:26">
      <c r="A103" s="89" t="s">
        <v>103</v>
      </c>
      <c r="B103" s="77" t="s">
        <v>28</v>
      </c>
      <c r="C103" s="204">
        <f>'Revenue Allocation'!$AG101</f>
        <v>9.29641730156618</v>
      </c>
      <c r="D103" s="204">
        <v>12.372895397116631</v>
      </c>
      <c r="E103" s="154">
        <f>(D103-$C103)/$C103</f>
        <v>0.33093158318443305</v>
      </c>
      <c r="F103" s="204">
        <v>12.427936543503614</v>
      </c>
      <c r="G103" s="154">
        <f>(F103-$C103)/$C103</f>
        <v>0.33685226688456243</v>
      </c>
      <c r="H103" s="204">
        <v>12.366389447765272</v>
      </c>
      <c r="I103" s="154">
        <f>(H103-$C103)/$C103</f>
        <v>0.3302317491365076</v>
      </c>
      <c r="J103" s="204">
        <v>12.397061864715448</v>
      </c>
      <c r="K103" s="154">
        <f>(J103-$C103)/$C103</f>
        <v>0.3335311295273824</v>
      </c>
      <c r="L103" s="204">
        <v>11.811332669753243</v>
      </c>
      <c r="M103" s="154">
        <f>(L103-$C103)/$C103</f>
        <v>0.27052522349264291</v>
      </c>
      <c r="N103" s="154"/>
      <c r="O103" s="204">
        <v>12.205255143105532</v>
      </c>
      <c r="P103" s="154">
        <f>(O103-$C103)/$C103</f>
        <v>0.31289880253646707</v>
      </c>
      <c r="Q103" s="204">
        <v>12.382159597987377</v>
      </c>
      <c r="R103" s="154">
        <f>(Q103-$C103)/$C103</f>
        <v>0.33192811771706265</v>
      </c>
      <c r="S103" s="204">
        <v>12.184344760618233</v>
      </c>
      <c r="T103" s="154">
        <f>(S103-$C103)/$C103</f>
        <v>0.31064950780184103</v>
      </c>
      <c r="U103" s="204">
        <v>12.282927140467848</v>
      </c>
      <c r="V103" s="154">
        <f>(U103-$C103)/$C103</f>
        <v>0.32125384887773129</v>
      </c>
      <c r="W103" s="204">
        <v>10.400369985595917</v>
      </c>
      <c r="X103" s="154">
        <f>(W103-$C103)/$C103</f>
        <v>0.11875033663169929</v>
      </c>
      <c r="Z103" s="310">
        <f>'Revenue Allocation'!$AC101</f>
        <v>13.123299698107932</v>
      </c>
    </row>
    <row r="104" spans="1:26">
      <c r="A104" s="89" t="s">
        <v>104</v>
      </c>
      <c r="B104" s="77" t="s">
        <v>28</v>
      </c>
      <c r="C104" s="205">
        <f>'Revenue Allocation'!$AG102</f>
        <v>8.2713881896605557</v>
      </c>
      <c r="D104" s="205">
        <v>11.347866285211113</v>
      </c>
      <c r="E104" s="198">
        <f>(D104-$C104)/$C104</f>
        <v>0.37194217282610831</v>
      </c>
      <c r="F104" s="205">
        <v>11.402907431598097</v>
      </c>
      <c r="G104" s="198">
        <f>(F104-$C104)/$C104</f>
        <v>0.37859657534294172</v>
      </c>
      <c r="H104" s="205">
        <v>11.341360335859751</v>
      </c>
      <c r="I104" s="198">
        <f>(H104-$C104)/$C104</f>
        <v>0.37115561206965691</v>
      </c>
      <c r="J104" s="205">
        <v>11.372032752809931</v>
      </c>
      <c r="K104" s="198">
        <f>(J104-$C104)/$C104</f>
        <v>0.37486386711063313</v>
      </c>
      <c r="L104" s="205">
        <v>10.786303557847704</v>
      </c>
      <c r="M104" s="198">
        <f>(L104-$C104)/$C104</f>
        <v>0.30404997450498772</v>
      </c>
      <c r="N104" s="198"/>
      <c r="O104" s="205">
        <v>11.060318585082568</v>
      </c>
      <c r="P104" s="198">
        <f>(O104-$C104)/$C104</f>
        <v>0.33717803245025374</v>
      </c>
      <c r="Q104" s="205">
        <v>11.237223039964418</v>
      </c>
      <c r="R104" s="198">
        <f>(Q104-$C104)/$C104</f>
        <v>0.35856554937310653</v>
      </c>
      <c r="S104" s="205">
        <v>11.03940820259527</v>
      </c>
      <c r="T104" s="198">
        <f>(S104-$C104)/$C104</f>
        <v>0.33464999459157407</v>
      </c>
      <c r="U104" s="205">
        <v>11.137990582444885</v>
      </c>
      <c r="V104" s="198">
        <f>(U104-$C104)/$C104</f>
        <v>0.34656847521286155</v>
      </c>
      <c r="W104" s="205">
        <v>9.2554334275728909</v>
      </c>
      <c r="X104" s="198">
        <f>(W104-$C104)/$C104</f>
        <v>0.11896978056747677</v>
      </c>
      <c r="Z104" s="310">
        <f>'Revenue Allocation'!$AC102</f>
        <v>12.098270586202437</v>
      </c>
    </row>
    <row r="105" spans="1:26">
      <c r="A105" s="105" t="s">
        <v>3</v>
      </c>
      <c r="B105" s="189" t="s">
        <v>28</v>
      </c>
      <c r="C105" s="204">
        <f>'Revenue Allocation'!$AG103</f>
        <v>9.2442404799701308</v>
      </c>
      <c r="D105" s="204">
        <v>12.320718889237321</v>
      </c>
      <c r="E105" s="154">
        <f>(D105-$C105)/$C105</f>
        <v>0.33279947832741053</v>
      </c>
      <c r="F105" s="204">
        <v>12.375760035624307</v>
      </c>
      <c r="G105" s="154">
        <f>(F105-$C105)/$C105</f>
        <v>0.33875357985757359</v>
      </c>
      <c r="H105" s="204">
        <v>12.314212939885962</v>
      </c>
      <c r="I105" s="154">
        <f>(H105-$C105)/$C105</f>
        <v>0.33209569423985291</v>
      </c>
      <c r="J105" s="204">
        <v>12.344885356836139</v>
      </c>
      <c r="K105" s="154">
        <f>(J105-$C105)/$C105</f>
        <v>0.33541369716466168</v>
      </c>
      <c r="L105" s="204">
        <v>11.759156161873912</v>
      </c>
      <c r="M105" s="154">
        <f>(L105-$C105)/$C105</f>
        <v>0.27205216992709691</v>
      </c>
      <c r="N105" s="154"/>
      <c r="O105" s="204">
        <v>12.146975050718698</v>
      </c>
      <c r="P105" s="154">
        <f>(O105-$C105)/$C105</f>
        <v>0.31400465803956956</v>
      </c>
      <c r="Q105" s="204">
        <v>12.323879505600546</v>
      </c>
      <c r="R105" s="154">
        <f>(Q105-$C105)/$C105</f>
        <v>0.33314137946791772</v>
      </c>
      <c r="S105" s="204">
        <v>12.126064668231395</v>
      </c>
      <c r="T105" s="154">
        <f>(S105-$C105)/$C105</f>
        <v>0.31174266771893583</v>
      </c>
      <c r="U105" s="204">
        <v>12.224647048081016</v>
      </c>
      <c r="V105" s="154">
        <f>(U105-$C105)/$C105</f>
        <v>0.32240686236675176</v>
      </c>
      <c r="W105" s="204">
        <v>10.342089893209021</v>
      </c>
      <c r="X105" s="154">
        <f>(W105-$C105)/$C105</f>
        <v>0.11876036929346927</v>
      </c>
      <c r="Z105" s="310">
        <f>'Revenue Allocation'!$AC103</f>
        <v>13.071123190228223</v>
      </c>
    </row>
    <row r="106" spans="1:26">
      <c r="A106" s="89"/>
      <c r="B106" s="73"/>
      <c r="C106" s="204">
        <f>'Revenue Allocation'!$AG104</f>
        <v>0</v>
      </c>
      <c r="D106" s="204">
        <v>0</v>
      </c>
      <c r="E106" s="206"/>
      <c r="F106" s="204">
        <v>0</v>
      </c>
      <c r="G106" s="206"/>
      <c r="H106" s="204">
        <v>0</v>
      </c>
      <c r="I106" s="206"/>
      <c r="J106" s="204">
        <v>0</v>
      </c>
      <c r="K106" s="206"/>
      <c r="L106" s="204">
        <v>0</v>
      </c>
      <c r="M106" s="206"/>
      <c r="N106" s="206"/>
      <c r="O106" s="204">
        <v>0</v>
      </c>
      <c r="P106" s="206"/>
      <c r="Q106" s="204">
        <v>0</v>
      </c>
      <c r="R106" s="206"/>
      <c r="S106" s="204">
        <v>0</v>
      </c>
      <c r="T106" s="206"/>
      <c r="U106" s="204">
        <v>0</v>
      </c>
      <c r="V106" s="206"/>
      <c r="W106" s="204">
        <v>0</v>
      </c>
      <c r="X106" s="206"/>
      <c r="Z106" s="310">
        <f>'Revenue Allocation'!$AC104</f>
        <v>0</v>
      </c>
    </row>
    <row r="107" spans="1:26">
      <c r="A107" s="190" t="s">
        <v>105</v>
      </c>
      <c r="B107" s="72"/>
      <c r="C107" s="204">
        <f>'Revenue Allocation'!$AG105</f>
        <v>7.1844387075059064</v>
      </c>
      <c r="D107" s="204">
        <v>10.264652568619944</v>
      </c>
      <c r="E107" s="154">
        <f>(D107-$C107)/$C107</f>
        <v>0.42873409970023119</v>
      </c>
      <c r="F107" s="204">
        <v>10.099938812361417</v>
      </c>
      <c r="G107" s="154">
        <f>(F107-$C107)/$C107</f>
        <v>0.40580763836283501</v>
      </c>
      <c r="H107" s="204">
        <v>10.029230985610173</v>
      </c>
      <c r="I107" s="154">
        <f>(H107-$C107)/$C107</f>
        <v>0.3959658358741629</v>
      </c>
      <c r="J107" s="204">
        <v>10.182271075461417</v>
      </c>
      <c r="K107" s="154">
        <f>(J107-$C107)/$C107</f>
        <v>0.41726744287254341</v>
      </c>
      <c r="L107" s="204">
        <v>9.377407347997476</v>
      </c>
      <c r="M107" s="154">
        <f>(L107-$C107)/$C107</f>
        <v>0.30523868735917764</v>
      </c>
      <c r="N107" s="154"/>
      <c r="O107" s="204">
        <v>10.794008105323579</v>
      </c>
      <c r="P107" s="154">
        <f>(O107-$C107)/$C107</f>
        <v>0.50241494774624396</v>
      </c>
      <c r="Q107" s="204">
        <v>10.264611477978871</v>
      </c>
      <c r="R107" s="154">
        <f>(Q107-$C107)/$C107</f>
        <v>0.42872838030547461</v>
      </c>
      <c r="S107" s="204">
        <v>10.037353683249021</v>
      </c>
      <c r="T107" s="154">
        <f>(S107-$C107)/$C107</f>
        <v>0.39709643187052962</v>
      </c>
      <c r="U107" s="204">
        <v>10.529230677958658</v>
      </c>
      <c r="V107" s="154">
        <f>(U107-$C107)/$C107</f>
        <v>0.46556065221327547</v>
      </c>
      <c r="W107" s="204">
        <v>7.9423663354156888</v>
      </c>
      <c r="X107" s="154">
        <f>(W107-$C107)/$C107</f>
        <v>0.10549573303728534</v>
      </c>
      <c r="Z107" s="310">
        <f>'Revenue Allocation'!$AC105</f>
        <v>11.0159680703087</v>
      </c>
    </row>
    <row r="108" spans="1:26">
      <c r="A108" s="94"/>
      <c r="B108" s="73"/>
      <c r="C108" s="204">
        <f>'Revenue Allocation'!$AG106</f>
        <v>0</v>
      </c>
      <c r="D108" s="204">
        <v>0</v>
      </c>
      <c r="E108" s="206"/>
      <c r="F108" s="204">
        <v>0</v>
      </c>
      <c r="G108" s="206"/>
      <c r="H108" s="204">
        <v>0</v>
      </c>
      <c r="I108" s="206"/>
      <c r="J108" s="204">
        <v>0</v>
      </c>
      <c r="K108" s="206"/>
      <c r="L108" s="204">
        <v>0</v>
      </c>
      <c r="M108" s="206"/>
      <c r="N108" s="206"/>
      <c r="O108" s="204">
        <v>0</v>
      </c>
      <c r="P108" s="206"/>
      <c r="Q108" s="204">
        <v>0</v>
      </c>
      <c r="R108" s="206"/>
      <c r="S108" s="204">
        <v>0</v>
      </c>
      <c r="T108" s="206"/>
      <c r="U108" s="204">
        <v>0</v>
      </c>
      <c r="V108" s="206"/>
      <c r="W108" s="204">
        <v>0</v>
      </c>
      <c r="X108" s="206"/>
      <c r="Z108" s="310">
        <f>'Revenue Allocation'!$AC106</f>
        <v>0</v>
      </c>
    </row>
    <row r="109" spans="1:26">
      <c r="A109" s="89" t="s">
        <v>81</v>
      </c>
      <c r="B109" s="77" t="s">
        <v>21</v>
      </c>
      <c r="C109" s="204">
        <f>'Revenue Allocation'!$AG107</f>
        <v>7.4495668603583916</v>
      </c>
      <c r="D109" s="204">
        <v>10.556379379413006</v>
      </c>
      <c r="E109" s="154">
        <f>(D109-$C109)/$C109</f>
        <v>0.41704606150821877</v>
      </c>
      <c r="F109" s="204">
        <v>10.296896971650513</v>
      </c>
      <c r="G109" s="154">
        <f>(F109-$C109)/$C109</f>
        <v>0.38221418300756604</v>
      </c>
      <c r="H109" s="204">
        <v>10.220561633663817</v>
      </c>
      <c r="I109" s="154">
        <f>(H109-$C109)/$C109</f>
        <v>0.37196723316234725</v>
      </c>
      <c r="J109" s="204">
        <v>10.394327279962875</v>
      </c>
      <c r="K109" s="154">
        <f>(J109-$C109)/$C109</f>
        <v>0.39529283712782376</v>
      </c>
      <c r="L109" s="204">
        <v>9.4325833750412666</v>
      </c>
      <c r="M109" s="154">
        <f>(L109-$C109)/$C109</f>
        <v>0.26619218967416236</v>
      </c>
      <c r="N109" s="154"/>
      <c r="O109" s="204">
        <v>10.79595813413605</v>
      </c>
      <c r="P109" s="154">
        <f>(O109-$C109)/$C109</f>
        <v>0.44920615339193926</v>
      </c>
      <c r="Q109" s="204">
        <v>9.9619712550490345</v>
      </c>
      <c r="R109" s="154">
        <f>(Q109-$C109)/$C109</f>
        <v>0.33725509707953322</v>
      </c>
      <c r="S109" s="204">
        <v>9.7166264132135627</v>
      </c>
      <c r="T109" s="154">
        <f>(S109-$C109)/$C109</f>
        <v>0.30432098877035985</v>
      </c>
      <c r="U109" s="204">
        <v>10.275116178662847</v>
      </c>
      <c r="V109" s="154">
        <f>(U109-$C109)/$C109</f>
        <v>0.37929041664692448</v>
      </c>
      <c r="W109" s="204">
        <v>7.1840326456293511</v>
      </c>
      <c r="X109" s="154">
        <f>(W109-$C109)/$C109</f>
        <v>-3.5644248814254667E-2</v>
      </c>
      <c r="Z109" s="310">
        <f>'Revenue Allocation'!$AC107</f>
        <v>11.276449256900271</v>
      </c>
    </row>
    <row r="110" spans="1:26">
      <c r="A110" s="94"/>
      <c r="B110" s="77" t="s">
        <v>28</v>
      </c>
      <c r="C110" s="205">
        <f>'Revenue Allocation'!$AG108</f>
        <v>8.2148393539087348</v>
      </c>
      <c r="D110" s="205">
        <v>11.291317449459291</v>
      </c>
      <c r="E110" s="198">
        <f>(D110-$C110)/$C110</f>
        <v>0.37450252683112112</v>
      </c>
      <c r="F110" s="205">
        <v>11.346358595846274</v>
      </c>
      <c r="G110" s="198">
        <f>(F110-$C110)/$C110</f>
        <v>0.38120273653890979</v>
      </c>
      <c r="H110" s="205">
        <v>11.284811500107931</v>
      </c>
      <c r="I110" s="198">
        <f>(H110-$C110)/$C110</f>
        <v>0.37371055159325317</v>
      </c>
      <c r="J110" s="205">
        <v>11.315483917058108</v>
      </c>
      <c r="K110" s="198">
        <f>(J110-$C110)/$C110</f>
        <v>0.37744433330568339</v>
      </c>
      <c r="L110" s="205">
        <v>10.729754722095883</v>
      </c>
      <c r="M110" s="198">
        <f>(L110-$C110)/$C110</f>
        <v>0.30614297612411823</v>
      </c>
      <c r="N110" s="198"/>
      <c r="O110" s="205">
        <v>11.791822070792753</v>
      </c>
      <c r="P110" s="198">
        <f>(O110-$C110)/$C110</f>
        <v>0.43542941776238631</v>
      </c>
      <c r="Q110" s="205">
        <v>11.968726525674603</v>
      </c>
      <c r="R110" s="198">
        <f>(Q110-$C110)/$C110</f>
        <v>0.4569641608365374</v>
      </c>
      <c r="S110" s="205">
        <v>11.770911688305453</v>
      </c>
      <c r="T110" s="198">
        <f>(S110-$C110)/$C110</f>
        <v>0.43288397754299235</v>
      </c>
      <c r="U110" s="205">
        <v>11.86949406815507</v>
      </c>
      <c r="V110" s="198">
        <f>(U110-$C110)/$C110</f>
        <v>0.44488450191145856</v>
      </c>
      <c r="W110" s="205">
        <v>9.9869369132830759</v>
      </c>
      <c r="X110" s="198">
        <f>(W110-$C110)/$C110</f>
        <v>0.21571907654300659</v>
      </c>
      <c r="Z110" s="310">
        <f>'Revenue Allocation'!$AC108</f>
        <v>12.041721750450614</v>
      </c>
    </row>
    <row r="111" spans="1:26">
      <c r="A111" s="105" t="s">
        <v>106</v>
      </c>
      <c r="B111" s="72"/>
      <c r="C111" s="204">
        <f>'Revenue Allocation'!$AG109</f>
        <v>8.2073668661509647</v>
      </c>
      <c r="D111" s="204">
        <v>11.284161582296743</v>
      </c>
      <c r="E111" s="154">
        <f>(D111-$C111)/$C111</f>
        <v>0.3748820744001557</v>
      </c>
      <c r="F111" s="204">
        <v>11.336140309053127</v>
      </c>
      <c r="G111" s="154">
        <f>(F111-$C111)/$C111</f>
        <v>0.38121525379911192</v>
      </c>
      <c r="H111" s="204">
        <v>11.274449224723892</v>
      </c>
      <c r="I111" s="154">
        <f>(H111-$C111)/$C111</f>
        <v>0.37369870368805708</v>
      </c>
      <c r="J111" s="204">
        <v>11.306514896674475</v>
      </c>
      <c r="K111" s="154">
        <f>(J111-$C111)/$C111</f>
        <v>0.37760564150057641</v>
      </c>
      <c r="L111" s="204">
        <v>10.717124561508335</v>
      </c>
      <c r="M111" s="154">
        <f>(L111-$C111)/$C111</f>
        <v>0.30579328745595352</v>
      </c>
      <c r="N111" s="154"/>
      <c r="O111" s="204">
        <v>11.782125648287058</v>
      </c>
      <c r="P111" s="154">
        <f>(O111-$C111)/$C111</f>
        <v>0.43555489116481522</v>
      </c>
      <c r="Q111" s="204">
        <v>11.94918736349263</v>
      </c>
      <c r="R111" s="154">
        <f>(Q111-$C111)/$C111</f>
        <v>0.45590998408683037</v>
      </c>
      <c r="S111" s="204">
        <v>11.750909741009934</v>
      </c>
      <c r="T111" s="154">
        <f>(S111-$C111)/$C111</f>
        <v>0.43175149017321757</v>
      </c>
      <c r="U111" s="204">
        <v>11.853970098382499</v>
      </c>
      <c r="V111" s="154">
        <f>(U111-$C111)/$C111</f>
        <v>0.44430854520113511</v>
      </c>
      <c r="W111" s="204">
        <v>9.9596458918676181</v>
      </c>
      <c r="X111" s="154">
        <f>(W111-$C111)/$C111</f>
        <v>0.21350075539372415</v>
      </c>
      <c r="Z111" s="310">
        <f>'Revenue Allocation'!$AC109</f>
        <v>12.034249262692844</v>
      </c>
    </row>
    <row r="112" spans="1:26">
      <c r="A112" s="89"/>
      <c r="B112" s="73"/>
      <c r="C112" s="204">
        <f>'Revenue Allocation'!$AG110</f>
        <v>0</v>
      </c>
      <c r="D112" s="204">
        <v>0</v>
      </c>
      <c r="E112" s="206"/>
      <c r="F112" s="204">
        <v>0</v>
      </c>
      <c r="G112" s="206"/>
      <c r="H112" s="204">
        <v>0</v>
      </c>
      <c r="I112" s="206"/>
      <c r="J112" s="204">
        <v>0</v>
      </c>
      <c r="K112" s="206"/>
      <c r="L112" s="204">
        <v>0</v>
      </c>
      <c r="M112" s="206"/>
      <c r="N112" s="206"/>
      <c r="O112" s="204">
        <v>0</v>
      </c>
      <c r="P112" s="206"/>
      <c r="Q112" s="204">
        <v>0</v>
      </c>
      <c r="R112" s="206"/>
      <c r="S112" s="204">
        <v>0</v>
      </c>
      <c r="T112" s="206"/>
      <c r="U112" s="204">
        <v>0</v>
      </c>
      <c r="V112" s="206"/>
      <c r="W112" s="204">
        <v>0</v>
      </c>
      <c r="X112" s="206"/>
      <c r="Z112" s="310">
        <f>'Revenue Allocation'!$AC110</f>
        <v>0</v>
      </c>
    </row>
    <row r="113" spans="1:26">
      <c r="A113" s="190" t="s">
        <v>107</v>
      </c>
      <c r="B113" s="72" t="s">
        <v>21</v>
      </c>
      <c r="C113" s="204">
        <f>'Revenue Allocation'!$AG111</f>
        <v>5.6964170612372165</v>
      </c>
      <c r="D113" s="204">
        <v>8.7728951567877793</v>
      </c>
      <c r="E113" s="154">
        <f>(D113-$C113)/$C113</f>
        <v>0.54007248108381589</v>
      </c>
      <c r="F113" s="204">
        <v>8.5141583881280507</v>
      </c>
      <c r="G113" s="154">
        <f>(F113-$C113)/$C113</f>
        <v>0.49465151455726508</v>
      </c>
      <c r="H113" s="204">
        <v>8.4380424045608589</v>
      </c>
      <c r="I113" s="154">
        <f>(H113-$C113)/$C113</f>
        <v>0.48128943401629781</v>
      </c>
      <c r="J113" s="204">
        <v>8.6113087242900921</v>
      </c>
      <c r="K113" s="154">
        <f>(J113-$C113)/$C113</f>
        <v>0.51170615348514958</v>
      </c>
      <c r="L113" s="204">
        <v>7.6523284512791765</v>
      </c>
      <c r="M113" s="154">
        <f>(L113-$C113)/$C113</f>
        <v>0.34335817918801603</v>
      </c>
      <c r="N113" s="154"/>
      <c r="O113" s="204">
        <v>9.8843702047560917</v>
      </c>
      <c r="P113" s="154">
        <f>(O113-$C113)/$C113</f>
        <v>0.73519075209870344</v>
      </c>
      <c r="Q113" s="204">
        <v>9.052779839689439</v>
      </c>
      <c r="R113" s="154">
        <f>(Q113-$C113)/$C113</f>
        <v>0.58920594162451423</v>
      </c>
      <c r="S113" s="204">
        <v>8.8081400117672874</v>
      </c>
      <c r="T113" s="154">
        <f>(S113-$C113)/$C113</f>
        <v>0.54625967815885823</v>
      </c>
      <c r="U113" s="204">
        <v>9.3650249215687307</v>
      </c>
      <c r="V113" s="154">
        <f>(U113-$C113)/$C113</f>
        <v>0.64402023603495107</v>
      </c>
      <c r="W113" s="204">
        <v>6.2828238124807259</v>
      </c>
      <c r="X113" s="154">
        <f>(W113-$C113)/$C113</f>
        <v>0.10294308596782176</v>
      </c>
      <c r="Z113" s="310">
        <f>'Revenue Allocation'!$AC111</f>
        <v>9.5232994577791068</v>
      </c>
    </row>
    <row r="114" spans="1:26">
      <c r="A114" s="190"/>
      <c r="B114" s="72" t="s">
        <v>27</v>
      </c>
      <c r="C114" s="204">
        <f>'Revenue Allocation'!$AG112</f>
        <v>7.7874538251002727</v>
      </c>
      <c r="D114" s="204">
        <v>10.863931920650831</v>
      </c>
      <c r="E114" s="154">
        <f>(D114-$C114)/$C114</f>
        <v>0.39505570943285112</v>
      </c>
      <c r="F114" s="204">
        <v>10.693616359971845</v>
      </c>
      <c r="G114" s="154">
        <f>(F114-$C114)/$C114</f>
        <v>0.37318520278149475</v>
      </c>
      <c r="H114" s="204">
        <v>10.624553399732143</v>
      </c>
      <c r="I114" s="154">
        <f>(H114-$C114)/$C114</f>
        <v>0.36431671228501178</v>
      </c>
      <c r="J114" s="204">
        <v>10.816654965135607</v>
      </c>
      <c r="K114" s="154">
        <f>(J114-$C114)/$C114</f>
        <v>0.38898479632350558</v>
      </c>
      <c r="L114" s="204">
        <v>10.076141640445357</v>
      </c>
      <c r="M114" s="154">
        <f>(L114-$C114)/$C114</f>
        <v>0.29389423895757283</v>
      </c>
      <c r="N114" s="154"/>
      <c r="O114" s="204">
        <v>11.094324549380467</v>
      </c>
      <c r="P114" s="154">
        <f>(O114-$C114)/$C114</f>
        <v>0.42464081310140084</v>
      </c>
      <c r="Q114" s="204">
        <v>10.546923497665885</v>
      </c>
      <c r="R114" s="154">
        <f>(Q114-$C114)/$C114</f>
        <v>0.35434812642758506</v>
      </c>
      <c r="S114" s="204">
        <v>10.324952369960235</v>
      </c>
      <c r="T114" s="154">
        <f>(S114-$C114)/$C114</f>
        <v>0.32584444182271455</v>
      </c>
      <c r="U114" s="204">
        <v>10.942374515762136</v>
      </c>
      <c r="V114" s="154">
        <f>(U114-$C114)/$C114</f>
        <v>0.40512865456653158</v>
      </c>
      <c r="W114" s="204">
        <v>8.5623349519777534</v>
      </c>
      <c r="X114" s="154">
        <f>(W114-$C114)/$C114</f>
        <v>9.950378445646875E-2</v>
      </c>
      <c r="Z114" s="310">
        <f>'Revenue Allocation'!$AC112</f>
        <v>11.614336221642153</v>
      </c>
    </row>
    <row r="115" spans="1:26">
      <c r="A115" s="190"/>
      <c r="B115" s="72" t="s">
        <v>28</v>
      </c>
      <c r="C115" s="205">
        <f>'Revenue Allocation'!$AG113</f>
        <v>9.1416309194648804</v>
      </c>
      <c r="D115" s="205">
        <v>12.218109297460877</v>
      </c>
      <c r="E115" s="198">
        <f>(D115-$C115)/$C115</f>
        <v>0.33653495805057981</v>
      </c>
      <c r="F115" s="205">
        <v>12.273150443847861</v>
      </c>
      <c r="G115" s="198">
        <f>(F115-$C115)/$C115</f>
        <v>0.34255589095324018</v>
      </c>
      <c r="H115" s="205">
        <v>12.211603348109517</v>
      </c>
      <c r="I115" s="198">
        <f>(H115-$C115)/$C115</f>
        <v>0.33582327439055498</v>
      </c>
      <c r="J115" s="205">
        <v>12.242275765059695</v>
      </c>
      <c r="K115" s="198">
        <f>(J115-$C115)/$C115</f>
        <v>0.3391785199939264</v>
      </c>
      <c r="L115" s="205">
        <v>11.656546570097467</v>
      </c>
      <c r="M115" s="198">
        <f>(L115-$C115)/$C115</f>
        <v>0.27510579597757384</v>
      </c>
      <c r="N115" s="198"/>
      <c r="O115" s="205">
        <v>12.111573796280734</v>
      </c>
      <c r="P115" s="198">
        <f>(O115-$C115)/$C115</f>
        <v>0.32488107461132371</v>
      </c>
      <c r="Q115" s="205">
        <v>12.288478251162582</v>
      </c>
      <c r="R115" s="198">
        <f>(Q115-$C115)/$C115</f>
        <v>0.34423259475475598</v>
      </c>
      <c r="S115" s="205">
        <v>12.090663413793431</v>
      </c>
      <c r="T115" s="198">
        <f>(S115-$C115)/$C115</f>
        <v>0.32259369474754257</v>
      </c>
      <c r="U115" s="205">
        <v>12.18924579364305</v>
      </c>
      <c r="V115" s="198">
        <f>(U115-$C115)/$C115</f>
        <v>0.33337758885988433</v>
      </c>
      <c r="W115" s="205">
        <v>10.306688638771055</v>
      </c>
      <c r="X115" s="198">
        <f>(W115-$C115)/$C115</f>
        <v>0.12744528077867021</v>
      </c>
      <c r="Z115" s="310">
        <f>'Revenue Allocation'!$AC113</f>
        <v>12.968513598452203</v>
      </c>
    </row>
    <row r="116" spans="1:26">
      <c r="A116" s="190" t="s">
        <v>107</v>
      </c>
      <c r="B116" s="72"/>
      <c r="C116" s="204">
        <f>'Revenue Allocation'!$AG114</f>
        <v>7.1975493882516686</v>
      </c>
      <c r="D116" s="204">
        <v>10.274027543159752</v>
      </c>
      <c r="E116" s="154">
        <f>(D116-$C116)/$C116</f>
        <v>0.42743411527397385</v>
      </c>
      <c r="F116" s="204">
        <v>10.114093350435203</v>
      </c>
      <c r="G116" s="154">
        <f>(F116-$C116)/$C116</f>
        <v>0.40521346987130324</v>
      </c>
      <c r="H116" s="204">
        <v>10.043660247193801</v>
      </c>
      <c r="I116" s="154">
        <f>(H116-$C116)/$C116</f>
        <v>0.39542776373132615</v>
      </c>
      <c r="J116" s="204">
        <v>10.193959464514304</v>
      </c>
      <c r="K116" s="154">
        <f>(J116-$C116)/$C116</f>
        <v>0.41630976248021034</v>
      </c>
      <c r="L116" s="204">
        <v>9.3946098461925942</v>
      </c>
      <c r="M116" s="154">
        <f>(L116-$C116)/$C116</f>
        <v>0.30525118195466888</v>
      </c>
      <c r="N116" s="154"/>
      <c r="O116" s="204">
        <v>10.802090283919393</v>
      </c>
      <c r="P116" s="154">
        <f>(O116-$C116)/$C116</f>
        <v>0.50080113400142856</v>
      </c>
      <c r="Q116" s="204">
        <v>10.288055365715101</v>
      </c>
      <c r="R116" s="154">
        <f>(Q116-$C116)/$C116</f>
        <v>0.42938308731968788</v>
      </c>
      <c r="S116" s="204">
        <v>10.061680543378488</v>
      </c>
      <c r="T116" s="154">
        <f>(S116-$C116)/$C116</f>
        <v>0.39793143480221888</v>
      </c>
      <c r="U116" s="204">
        <v>10.544748263703791</v>
      </c>
      <c r="V116" s="154">
        <f>(U116-$C116)/$C116</f>
        <v>0.46504701738006127</v>
      </c>
      <c r="W116" s="204">
        <v>7.9756064893847274</v>
      </c>
      <c r="X116" s="154">
        <f>(W116-$C116)/$C116</f>
        <v>0.10810027957613695</v>
      </c>
      <c r="Z116" s="310">
        <f>'Revenue Allocation'!$AC114</f>
        <v>11.024431844151074</v>
      </c>
    </row>
    <row r="117" spans="1:26">
      <c r="A117" s="94"/>
      <c r="B117" s="73"/>
      <c r="C117" s="204">
        <f>'Revenue Allocation'!$AG115</f>
        <v>0</v>
      </c>
      <c r="D117" s="204">
        <v>0</v>
      </c>
      <c r="E117" s="206"/>
      <c r="F117" s="204">
        <v>0</v>
      </c>
      <c r="G117" s="206"/>
      <c r="H117" s="204">
        <v>0</v>
      </c>
      <c r="I117" s="206"/>
      <c r="J117" s="204">
        <v>0</v>
      </c>
      <c r="K117" s="206"/>
      <c r="L117" s="204">
        <v>0</v>
      </c>
      <c r="M117" s="206"/>
      <c r="N117" s="206"/>
      <c r="O117" s="204">
        <v>0</v>
      </c>
      <c r="P117" s="206"/>
      <c r="Q117" s="204">
        <v>0</v>
      </c>
      <c r="R117" s="206"/>
      <c r="S117" s="204">
        <v>0</v>
      </c>
      <c r="T117" s="206"/>
      <c r="U117" s="204">
        <v>0</v>
      </c>
      <c r="V117" s="206"/>
      <c r="W117" s="204">
        <v>0</v>
      </c>
      <c r="X117" s="206"/>
      <c r="Z117" s="310">
        <f>'Revenue Allocation'!$AC115</f>
        <v>0</v>
      </c>
    </row>
    <row r="118" spans="1:26">
      <c r="A118" s="89" t="s">
        <v>85</v>
      </c>
      <c r="B118" s="77" t="s">
        <v>21</v>
      </c>
      <c r="C118" s="204">
        <f>'Revenue Allocation'!$AG116</f>
        <v>5.9119697670594977</v>
      </c>
      <c r="D118" s="204">
        <v>8.9884564358406944</v>
      </c>
      <c r="E118" s="154">
        <f>(D118-$C118)/$C118</f>
        <v>0.52038267954664852</v>
      </c>
      <c r="F118" s="204">
        <v>8.7297189461584441</v>
      </c>
      <c r="G118" s="154">
        <f>(F118-$C118)/$C118</f>
        <v>0.47661765707919745</v>
      </c>
      <c r="H118" s="204">
        <v>8.6536027504786137</v>
      </c>
      <c r="I118" s="154">
        <f>(H118-$C118)/$C118</f>
        <v>0.46374272728778726</v>
      </c>
      <c r="J118" s="204">
        <v>8.8268695530496135</v>
      </c>
      <c r="K118" s="154">
        <f>(J118-$C118)/$C118</f>
        <v>0.49305052306448649</v>
      </c>
      <c r="L118" s="204">
        <v>7.8678866076455289</v>
      </c>
      <c r="M118" s="154">
        <f>(L118-$C118)/$C118</f>
        <v>0.33084012903517729</v>
      </c>
      <c r="N118" s="154"/>
      <c r="O118" s="204">
        <v>10.766236887158771</v>
      </c>
      <c r="P118" s="154">
        <f>(O118-$C118)/$C118</f>
        <v>0.82109133019360714</v>
      </c>
      <c r="Q118" s="204">
        <v>9.9346442046967844</v>
      </c>
      <c r="R118" s="154">
        <f>(Q118-$C118)/$C118</f>
        <v>0.68042879042632332</v>
      </c>
      <c r="S118" s="204">
        <v>9.6900036950360988</v>
      </c>
      <c r="T118" s="154">
        <f>(S118-$C118)/$C118</f>
        <v>0.63904824903320234</v>
      </c>
      <c r="U118" s="204">
        <v>10.246890156710368</v>
      </c>
      <c r="V118" s="154">
        <f>(U118-$C118)/$C118</f>
        <v>0.73324468162951684</v>
      </c>
      <c r="W118" s="204">
        <v>7.1646804584433923</v>
      </c>
      <c r="X118" s="154">
        <f>(W118-$C118)/$C118</f>
        <v>0.21189396102188954</v>
      </c>
      <c r="Z118" s="310">
        <f>'Revenue Allocation'!$AC116</f>
        <v>9.7388628279859102</v>
      </c>
    </row>
    <row r="119" spans="1:26">
      <c r="A119" s="94"/>
      <c r="B119" s="77" t="s">
        <v>27</v>
      </c>
      <c r="C119" s="204">
        <f>'Revenue Allocation'!$AG117</f>
        <v>0</v>
      </c>
      <c r="D119" s="204">
        <v>0</v>
      </c>
      <c r="E119" s="206"/>
      <c r="F119" s="204">
        <v>0</v>
      </c>
      <c r="G119" s="206"/>
      <c r="H119" s="204">
        <v>0</v>
      </c>
      <c r="I119" s="206"/>
      <c r="J119" s="204">
        <v>0</v>
      </c>
      <c r="K119" s="206"/>
      <c r="L119" s="204">
        <v>0</v>
      </c>
      <c r="M119" s="206"/>
      <c r="N119" s="206"/>
      <c r="O119" s="204">
        <v>0</v>
      </c>
      <c r="P119" s="206"/>
      <c r="Q119" s="204">
        <v>0</v>
      </c>
      <c r="R119" s="206"/>
      <c r="S119" s="204">
        <v>0</v>
      </c>
      <c r="T119" s="206"/>
      <c r="U119" s="204">
        <v>0</v>
      </c>
      <c r="V119" s="206"/>
      <c r="W119" s="204">
        <v>0</v>
      </c>
      <c r="X119" s="206"/>
      <c r="Z119" s="310">
        <f>'Revenue Allocation'!$AC117</f>
        <v>0</v>
      </c>
    </row>
    <row r="120" spans="1:26">
      <c r="A120" s="94"/>
      <c r="B120" s="77" t="s">
        <v>28</v>
      </c>
      <c r="C120" s="205">
        <f>'Revenue Allocation'!$AG118</f>
        <v>7.2478276429581783</v>
      </c>
      <c r="D120" s="205">
        <v>10.324305738508732</v>
      </c>
      <c r="E120" s="198">
        <f>(D120-$C120)/$C120</f>
        <v>0.42446899224205326</v>
      </c>
      <c r="F120" s="205">
        <v>10.379346884895719</v>
      </c>
      <c r="G120" s="198">
        <f>(F120-$C120)/$C120</f>
        <v>0.43206314998122958</v>
      </c>
      <c r="H120" s="205">
        <v>10.317799789157373</v>
      </c>
      <c r="I120" s="198">
        <f>(H120-$C120)/$C120</f>
        <v>0.42357135095257248</v>
      </c>
      <c r="J120" s="205">
        <v>10.348472206107552</v>
      </c>
      <c r="K120" s="198">
        <f>(J120-$C120)/$C120</f>
        <v>0.42780329719373056</v>
      </c>
      <c r="L120" s="205">
        <v>9.7627430111453233</v>
      </c>
      <c r="M120" s="198">
        <f>(L120-$C120)/$C120</f>
        <v>0.34698884853181888</v>
      </c>
      <c r="N120" s="198"/>
      <c r="O120" s="205">
        <v>12.647237052276767</v>
      </c>
      <c r="P120" s="198">
        <f>(O120-$C120)/$C120</f>
        <v>0.74496934465108722</v>
      </c>
      <c r="Q120" s="205">
        <v>12.824141507158618</v>
      </c>
      <c r="R120" s="198">
        <f>(Q120-$C120)/$C120</f>
        <v>0.76937727259812216</v>
      </c>
      <c r="S120" s="205">
        <v>12.626326669789471</v>
      </c>
      <c r="T120" s="198">
        <f>(S120-$C120)/$C120</f>
        <v>0.74208428949837368</v>
      </c>
      <c r="U120" s="205">
        <v>12.724909049639082</v>
      </c>
      <c r="V120" s="198">
        <f>(U120-$C120)/$C120</f>
        <v>0.7556859346679291</v>
      </c>
      <c r="W120" s="205">
        <v>10.842351894767088</v>
      </c>
      <c r="X120" s="198">
        <f>(W120-$C120)/$C120</f>
        <v>0.49594505124597799</v>
      </c>
      <c r="Z120" s="310">
        <f>'Revenue Allocation'!$AC118</f>
        <v>11.07471003950006</v>
      </c>
    </row>
    <row r="121" spans="1:26">
      <c r="A121" s="105" t="s">
        <v>108</v>
      </c>
      <c r="B121" s="72"/>
      <c r="C121" s="204">
        <f>'Revenue Allocation'!$AG119</f>
        <v>6.0103540252809546</v>
      </c>
      <c r="D121" s="204">
        <v>9.0868321208315113</v>
      </c>
      <c r="E121" s="154">
        <f>(D121-$C121)/$C121</f>
        <v>0.51186304211202371</v>
      </c>
      <c r="F121" s="204">
        <v>8.8512082870426312</v>
      </c>
      <c r="G121" s="154">
        <f>(F121-$C121)/$C121</f>
        <v>0.47266005460117311</v>
      </c>
      <c r="H121" s="204">
        <v>8.7761654502438411</v>
      </c>
      <c r="I121" s="154">
        <f>(H121-$C121)/$C121</f>
        <v>0.46017446115973148</v>
      </c>
      <c r="J121" s="204">
        <v>8.9389282787142275</v>
      </c>
      <c r="K121" s="154">
        <f>(J121-$C121)/$C121</f>
        <v>0.4872548673697098</v>
      </c>
      <c r="L121" s="204">
        <v>8.0074417439293768</v>
      </c>
      <c r="M121" s="154">
        <f>(L121-$C121)/$C121</f>
        <v>0.3322745565815598</v>
      </c>
      <c r="N121" s="154"/>
      <c r="O121" s="204">
        <v>10.904763888675365</v>
      </c>
      <c r="P121" s="154">
        <f>(O121-$C121)/$C121</f>
        <v>0.8143297121612767</v>
      </c>
      <c r="Q121" s="204">
        <v>10.147459424474588</v>
      </c>
      <c r="R121" s="154">
        <f>(Q121-$C121)/$C121</f>
        <v>0.688329735950994</v>
      </c>
      <c r="S121" s="204">
        <v>9.9062687333625234</v>
      </c>
      <c r="T121" s="154">
        <f>(S121-$C121)/$C121</f>
        <v>0.64820053722200732</v>
      </c>
      <c r="U121" s="204">
        <v>10.429395000448952</v>
      </c>
      <c r="V121" s="154">
        <f>(U121-$C121)/$C121</f>
        <v>0.73523805030127642</v>
      </c>
      <c r="W121" s="204">
        <v>7.435559870138893</v>
      </c>
      <c r="X121" s="154">
        <f>(W121-$C121)/$C121</f>
        <v>0.23712510758321212</v>
      </c>
      <c r="Z121" s="310">
        <f>'Revenue Allocation'!$AC119</f>
        <v>9.8372364218228334</v>
      </c>
    </row>
    <row r="122" spans="1:26">
      <c r="A122" s="94"/>
      <c r="B122" s="73"/>
      <c r="C122" s="204">
        <f>'Revenue Allocation'!$AG120</f>
        <v>0</v>
      </c>
      <c r="D122" s="204">
        <v>0</v>
      </c>
      <c r="E122" s="206"/>
      <c r="F122" s="204">
        <v>0</v>
      </c>
      <c r="G122" s="206"/>
      <c r="H122" s="204">
        <v>0</v>
      </c>
      <c r="I122" s="206"/>
      <c r="J122" s="204">
        <v>0</v>
      </c>
      <c r="K122" s="206"/>
      <c r="L122" s="204">
        <v>0</v>
      </c>
      <c r="M122" s="206"/>
      <c r="N122" s="206"/>
      <c r="O122" s="204">
        <v>0</v>
      </c>
      <c r="P122" s="206"/>
      <c r="Q122" s="204">
        <v>0</v>
      </c>
      <c r="R122" s="206"/>
      <c r="S122" s="204">
        <v>0</v>
      </c>
      <c r="T122" s="206"/>
      <c r="U122" s="204">
        <v>0</v>
      </c>
      <c r="V122" s="206"/>
      <c r="W122" s="204">
        <v>0</v>
      </c>
      <c r="X122" s="206"/>
      <c r="Z122" s="310">
        <f>'Revenue Allocation'!$AC120</f>
        <v>0</v>
      </c>
    </row>
    <row r="123" spans="1:26">
      <c r="A123" s="190" t="s">
        <v>109</v>
      </c>
      <c r="B123" s="72" t="s">
        <v>21</v>
      </c>
      <c r="C123" s="204">
        <f>'Revenue Allocation'!$AG121</f>
        <v>5.7068627599934176</v>
      </c>
      <c r="D123" s="204">
        <v>8.7833408555439814</v>
      </c>
      <c r="E123" s="154">
        <f>(D123-$C123)/$C123</f>
        <v>0.53908394593216258</v>
      </c>
      <c r="F123" s="204">
        <v>8.5246040868842528</v>
      </c>
      <c r="G123" s="154">
        <f>(F123-$C123)/$C123</f>
        <v>0.49374611680587971</v>
      </c>
      <c r="H123" s="204">
        <v>8.4484881033170609</v>
      </c>
      <c r="I123" s="154">
        <f>(H123-$C123)/$C123</f>
        <v>0.48040849388268897</v>
      </c>
      <c r="J123" s="204">
        <v>8.6217544230462941</v>
      </c>
      <c r="K123" s="154">
        <f>(J123-$C123)/$C123</f>
        <v>0.51076953934953895</v>
      </c>
      <c r="L123" s="204">
        <v>7.6627741500353785</v>
      </c>
      <c r="M123" s="154">
        <f>(L123-$C123)/$C123</f>
        <v>0.34272970497090016</v>
      </c>
      <c r="N123" s="154"/>
      <c r="O123" s="204">
        <v>9.92710733656976</v>
      </c>
      <c r="P123" s="154">
        <f>(O123-$C123)/$C123</f>
        <v>0.73950342842679639</v>
      </c>
      <c r="Q123" s="204">
        <v>9.0955169715031072</v>
      </c>
      <c r="R123" s="154">
        <f>(Q123-$C123)/$C123</f>
        <v>0.59378582489577836</v>
      </c>
      <c r="S123" s="204">
        <v>8.8508771435809557</v>
      </c>
      <c r="T123" s="154">
        <f>(S123-$C123)/$C123</f>
        <v>0.55091816919584802</v>
      </c>
      <c r="U123" s="204">
        <v>9.4077620533823971</v>
      </c>
      <c r="V123" s="154">
        <f>(U123-$C123)/$C123</f>
        <v>0.64849978859369806</v>
      </c>
      <c r="W123" s="204">
        <v>6.3255609442943923</v>
      </c>
      <c r="X123" s="154">
        <f>(W123-$C123)/$C123</f>
        <v>0.108413012599183</v>
      </c>
      <c r="Z123" s="310">
        <f>'Revenue Allocation'!$AC121</f>
        <v>9.5337451565353089</v>
      </c>
    </row>
    <row r="124" spans="1:26">
      <c r="A124" s="190"/>
      <c r="B124" s="72" t="s">
        <v>27</v>
      </c>
      <c r="C124" s="204">
        <f>'Revenue Allocation'!$AG122</f>
        <v>7.7874538251002727</v>
      </c>
      <c r="D124" s="204">
        <v>10.863931920650831</v>
      </c>
      <c r="E124" s="154">
        <f>(D124-$C124)/$C124</f>
        <v>0.39505570943285112</v>
      </c>
      <c r="F124" s="204">
        <v>10.693616359971845</v>
      </c>
      <c r="G124" s="154">
        <f>(F124-$C124)/$C124</f>
        <v>0.37318520278149475</v>
      </c>
      <c r="H124" s="204">
        <v>10.624553399732143</v>
      </c>
      <c r="I124" s="154">
        <f>(H124-$C124)/$C124</f>
        <v>0.36431671228501178</v>
      </c>
      <c r="J124" s="204">
        <v>10.816654965135607</v>
      </c>
      <c r="K124" s="154">
        <f>(J124-$C124)/$C124</f>
        <v>0.38898479632350558</v>
      </c>
      <c r="L124" s="204">
        <v>10.076141640445357</v>
      </c>
      <c r="M124" s="154">
        <f>(L124-$C124)/$C124</f>
        <v>0.29389423895757283</v>
      </c>
      <c r="N124" s="154"/>
      <c r="O124" s="204">
        <v>11.094324549380467</v>
      </c>
      <c r="P124" s="154">
        <f>(O124-$C124)/$C124</f>
        <v>0.42464081310140084</v>
      </c>
      <c r="Q124" s="204">
        <v>10.546923497665885</v>
      </c>
      <c r="R124" s="154">
        <f>(Q124-$C124)/$C124</f>
        <v>0.35434812642758506</v>
      </c>
      <c r="S124" s="204">
        <v>10.324952369960235</v>
      </c>
      <c r="T124" s="154">
        <f>(S124-$C124)/$C124</f>
        <v>0.32584444182271455</v>
      </c>
      <c r="U124" s="204">
        <v>10.942374515762136</v>
      </c>
      <c r="V124" s="154">
        <f>(U124-$C124)/$C124</f>
        <v>0.40512865456653158</v>
      </c>
      <c r="W124" s="204">
        <v>8.5623349519777534</v>
      </c>
      <c r="X124" s="154">
        <f>(W124-$C124)/$C124</f>
        <v>9.950378445646875E-2</v>
      </c>
      <c r="Z124" s="310">
        <f>'Revenue Allocation'!$AC122</f>
        <v>11.614336221642153</v>
      </c>
    </row>
    <row r="125" spans="1:26">
      <c r="A125" s="190"/>
      <c r="B125" s="72" t="s">
        <v>28</v>
      </c>
      <c r="C125" s="205">
        <f>'Revenue Allocation'!$AG123</f>
        <v>9.1264898633310754</v>
      </c>
      <c r="D125" s="205">
        <v>12.202968239068907</v>
      </c>
      <c r="E125" s="198">
        <f>(D125-$C125)/$C125</f>
        <v>0.33709327702194464</v>
      </c>
      <c r="F125" s="205">
        <v>12.258009385455889</v>
      </c>
      <c r="G125" s="198">
        <f>(F125-$C125)/$C125</f>
        <v>0.34312419879046913</v>
      </c>
      <c r="H125" s="205">
        <v>12.196462289717546</v>
      </c>
      <c r="I125" s="198">
        <f>(H125-$C125)/$C125</f>
        <v>0.33638041266239488</v>
      </c>
      <c r="J125" s="205">
        <v>12.227134706667725</v>
      </c>
      <c r="K125" s="198">
        <f>(J125-$C125)/$C125</f>
        <v>0.33974122469522428</v>
      </c>
      <c r="L125" s="205">
        <v>11.641405511705496</v>
      </c>
      <c r="M125" s="198">
        <f>(L125-$C125)/$C125</f>
        <v>0.27556220255927644</v>
      </c>
      <c r="N125" s="198"/>
      <c r="O125" s="205">
        <v>12.115856451997125</v>
      </c>
      <c r="P125" s="198">
        <f>(O125-$C125)/$C125</f>
        <v>0.32754833823646645</v>
      </c>
      <c r="Q125" s="205">
        <v>12.292760906878975</v>
      </c>
      <c r="R125" s="198">
        <f>(Q125-$C125)/$C125</f>
        <v>0.34693196299592921</v>
      </c>
      <c r="S125" s="205">
        <v>12.094946069509822</v>
      </c>
      <c r="T125" s="198">
        <f>(S125-$C125)/$C125</f>
        <v>0.32525716355699658</v>
      </c>
      <c r="U125" s="205">
        <v>12.193528449359441</v>
      </c>
      <c r="V125" s="198">
        <f>(U125-$C125)/$C125</f>
        <v>0.33605894839715822</v>
      </c>
      <c r="W125" s="205">
        <v>10.310971294487448</v>
      </c>
      <c r="X125" s="198">
        <f>(W125-$C125)/$C125</f>
        <v>0.12978499389074533</v>
      </c>
      <c r="Z125" s="310">
        <f>'Revenue Allocation'!$AC123</f>
        <v>12.953372540060231</v>
      </c>
    </row>
    <row r="126" spans="1:26">
      <c r="A126" s="190" t="s">
        <v>109</v>
      </c>
      <c r="B126" s="72"/>
      <c r="C126" s="204">
        <f>'Revenue Allocation'!$AG124</f>
        <v>7.170864521161235</v>
      </c>
      <c r="D126" s="204">
        <v>10.247342674735126</v>
      </c>
      <c r="E126" s="154">
        <f>(D126-$C126)/$C126</f>
        <v>0.42902472142587528</v>
      </c>
      <c r="F126" s="204">
        <v>10.085707188293535</v>
      </c>
      <c r="G126" s="154">
        <f>(F126-$C126)/$C126</f>
        <v>0.40648413570366493</v>
      </c>
      <c r="H126" s="204">
        <v>10.015170470995729</v>
      </c>
      <c r="I126" s="154">
        <f>(H126-$C126)/$C126</f>
        <v>0.39664756480072128</v>
      </c>
      <c r="J126" s="204">
        <v>10.165749835811225</v>
      </c>
      <c r="K126" s="154">
        <f>(J126-$C126)/$C126</f>
        <v>0.41764633898912429</v>
      </c>
      <c r="L126" s="204">
        <v>9.3634301451968334</v>
      </c>
      <c r="M126" s="154">
        <f>(L126-$C126)/$C126</f>
        <v>0.30576029118460307</v>
      </c>
      <c r="N126" s="154"/>
      <c r="O126" s="204">
        <v>10.804398102482427</v>
      </c>
      <c r="P126" s="154">
        <f>(O126-$C126)/$C126</f>
        <v>0.50670788307304193</v>
      </c>
      <c r="Q126" s="204">
        <v>10.284895157949407</v>
      </c>
      <c r="R126" s="154">
        <f>(Q126-$C126)/$C126</f>
        <v>0.43426153535583634</v>
      </c>
      <c r="S126" s="204">
        <v>10.058187315874481</v>
      </c>
      <c r="T126" s="154">
        <f>(S126-$C126)/$C126</f>
        <v>0.40264640144751729</v>
      </c>
      <c r="U126" s="204">
        <v>10.542155441499112</v>
      </c>
      <c r="V126" s="154">
        <f>(U126-$C126)/$C126</f>
        <v>0.47013730497755063</v>
      </c>
      <c r="W126" s="204">
        <v>7.9634677355564172</v>
      </c>
      <c r="X126" s="154">
        <f>(W126-$C126)/$C126</f>
        <v>0.11053105410877707</v>
      </c>
      <c r="Z126" s="310">
        <f>'Revenue Allocation'!$AC124</f>
        <v>10.99774697572645</v>
      </c>
    </row>
    <row r="127" spans="1:26">
      <c r="A127" s="94"/>
      <c r="B127" s="73"/>
      <c r="C127" s="204">
        <f>'Revenue Allocation'!$AG125</f>
        <v>0</v>
      </c>
      <c r="D127" s="204">
        <v>0</v>
      </c>
      <c r="E127" s="206"/>
      <c r="F127" s="204">
        <v>0</v>
      </c>
      <c r="G127" s="206"/>
      <c r="H127" s="204">
        <v>0</v>
      </c>
      <c r="I127" s="206"/>
      <c r="J127" s="204">
        <v>0</v>
      </c>
      <c r="K127" s="206"/>
      <c r="L127" s="204">
        <v>0</v>
      </c>
      <c r="M127" s="206"/>
      <c r="N127" s="206"/>
      <c r="O127" s="204">
        <v>0</v>
      </c>
      <c r="P127" s="206"/>
      <c r="Q127" s="204">
        <v>0</v>
      </c>
      <c r="R127" s="206"/>
      <c r="S127" s="204">
        <v>0</v>
      </c>
      <c r="T127" s="206"/>
      <c r="U127" s="204">
        <v>0</v>
      </c>
      <c r="V127" s="206"/>
      <c r="W127" s="204">
        <v>0</v>
      </c>
      <c r="X127" s="206"/>
      <c r="Z127" s="310">
        <f>'Revenue Allocation'!$AC125</f>
        <v>0</v>
      </c>
    </row>
    <row r="128" spans="1:26" hidden="1">
      <c r="A128" s="94" t="s">
        <v>110</v>
      </c>
      <c r="B128" s="73" t="s">
        <v>21</v>
      </c>
      <c r="C128" s="204">
        <f>'Revenue Allocation'!$AG126</f>
        <v>0.32207216126606303</v>
      </c>
      <c r="D128" s="204">
        <v>0.33915439081453042</v>
      </c>
      <c r="E128" s="154">
        <f>(D128-$C128)/$C128</f>
        <v>5.3038516217351048E-2</v>
      </c>
      <c r="F128" s="204">
        <v>0.33915439081453042</v>
      </c>
      <c r="G128" s="154">
        <f>(F128-$C128)/$C128</f>
        <v>5.3038516217351048E-2</v>
      </c>
      <c r="H128" s="204">
        <v>0.33915439081453042</v>
      </c>
      <c r="I128" s="154">
        <f>(H128-$C128)/$C128</f>
        <v>5.3038516217351048E-2</v>
      </c>
      <c r="J128" s="204">
        <v>0.33915439081453042</v>
      </c>
      <c r="K128" s="154">
        <f>(J128-$C128)/$C128</f>
        <v>5.3038516217351048E-2</v>
      </c>
      <c r="L128" s="204">
        <v>0.33915439081453042</v>
      </c>
      <c r="M128" s="154">
        <f>(L128-$C128)/$C128</f>
        <v>5.3038516217351048E-2</v>
      </c>
      <c r="N128" s="154"/>
      <c r="O128" s="204">
        <v>0.33915439081453042</v>
      </c>
      <c r="P128" s="154">
        <f>(O128-$C128)/$C128</f>
        <v>5.3038516217351048E-2</v>
      </c>
      <c r="Q128" s="204">
        <v>0.33915439081453042</v>
      </c>
      <c r="R128" s="154">
        <f>(Q128-$C128)/$C128</f>
        <v>5.3038516217351048E-2</v>
      </c>
      <c r="S128" s="204">
        <v>0.33915439081453042</v>
      </c>
      <c r="T128" s="154">
        <f>(S128-$C128)/$C128</f>
        <v>5.3038516217351048E-2</v>
      </c>
      <c r="U128" s="204">
        <v>0.33915439081453042</v>
      </c>
      <c r="V128" s="154">
        <f>(U128-$C128)/$C128</f>
        <v>5.3038516217351048E-2</v>
      </c>
      <c r="W128" s="204">
        <v>0.33915439081453042</v>
      </c>
      <c r="X128" s="154">
        <f>(W128-$C128)/$C128</f>
        <v>5.3038516217351048E-2</v>
      </c>
      <c r="Z128" s="310">
        <f>'Revenue Allocation'!$AC126</f>
        <v>0.33915439081453042</v>
      </c>
    </row>
    <row r="129" spans="1:26" hidden="1">
      <c r="A129" s="94"/>
      <c r="B129" s="73" t="s">
        <v>28</v>
      </c>
      <c r="C129" s="205">
        <f>'Revenue Allocation'!$AG127</f>
        <v>1.8810121872034946</v>
      </c>
      <c r="D129" s="205">
        <v>1.9347520891801326</v>
      </c>
      <c r="E129" s="198">
        <f>(D129-$C129)/$C129</f>
        <v>2.8569672404160907E-2</v>
      </c>
      <c r="F129" s="205">
        <v>1.9347520891801326</v>
      </c>
      <c r="G129" s="198">
        <f>(F129-$C129)/$C129</f>
        <v>2.8569672404160907E-2</v>
      </c>
      <c r="H129" s="205">
        <v>1.9347520891801326</v>
      </c>
      <c r="I129" s="198">
        <f>(H129-$C129)/$C129</f>
        <v>2.8569672404160907E-2</v>
      </c>
      <c r="J129" s="205">
        <v>1.9347520891801326</v>
      </c>
      <c r="K129" s="198">
        <f>(J129-$C129)/$C129</f>
        <v>2.8569672404160907E-2</v>
      </c>
      <c r="L129" s="205">
        <v>1.9347520891801326</v>
      </c>
      <c r="M129" s="198">
        <f>(L129-$C129)/$C129</f>
        <v>2.8569672404160907E-2</v>
      </c>
      <c r="N129" s="198"/>
      <c r="O129" s="205">
        <v>1.9347520891801326</v>
      </c>
      <c r="P129" s="198">
        <f>(O129-$C129)/$C129</f>
        <v>2.8569672404160907E-2</v>
      </c>
      <c r="Q129" s="205">
        <v>1.9347520891801326</v>
      </c>
      <c r="R129" s="198">
        <f>(Q129-$C129)/$C129</f>
        <v>2.8569672404160907E-2</v>
      </c>
      <c r="S129" s="205">
        <v>1.9347520891801326</v>
      </c>
      <c r="T129" s="198">
        <f>(S129-$C129)/$C129</f>
        <v>2.8569672404160907E-2</v>
      </c>
      <c r="U129" s="205">
        <v>1.9347520891801326</v>
      </c>
      <c r="V129" s="198">
        <f>(U129-$C129)/$C129</f>
        <v>2.8569672404160907E-2</v>
      </c>
      <c r="W129" s="205">
        <v>1.9347520891801326</v>
      </c>
      <c r="X129" s="198">
        <f>(W129-$C129)/$C129</f>
        <v>2.8569672404160907E-2</v>
      </c>
      <c r="Z129" s="310">
        <f>'Revenue Allocation'!$AC127</f>
        <v>1.9347520891801326</v>
      </c>
    </row>
    <row r="130" spans="1:26" hidden="1">
      <c r="A130" s="190" t="s">
        <v>89</v>
      </c>
      <c r="B130" s="72"/>
      <c r="C130" s="204">
        <f>'Revenue Allocation'!$AG128</f>
        <v>0.67838306707696194</v>
      </c>
      <c r="D130" s="204">
        <v>0.70384344682081434</v>
      </c>
      <c r="E130" s="154">
        <f>(D130-$C130)/$C130</f>
        <v>3.7530977672477699E-2</v>
      </c>
      <c r="F130" s="204">
        <v>0.70384344682081434</v>
      </c>
      <c r="G130" s="154">
        <f>(F130-$C130)/$C130</f>
        <v>3.7530977672477699E-2</v>
      </c>
      <c r="H130" s="204">
        <v>0.70384344682081434</v>
      </c>
      <c r="I130" s="154">
        <f>(H130-$C130)/$C130</f>
        <v>3.7530977672477699E-2</v>
      </c>
      <c r="J130" s="204">
        <v>0.70384344682081434</v>
      </c>
      <c r="K130" s="154">
        <f>(J130-$C130)/$C130</f>
        <v>3.7530977672477699E-2</v>
      </c>
      <c r="L130" s="204">
        <v>0.70384344682081434</v>
      </c>
      <c r="M130" s="154">
        <f>(L130-$C130)/$C130</f>
        <v>3.7530977672477699E-2</v>
      </c>
      <c r="N130" s="154"/>
      <c r="O130" s="204">
        <v>0.70384344682081434</v>
      </c>
      <c r="P130" s="154">
        <f>(O130-$C130)/$C130</f>
        <v>3.7530977672477699E-2</v>
      </c>
      <c r="Q130" s="204">
        <v>0.70384344682081434</v>
      </c>
      <c r="R130" s="154">
        <f>(Q130-$C130)/$C130</f>
        <v>3.7530977672477699E-2</v>
      </c>
      <c r="S130" s="204">
        <v>0.70384344682081434</v>
      </c>
      <c r="T130" s="154">
        <f>(S130-$C130)/$C130</f>
        <v>3.7530977672477699E-2</v>
      </c>
      <c r="U130" s="204">
        <v>0.70384344682081434</v>
      </c>
      <c r="V130" s="154">
        <f>(U130-$C130)/$C130</f>
        <v>3.7530977672477699E-2</v>
      </c>
      <c r="W130" s="204">
        <v>0.70384344682081434</v>
      </c>
      <c r="X130" s="154">
        <f>(W130-$C130)/$C130</f>
        <v>3.7530977672477699E-2</v>
      </c>
      <c r="Z130" s="310">
        <f>'Revenue Allocation'!$AC128</f>
        <v>0.70384344682081434</v>
      </c>
    </row>
    <row r="131" spans="1:26" hidden="1">
      <c r="A131" s="107"/>
      <c r="B131" s="62"/>
      <c r="C131" s="204">
        <f>'Revenue Allocation'!$AG129</f>
        <v>0</v>
      </c>
      <c r="D131" s="204">
        <v>0</v>
      </c>
      <c r="E131" s="206"/>
      <c r="F131" s="204">
        <v>0</v>
      </c>
      <c r="G131" s="206"/>
      <c r="H131" s="204">
        <v>0</v>
      </c>
      <c r="I131" s="206"/>
      <c r="J131" s="204">
        <v>0</v>
      </c>
      <c r="K131" s="206"/>
      <c r="L131" s="204">
        <v>0</v>
      </c>
      <c r="M131" s="206"/>
      <c r="N131" s="206"/>
      <c r="O131" s="204">
        <v>0</v>
      </c>
      <c r="P131" s="206"/>
      <c r="Q131" s="204">
        <v>0</v>
      </c>
      <c r="R131" s="206"/>
      <c r="S131" s="204">
        <v>0</v>
      </c>
      <c r="T131" s="206"/>
      <c r="U131" s="204">
        <v>0</v>
      </c>
      <c r="V131" s="206"/>
      <c r="W131" s="204">
        <v>0</v>
      </c>
      <c r="X131" s="206"/>
      <c r="Z131" s="310">
        <f>'Revenue Allocation'!$AC129</f>
        <v>0</v>
      </c>
    </row>
    <row r="132" spans="1:26" hidden="1">
      <c r="A132" s="191" t="s">
        <v>122</v>
      </c>
      <c r="B132" s="64"/>
      <c r="C132" s="204">
        <f>'Revenue Allocation'!$AG130</f>
        <v>10.388324417085</v>
      </c>
      <c r="D132" s="204">
        <v>13.384652363035071</v>
      </c>
      <c r="E132" s="154">
        <f>(D132-$C132)/$C132</f>
        <v>0.28843226545969297</v>
      </c>
      <c r="F132" s="204">
        <v>13.384652363035071</v>
      </c>
      <c r="G132" s="154">
        <f>(F132-$C132)/$C132</f>
        <v>0.28843226545969297</v>
      </c>
      <c r="H132" s="204">
        <v>13.384652363035073</v>
      </c>
      <c r="I132" s="154">
        <f>(H132-$C132)/$C132</f>
        <v>0.28843226545969314</v>
      </c>
      <c r="J132" s="204">
        <v>13.384652363035073</v>
      </c>
      <c r="K132" s="154">
        <f>(J132-$C132)/$C132</f>
        <v>0.28843226545969314</v>
      </c>
      <c r="L132" s="204">
        <v>13.384652363035073</v>
      </c>
      <c r="M132" s="154">
        <f>(L132-$C132)/$C132</f>
        <v>0.28843226545969314</v>
      </c>
      <c r="N132" s="154"/>
      <c r="O132" s="204">
        <v>13.242509915295967</v>
      </c>
      <c r="P132" s="154">
        <f>(O132-$C132)/$C132</f>
        <v>0.2747493612653138</v>
      </c>
      <c r="Q132" s="204">
        <v>13.241692008047279</v>
      </c>
      <c r="R132" s="154">
        <f>(Q132-$C132)/$C132</f>
        <v>0.27467062794742247</v>
      </c>
      <c r="S132" s="204">
        <v>13.241692008047279</v>
      </c>
      <c r="T132" s="154">
        <f>(S132-$C132)/$C132</f>
        <v>0.27467062794742247</v>
      </c>
      <c r="U132" s="204">
        <v>13.241692008047279</v>
      </c>
      <c r="V132" s="154">
        <f>(U132-$C132)/$C132</f>
        <v>0.27467062794742247</v>
      </c>
      <c r="W132" s="204">
        <v>13.241692008047282</v>
      </c>
      <c r="X132" s="154">
        <f>(W132-$C132)/$C132</f>
        <v>0.27467062794742281</v>
      </c>
      <c r="Z132" s="310">
        <f>'Revenue Allocation'!$AC130</f>
        <v>14.120074447664452</v>
      </c>
    </row>
    <row r="133" spans="1:26">
      <c r="A133" s="191" t="s">
        <v>91</v>
      </c>
      <c r="B133" s="64"/>
      <c r="C133" s="204">
        <f>'Revenue Allocation'!$AG131</f>
        <v>10.35297287685759</v>
      </c>
      <c r="D133" s="204">
        <v>13.338484614913988</v>
      </c>
      <c r="E133" s="154">
        <f>(D133-$C133)/$C133</f>
        <v>0.2883724098930105</v>
      </c>
      <c r="F133" s="204">
        <v>13.338484614913988</v>
      </c>
      <c r="G133" s="154">
        <f>(F133-$C133)/$C133</f>
        <v>0.2883724098930105</v>
      </c>
      <c r="H133" s="204">
        <v>13.338484614913993</v>
      </c>
      <c r="I133" s="154">
        <f>(H133-$C133)/$C133</f>
        <v>0.28837240989301099</v>
      </c>
      <c r="J133" s="204">
        <v>13.338484614913989</v>
      </c>
      <c r="K133" s="154">
        <f>(J133-$C133)/$C133</f>
        <v>0.28837240989301066</v>
      </c>
      <c r="L133" s="204">
        <v>13.338484614913993</v>
      </c>
      <c r="M133" s="154">
        <f>(L133-$C133)/$C133</f>
        <v>0.28837240989301099</v>
      </c>
      <c r="N133" s="154"/>
      <c r="O133" s="204">
        <v>13.196859673334615</v>
      </c>
      <c r="P133" s="154">
        <f>(O133-$C133)/$C133</f>
        <v>0.27469276992254821</v>
      </c>
      <c r="Q133" s="204">
        <v>13.196044743887747</v>
      </c>
      <c r="R133" s="154">
        <f>(Q133-$C133)/$C133</f>
        <v>0.27461405538745176</v>
      </c>
      <c r="S133" s="204">
        <v>13.196044743887747</v>
      </c>
      <c r="T133" s="154">
        <f>(S133-$C133)/$C133</f>
        <v>0.27461405538745176</v>
      </c>
      <c r="U133" s="204">
        <v>13.196044743887747</v>
      </c>
      <c r="V133" s="154">
        <f>(U133-$C133)/$C133</f>
        <v>0.27461405538745176</v>
      </c>
      <c r="W133" s="204">
        <v>13.19604474388775</v>
      </c>
      <c r="X133" s="154">
        <f>(W133-$C133)/$C133</f>
        <v>0.27461405538745209</v>
      </c>
      <c r="Z133" s="310">
        <f>'Revenue Allocation'!$AC131</f>
        <v>14.071229206191788</v>
      </c>
    </row>
    <row r="134" spans="1:26">
      <c r="A134" s="11"/>
      <c r="B134" s="53"/>
    </row>
    <row r="135" spans="1:26">
      <c r="A135" s="107"/>
      <c r="B135" s="53"/>
    </row>
    <row r="136" spans="1:26">
      <c r="A136" s="11"/>
      <c r="B136" s="53"/>
    </row>
    <row r="137" spans="1:26">
      <c r="A137" s="11"/>
      <c r="B137" s="53"/>
    </row>
    <row r="138" spans="1:26">
      <c r="A138" s="11"/>
      <c r="B138" s="53"/>
    </row>
    <row r="139" spans="1:26">
      <c r="A139" s="11"/>
      <c r="B139" s="53"/>
    </row>
    <row r="140" spans="1:26">
      <c r="A140" s="11"/>
      <c r="B140" s="53"/>
    </row>
    <row r="141" spans="1:26">
      <c r="A141" s="11"/>
      <c r="B141" s="53"/>
    </row>
    <row r="142" spans="1:26">
      <c r="A142" s="11"/>
      <c r="B142" s="53"/>
    </row>
    <row r="143" spans="1:26">
      <c r="A143" s="11"/>
      <c r="B143" s="53"/>
    </row>
    <row r="144" spans="1:26">
      <c r="A144" s="11"/>
      <c r="B144" s="53"/>
    </row>
    <row r="145" spans="1:2">
      <c r="A145" s="11"/>
      <c r="B145" s="53"/>
    </row>
    <row r="146" spans="1:2">
      <c r="A146" s="11"/>
      <c r="B146" s="53"/>
    </row>
    <row r="147" spans="1:2">
      <c r="A147" s="11"/>
      <c r="B147" s="53"/>
    </row>
    <row r="148" spans="1:2">
      <c r="A148" s="11"/>
      <c r="B148" s="53"/>
    </row>
    <row r="149" spans="1:2">
      <c r="A149" s="11"/>
      <c r="B149" s="53"/>
    </row>
    <row r="150" spans="1:2">
      <c r="A150" s="11"/>
      <c r="B150" s="53"/>
    </row>
    <row r="151" spans="1:2">
      <c r="A151" s="11"/>
      <c r="B151" s="53"/>
    </row>
    <row r="152" spans="1:2">
      <c r="A152" s="11"/>
      <c r="B152" s="53"/>
    </row>
    <row r="153" spans="1:2">
      <c r="A153" s="11"/>
      <c r="B153" s="53"/>
    </row>
    <row r="154" spans="1:2">
      <c r="A154" s="11"/>
      <c r="B154" s="53"/>
    </row>
    <row r="155" spans="1:2">
      <c r="A155" s="11"/>
      <c r="B155" s="53"/>
    </row>
  </sheetData>
  <mergeCells count="14">
    <mergeCell ref="W4:X4"/>
    <mergeCell ref="F4:G4"/>
    <mergeCell ref="J4:K4"/>
    <mergeCell ref="F3:G3"/>
    <mergeCell ref="H3:I3"/>
    <mergeCell ref="H4:I4"/>
    <mergeCell ref="U4:V4"/>
    <mergeCell ref="Q3:R3"/>
    <mergeCell ref="S3:T3"/>
    <mergeCell ref="Q4:R4"/>
    <mergeCell ref="S4:T4"/>
    <mergeCell ref="L4:M4"/>
    <mergeCell ref="C1:M1"/>
    <mergeCell ref="O1:V1"/>
  </mergeCells>
  <phoneticPr fontId="0" type="noConversion"/>
  <printOptions horizontalCentered="1"/>
  <pageMargins left="0.75" right="0.75" top="1.07" bottom="1" header="0.22" footer="0.5"/>
  <pageSetup scale="80" fitToWidth="0" fitToHeight="3" orientation="landscape" horizontalDpi="300" verticalDpi="300" r:id="rId1"/>
  <headerFooter alignWithMargins="0">
    <oddHeader xml:space="preserve">&amp;CPacific Gas and Electric Company
Summary of Total Average 
Rates
(cents per kWh)
</oddHeader>
    <oddFooter>&amp;L&amp;D
&amp;T&amp;CPage &amp;P&amp;R&amp;F
&amp;A</oddFooter>
  </headerFooter>
  <colBreaks count="1" manualBreakCount="1">
    <brk id="14" min="7" max="132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U155"/>
  <sheetViews>
    <sheetView workbookViewId="0"/>
  </sheetViews>
  <sheetFormatPr defaultRowHeight="12.75"/>
  <cols>
    <col min="1" max="1" width="17.83203125" style="117" customWidth="1"/>
    <col min="2" max="2" width="2.6640625" style="117" customWidth="1"/>
    <col min="3" max="3" width="18.1640625" customWidth="1"/>
    <col min="4" max="4" width="19.33203125" customWidth="1"/>
    <col min="5" max="5" width="20.1640625" customWidth="1"/>
    <col min="6" max="6" width="18.6640625" customWidth="1"/>
    <col min="7" max="7" width="14" customWidth="1"/>
    <col min="8" max="8" width="1.83203125" customWidth="1"/>
    <col min="9" max="9" width="1.83203125" style="352" customWidth="1"/>
    <col min="10" max="10" width="12.5" customWidth="1"/>
    <col min="11" max="11" width="19.6640625" customWidth="1"/>
    <col min="12" max="12" width="20" customWidth="1"/>
    <col min="13" max="13" width="19.6640625" bestFit="1" customWidth="1"/>
    <col min="14" max="14" width="14" customWidth="1"/>
    <col min="15" max="15" width="12.33203125" customWidth="1"/>
    <col min="17" max="17" width="9.33203125" style="309"/>
  </cols>
  <sheetData>
    <row r="1" spans="1:73">
      <c r="C1" s="427" t="s">
        <v>224</v>
      </c>
      <c r="D1" s="427"/>
      <c r="E1" s="427"/>
      <c r="F1" s="427"/>
      <c r="G1" s="427"/>
      <c r="H1" s="427"/>
      <c r="I1" s="427"/>
      <c r="J1" s="153"/>
      <c r="K1" s="427" t="s">
        <v>205</v>
      </c>
      <c r="L1" s="427"/>
      <c r="M1" s="427"/>
      <c r="N1" s="427"/>
      <c r="O1" s="153"/>
      <c r="Q1"/>
    </row>
    <row r="2" spans="1:73">
      <c r="D2" s="201"/>
      <c r="E2" s="201"/>
      <c r="F2" s="201"/>
      <c r="G2" s="201"/>
      <c r="H2" s="201"/>
      <c r="I2" s="349"/>
      <c r="J2" s="201"/>
      <c r="K2" s="201"/>
      <c r="L2" s="201"/>
      <c r="M2" s="201"/>
      <c r="N2" s="201"/>
      <c r="O2" s="201"/>
      <c r="Q2"/>
    </row>
    <row r="3" spans="1:73">
      <c r="D3" s="201"/>
      <c r="E3" s="306"/>
      <c r="F3" s="306"/>
      <c r="G3" s="201"/>
      <c r="H3" s="201"/>
      <c r="I3" s="349"/>
      <c r="K3" s="201"/>
      <c r="L3" s="306"/>
      <c r="M3" s="306"/>
      <c r="N3" s="201"/>
      <c r="O3" s="201"/>
      <c r="P3" s="146" t="str">
        <f>CHOOSE(allocation_method,"equal ¢","99 Loads","00 Loads","¢ by volt","100 Hrs","G equal ¢","G 99 Loads","G 00 Loads","G ¢ by volt","G 100 hrs")</f>
        <v>equal ¢</v>
      </c>
      <c r="Q3"/>
    </row>
    <row r="4" spans="1:73">
      <c r="A4" s="73"/>
      <c r="B4" s="73" t="s">
        <v>0</v>
      </c>
      <c r="C4" s="153" t="s">
        <v>388</v>
      </c>
      <c r="D4" s="153" t="s">
        <v>389</v>
      </c>
      <c r="E4" s="153" t="s">
        <v>390</v>
      </c>
      <c r="F4" s="153" t="s">
        <v>209</v>
      </c>
      <c r="G4" s="153" t="s">
        <v>387</v>
      </c>
      <c r="H4" s="153"/>
      <c r="I4" s="350"/>
      <c r="J4" s="153" t="s">
        <v>388</v>
      </c>
      <c r="K4" s="153" t="s">
        <v>389</v>
      </c>
      <c r="L4" s="153" t="s">
        <v>390</v>
      </c>
      <c r="M4" s="153" t="s">
        <v>209</v>
      </c>
      <c r="N4" s="153" t="s">
        <v>387</v>
      </c>
      <c r="O4" s="7"/>
      <c r="P4" s="348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</row>
    <row r="5" spans="1:73">
      <c r="A5" s="76"/>
      <c r="B5" s="73" t="s">
        <v>5</v>
      </c>
      <c r="C5" s="153" t="s">
        <v>152</v>
      </c>
      <c r="D5" s="153" t="s">
        <v>152</v>
      </c>
      <c r="E5" s="153" t="s">
        <v>152</v>
      </c>
      <c r="F5" s="153" t="s">
        <v>152</v>
      </c>
      <c r="G5" s="153" t="s">
        <v>152</v>
      </c>
      <c r="H5" s="153"/>
      <c r="I5" s="350"/>
      <c r="J5" s="153" t="s">
        <v>152</v>
      </c>
      <c r="K5" s="153" t="s">
        <v>152</v>
      </c>
      <c r="L5" s="153" t="s">
        <v>152</v>
      </c>
      <c r="M5" s="153" t="s">
        <v>152</v>
      </c>
      <c r="N5" s="153" t="s">
        <v>152</v>
      </c>
      <c r="P5" s="309" t="s">
        <v>157</v>
      </c>
      <c r="Q5"/>
    </row>
    <row r="6" spans="1:73">
      <c r="A6" s="77" t="s">
        <v>20</v>
      </c>
      <c r="B6" s="77" t="s">
        <v>11</v>
      </c>
      <c r="C6" s="203" t="s">
        <v>153</v>
      </c>
      <c r="D6" s="203" t="s">
        <v>153</v>
      </c>
      <c r="E6" s="203" t="s">
        <v>153</v>
      </c>
      <c r="F6" s="203" t="s">
        <v>153</v>
      </c>
      <c r="G6" s="203" t="s">
        <v>153</v>
      </c>
      <c r="H6" s="203"/>
      <c r="I6" s="351"/>
      <c r="J6" s="203" t="s">
        <v>153</v>
      </c>
      <c r="K6" s="203" t="s">
        <v>153</v>
      </c>
      <c r="L6" s="203" t="s">
        <v>153</v>
      </c>
      <c r="M6" s="203" t="s">
        <v>153</v>
      </c>
      <c r="N6" s="203" t="s">
        <v>153</v>
      </c>
      <c r="P6" s="309" t="s">
        <v>227</v>
      </c>
      <c r="Q6"/>
    </row>
    <row r="7" spans="1:73">
      <c r="A7" s="72"/>
      <c r="B7" s="77" t="s">
        <v>21</v>
      </c>
      <c r="P7" s="309"/>
      <c r="Q7"/>
    </row>
    <row r="8" spans="1:73">
      <c r="A8" s="72"/>
      <c r="B8" s="72"/>
      <c r="P8" s="309"/>
      <c r="Q8"/>
    </row>
    <row r="9" spans="1:73">
      <c r="A9" s="81" t="s">
        <v>99</v>
      </c>
      <c r="B9" s="73"/>
      <c r="P9" s="309"/>
      <c r="Q9"/>
    </row>
    <row r="10" spans="1:73">
      <c r="A10" s="2" t="s">
        <v>130</v>
      </c>
      <c r="B10" s="73" t="s">
        <v>28</v>
      </c>
      <c r="C10" s="204">
        <v>3.0764780955505553</v>
      </c>
      <c r="D10" s="204">
        <v>3.1502989675263713</v>
      </c>
      <c r="E10" s="204">
        <v>3.3341997236205172</v>
      </c>
      <c r="F10" s="204">
        <v>3.1006445631493733</v>
      </c>
      <c r="G10" s="204">
        <v>3.7344487372418556</v>
      </c>
      <c r="H10" s="204"/>
      <c r="I10" s="353"/>
      <c r="J10" s="204">
        <v>2.5930913432864853</v>
      </c>
      <c r="K10" s="204">
        <v>2.8303545903847005</v>
      </c>
      <c r="L10" s="204">
        <v>3.4214190057306504</v>
      </c>
      <c r="M10" s="204">
        <v>2.6707633406488003</v>
      </c>
      <c r="N10" s="204">
        <v>4.7078354090856207</v>
      </c>
      <c r="P10" s="310">
        <f>'Revenue Allocation'!$AB8</f>
        <v>3.8268823965418801</v>
      </c>
      <c r="Q10"/>
    </row>
    <row r="11" spans="1:73">
      <c r="A11" s="2" t="s">
        <v>131</v>
      </c>
      <c r="B11" s="73" t="s">
        <v>28</v>
      </c>
      <c r="C11" s="204">
        <v>0</v>
      </c>
      <c r="D11" s="204">
        <v>0</v>
      </c>
      <c r="E11" s="204">
        <v>0</v>
      </c>
      <c r="F11" s="204">
        <v>0</v>
      </c>
      <c r="G11" s="204">
        <v>0</v>
      </c>
      <c r="H11" s="204"/>
      <c r="I11" s="353"/>
      <c r="J11" s="204">
        <v>0</v>
      </c>
      <c r="K11" s="204">
        <v>0</v>
      </c>
      <c r="L11" s="204">
        <v>0</v>
      </c>
      <c r="M11" s="204">
        <v>0</v>
      </c>
      <c r="N11" s="204">
        <v>0</v>
      </c>
      <c r="P11" s="310">
        <f>'Revenue Allocation'!$AB9</f>
        <v>0</v>
      </c>
      <c r="Q11"/>
    </row>
    <row r="12" spans="1:73">
      <c r="A12" s="2" t="s">
        <v>29</v>
      </c>
      <c r="B12" s="73" t="s">
        <v>28</v>
      </c>
      <c r="C12" s="204">
        <v>3.0413573448810149</v>
      </c>
      <c r="D12" s="204">
        <v>3.0586394708947657</v>
      </c>
      <c r="E12" s="204">
        <v>3.014660506658998</v>
      </c>
      <c r="F12" s="204">
        <v>3.0652479306250817</v>
      </c>
      <c r="G12" s="204">
        <v>2.8823607492183974</v>
      </c>
      <c r="H12" s="204"/>
      <c r="I12" s="353"/>
      <c r="J12" s="204">
        <v>3.9983498506430752</v>
      </c>
      <c r="K12" s="204">
        <v>3.9986035241107274</v>
      </c>
      <c r="L12" s="204">
        <v>3.8572533669083997</v>
      </c>
      <c r="M12" s="204">
        <v>4.0198433790727002</v>
      </c>
      <c r="N12" s="204">
        <v>3.4320366334763319</v>
      </c>
      <c r="P12" s="310">
        <f>'Revenue Allocation'!$AB10</f>
        <v>3.7831951092229863</v>
      </c>
      <c r="Q12"/>
    </row>
    <row r="13" spans="1:73">
      <c r="A13" s="2" t="s">
        <v>132</v>
      </c>
      <c r="B13" s="73" t="s">
        <v>28</v>
      </c>
      <c r="C13" s="204">
        <v>3.0764780955505557</v>
      </c>
      <c r="D13" s="204">
        <v>3.1502989675263713</v>
      </c>
      <c r="E13" s="204">
        <v>3.3341997236205163</v>
      </c>
      <c r="F13" s="204">
        <v>3.1006445631493733</v>
      </c>
      <c r="G13" s="204">
        <v>3.7344487372418551</v>
      </c>
      <c r="H13" s="204"/>
      <c r="I13" s="353"/>
      <c r="J13" s="204">
        <v>3.3566201458850022</v>
      </c>
      <c r="K13" s="204">
        <v>3.5938833929832192</v>
      </c>
      <c r="L13" s="204">
        <v>4.1849478083291691</v>
      </c>
      <c r="M13" s="204">
        <v>3.4342921432473186</v>
      </c>
      <c r="N13" s="204">
        <v>5.4713642116841399</v>
      </c>
      <c r="P13" s="310">
        <f>'Revenue Allocation'!$AB11</f>
        <v>3.8268823965418801</v>
      </c>
      <c r="Q13"/>
    </row>
    <row r="14" spans="1:73">
      <c r="A14" s="2" t="s">
        <v>133</v>
      </c>
      <c r="B14" s="73" t="s">
        <v>28</v>
      </c>
      <c r="C14" s="205">
        <v>0</v>
      </c>
      <c r="D14" s="205">
        <v>0</v>
      </c>
      <c r="E14" s="205">
        <v>0</v>
      </c>
      <c r="F14" s="205">
        <v>0</v>
      </c>
      <c r="G14" s="205">
        <v>0</v>
      </c>
      <c r="H14" s="205"/>
      <c r="I14" s="354"/>
      <c r="J14" s="205">
        <v>0</v>
      </c>
      <c r="K14" s="205">
        <v>0</v>
      </c>
      <c r="L14" s="205">
        <v>0</v>
      </c>
      <c r="M14" s="205">
        <v>0</v>
      </c>
      <c r="N14" s="205">
        <v>0</v>
      </c>
      <c r="P14" s="310">
        <f>'Revenue Allocation'!$AB12</f>
        <v>0</v>
      </c>
      <c r="Q14"/>
    </row>
    <row r="15" spans="1:73">
      <c r="A15" s="81" t="s">
        <v>30</v>
      </c>
      <c r="B15" s="73"/>
      <c r="C15" s="204">
        <v>2.8596614722555964</v>
      </c>
      <c r="D15" s="204">
        <v>2.9259381156486195</v>
      </c>
      <c r="E15" s="204">
        <v>3.0873857478133666</v>
      </c>
      <c r="F15" s="204">
        <v>2.882124793679143</v>
      </c>
      <c r="G15" s="204">
        <v>3.437228833460868</v>
      </c>
      <c r="H15" s="204"/>
      <c r="I15" s="353"/>
      <c r="J15" s="204">
        <v>2.5301705678359934</v>
      </c>
      <c r="K15" s="204">
        <v>2.7408616983039229</v>
      </c>
      <c r="L15" s="204">
        <v>3.2597608716471411</v>
      </c>
      <c r="M15" s="204">
        <v>2.6000439219974756</v>
      </c>
      <c r="N15" s="204">
        <v>4.3841705982455776</v>
      </c>
      <c r="P15" s="310">
        <f>'Revenue Allocation'!$AB13</f>
        <v>3.5571805838863129</v>
      </c>
      <c r="Q15"/>
    </row>
    <row r="16" spans="1:73">
      <c r="A16" s="94"/>
      <c r="B16" s="73"/>
      <c r="C16" s="204">
        <v>0</v>
      </c>
      <c r="D16" s="204">
        <v>0</v>
      </c>
      <c r="E16" s="204">
        <v>0</v>
      </c>
      <c r="F16" s="204">
        <v>0</v>
      </c>
      <c r="G16" s="204">
        <v>0</v>
      </c>
      <c r="H16" s="204"/>
      <c r="I16" s="355"/>
      <c r="J16" s="204">
        <v>0</v>
      </c>
      <c r="K16" s="204">
        <v>0</v>
      </c>
      <c r="L16" s="204">
        <v>0</v>
      </c>
      <c r="M16" s="204">
        <v>0</v>
      </c>
      <c r="N16" s="204">
        <v>0</v>
      </c>
      <c r="P16" s="310">
        <f>'Revenue Allocation'!$AB14</f>
        <v>0</v>
      </c>
      <c r="Q16"/>
    </row>
    <row r="17" spans="1:17">
      <c r="A17" s="81" t="s">
        <v>31</v>
      </c>
      <c r="B17" s="73"/>
      <c r="C17" s="204">
        <v>0</v>
      </c>
      <c r="D17" s="204">
        <v>0</v>
      </c>
      <c r="E17" s="204">
        <v>0</v>
      </c>
      <c r="F17" s="204">
        <v>0</v>
      </c>
      <c r="G17" s="204">
        <v>0</v>
      </c>
      <c r="H17" s="204"/>
      <c r="I17" s="355"/>
      <c r="J17" s="204">
        <v>0</v>
      </c>
      <c r="K17" s="204">
        <v>0</v>
      </c>
      <c r="L17" s="204">
        <v>0</v>
      </c>
      <c r="M17" s="204">
        <v>0</v>
      </c>
      <c r="N17" s="204">
        <v>0</v>
      </c>
      <c r="P17" s="310">
        <f>'Revenue Allocation'!$AB15</f>
        <v>0</v>
      </c>
      <c r="Q17"/>
    </row>
    <row r="18" spans="1:17">
      <c r="A18" s="89" t="s">
        <v>32</v>
      </c>
      <c r="B18" s="77" t="s">
        <v>28</v>
      </c>
      <c r="C18" s="204">
        <v>3.0740879618294947</v>
      </c>
      <c r="D18" s="204">
        <v>3.2580966530667181</v>
      </c>
      <c r="E18" s="204">
        <v>2.6652971971425861</v>
      </c>
      <c r="F18" s="204">
        <v>3.0982356543591152</v>
      </c>
      <c r="G18" s="204">
        <v>3.6774953216055271</v>
      </c>
      <c r="H18" s="204"/>
      <c r="I18" s="353"/>
      <c r="J18" s="204">
        <v>2.5399723231817317</v>
      </c>
      <c r="K18" s="204">
        <v>3.1313836464120968</v>
      </c>
      <c r="L18" s="204">
        <v>1.2261023888743572</v>
      </c>
      <c r="M18" s="204">
        <v>2.6175839767176621</v>
      </c>
      <c r="N18" s="204">
        <v>4.4793478097016557</v>
      </c>
      <c r="P18" s="310">
        <f>'Revenue Allocation'!$AB16</f>
        <v>3.8239092693560441</v>
      </c>
      <c r="Q18"/>
    </row>
    <row r="19" spans="1:17">
      <c r="A19" s="89" t="s">
        <v>33</v>
      </c>
      <c r="B19" s="77" t="s">
        <v>28</v>
      </c>
      <c r="C19" s="204">
        <v>3.0755906525904653</v>
      </c>
      <c r="D19" s="204">
        <v>3.1071480363004484</v>
      </c>
      <c r="E19" s="204">
        <v>0.82929126473212433</v>
      </c>
      <c r="F19" s="204">
        <v>3.0997501491136328</v>
      </c>
      <c r="G19" s="204">
        <v>2.717289727589062</v>
      </c>
      <c r="H19" s="204"/>
      <c r="I19" s="353"/>
      <c r="J19" s="204">
        <v>3.2563151227385188</v>
      </c>
      <c r="K19" s="204">
        <v>3.3577418212934744</v>
      </c>
      <c r="L19" s="204">
        <v>-3.9633813188397671</v>
      </c>
      <c r="M19" s="204">
        <v>3.3339647147837437</v>
      </c>
      <c r="N19" s="204">
        <v>2.1047215607987808</v>
      </c>
      <c r="P19" s="310">
        <f>'Revenue Allocation'!$AB17</f>
        <v>3.8257784914476693</v>
      </c>
      <c r="Q19"/>
    </row>
    <row r="20" spans="1:17">
      <c r="A20" s="89" t="s">
        <v>35</v>
      </c>
      <c r="B20" s="77" t="s">
        <v>28</v>
      </c>
      <c r="C20" s="204">
        <v>3.0764780955505553</v>
      </c>
      <c r="D20" s="204">
        <v>3.2606298553607527</v>
      </c>
      <c r="E20" s="204">
        <v>3.3489964679561104</v>
      </c>
      <c r="F20" s="204">
        <v>3.1006445631493733</v>
      </c>
      <c r="G20" s="204">
        <v>3.6803546105023828</v>
      </c>
      <c r="H20" s="204"/>
      <c r="I20" s="353"/>
      <c r="J20" s="204">
        <v>4.6245210663626937</v>
      </c>
      <c r="K20" s="204">
        <v>5.2163922177320803</v>
      </c>
      <c r="L20" s="204">
        <v>5.5004060593230237</v>
      </c>
      <c r="M20" s="204">
        <v>4.7021930637250104</v>
      </c>
      <c r="N20" s="204">
        <v>6.5654044364583939</v>
      </c>
      <c r="P20" s="310">
        <f>'Revenue Allocation'!$AB18</f>
        <v>3.8268823965418801</v>
      </c>
      <c r="Q20"/>
    </row>
    <row r="21" spans="1:17">
      <c r="A21" s="89" t="s">
        <v>36</v>
      </c>
      <c r="B21" s="77" t="s">
        <v>28</v>
      </c>
      <c r="C21" s="205">
        <v>3.0764780955505557</v>
      </c>
      <c r="D21" s="205">
        <v>2.9491994060126414</v>
      </c>
      <c r="E21" s="205">
        <v>2.7493760189279919</v>
      </c>
      <c r="F21" s="205">
        <v>3.1006445631493733</v>
      </c>
      <c r="G21" s="205">
        <v>1.7149619210310552</v>
      </c>
      <c r="H21" s="205"/>
      <c r="I21" s="354"/>
      <c r="J21" s="205">
        <v>3.8424597146955874</v>
      </c>
      <c r="K21" s="205">
        <v>3.4333808951435207</v>
      </c>
      <c r="L21" s="205">
        <v>2.7911405043581095</v>
      </c>
      <c r="M21" s="205">
        <v>3.9201317120579038</v>
      </c>
      <c r="N21" s="205">
        <v>-0.53350794725598794</v>
      </c>
      <c r="P21" s="310">
        <f>'Revenue Allocation'!$AB19</f>
        <v>3.8268823965418801</v>
      </c>
      <c r="Q21"/>
    </row>
    <row r="22" spans="1:17">
      <c r="A22" s="81" t="s">
        <v>37</v>
      </c>
      <c r="B22" s="73"/>
      <c r="C22" s="204">
        <v>3.0744990066328359</v>
      </c>
      <c r="D22" s="204">
        <v>3.2161931403275763</v>
      </c>
      <c r="E22" s="204">
        <v>2.2139226432328973</v>
      </c>
      <c r="F22" s="204">
        <v>3.0986499280172093</v>
      </c>
      <c r="G22" s="204">
        <v>3.4109541090667896</v>
      </c>
      <c r="H22" s="204"/>
      <c r="I22" s="353"/>
      <c r="J22" s="204">
        <v>2.7367214634422368</v>
      </c>
      <c r="K22" s="204">
        <v>3.1921320994232998</v>
      </c>
      <c r="L22" s="204">
        <v>-2.9205528359414923E-2</v>
      </c>
      <c r="M22" s="204">
        <v>2.8143434946470109</v>
      </c>
      <c r="N22" s="204">
        <v>3.818101674345121</v>
      </c>
      <c r="P22" s="310">
        <f>'Revenue Allocation'!$AB20</f>
        <v>3.8244157962790815</v>
      </c>
      <c r="Q22"/>
    </row>
    <row r="23" spans="1:17">
      <c r="A23" s="94"/>
      <c r="B23" s="73"/>
      <c r="C23" s="204">
        <v>0</v>
      </c>
      <c r="D23" s="204">
        <v>0</v>
      </c>
      <c r="E23" s="204">
        <v>0</v>
      </c>
      <c r="F23" s="204">
        <v>0</v>
      </c>
      <c r="G23" s="204">
        <v>0</v>
      </c>
      <c r="H23" s="204"/>
      <c r="I23" s="353"/>
      <c r="J23" s="204">
        <v>0</v>
      </c>
      <c r="K23" s="204">
        <v>0</v>
      </c>
      <c r="L23" s="204">
        <v>0</v>
      </c>
      <c r="M23" s="204">
        <v>0</v>
      </c>
      <c r="N23" s="204">
        <v>0</v>
      </c>
      <c r="P23" s="310">
        <f>'Revenue Allocation'!$AB21</f>
        <v>0</v>
      </c>
      <c r="Q23"/>
    </row>
    <row r="24" spans="1:17">
      <c r="A24" s="81" t="s">
        <v>38</v>
      </c>
      <c r="B24" s="73"/>
      <c r="C24" s="204">
        <v>0</v>
      </c>
      <c r="D24" s="204">
        <v>0</v>
      </c>
      <c r="E24" s="204">
        <v>0</v>
      </c>
      <c r="F24" s="204">
        <v>0</v>
      </c>
      <c r="G24" s="204">
        <v>0</v>
      </c>
      <c r="H24" s="204"/>
      <c r="I24" s="355"/>
      <c r="J24" s="204">
        <v>0</v>
      </c>
      <c r="K24" s="204">
        <v>0</v>
      </c>
      <c r="L24" s="204">
        <v>0</v>
      </c>
      <c r="M24" s="204">
        <v>0</v>
      </c>
      <c r="N24" s="204">
        <v>0</v>
      </c>
      <c r="P24" s="310">
        <f>'Revenue Allocation'!$AB22</f>
        <v>0</v>
      </c>
      <c r="Q24"/>
    </row>
    <row r="25" spans="1:17">
      <c r="A25" s="89" t="s">
        <v>39</v>
      </c>
      <c r="B25" s="77" t="s">
        <v>27</v>
      </c>
      <c r="C25" s="204">
        <v>3.0771570925483855</v>
      </c>
      <c r="D25" s="204">
        <v>2.9592422470402644</v>
      </c>
      <c r="E25" s="204">
        <v>3.1344109252878587</v>
      </c>
      <c r="F25" s="204">
        <v>3.0298697027281345</v>
      </c>
      <c r="G25" s="204">
        <v>3.1722363229114916</v>
      </c>
      <c r="H25" s="204"/>
      <c r="I25" s="353"/>
      <c r="J25" s="204">
        <v>2.4635750788793489</v>
      </c>
      <c r="K25" s="204">
        <v>2.0845920300810823</v>
      </c>
      <c r="L25" s="204">
        <v>2.6475911965572307</v>
      </c>
      <c r="M25" s="204">
        <v>2.31159150898563</v>
      </c>
      <c r="N25" s="204">
        <v>2.7691635435474491</v>
      </c>
      <c r="P25" s="310">
        <f>'Revenue Allocation'!$AB23</f>
        <v>3.8268823965418801</v>
      </c>
      <c r="Q25"/>
    </row>
    <row r="26" spans="1:17">
      <c r="A26" s="94" t="s">
        <v>39</v>
      </c>
      <c r="B26" s="77" t="s">
        <v>28</v>
      </c>
      <c r="C26" s="205">
        <v>3.0764780955505557</v>
      </c>
      <c r="D26" s="205">
        <v>3.1088270735177037</v>
      </c>
      <c r="E26" s="205">
        <v>3.2979124696546553</v>
      </c>
      <c r="F26" s="205">
        <v>3.1006445631493733</v>
      </c>
      <c r="G26" s="205">
        <v>3.1715363459929002</v>
      </c>
      <c r="H26" s="205"/>
      <c r="I26" s="354"/>
      <c r="J26" s="205">
        <v>2.385588730135777</v>
      </c>
      <c r="K26" s="205">
        <v>2.4895596444228452</v>
      </c>
      <c r="L26" s="205">
        <v>3.0972877010760231</v>
      </c>
      <c r="M26" s="205">
        <v>2.4632607274980933</v>
      </c>
      <c r="N26" s="205">
        <v>2.6911097644960176</v>
      </c>
      <c r="P26" s="310">
        <f>'Revenue Allocation'!$AB24</f>
        <v>3.8268823965418801</v>
      </c>
      <c r="Q26"/>
    </row>
    <row r="27" spans="1:17">
      <c r="A27" s="188" t="s">
        <v>40</v>
      </c>
      <c r="B27" s="72"/>
      <c r="C27" s="204">
        <v>3.0764828466924707</v>
      </c>
      <c r="D27" s="204">
        <v>3.1077802792933027</v>
      </c>
      <c r="E27" s="204">
        <v>3.2967682862903342</v>
      </c>
      <c r="F27" s="204">
        <v>3.1001492806095907</v>
      </c>
      <c r="G27" s="204">
        <v>3.1715412439374981</v>
      </c>
      <c r="H27" s="204"/>
      <c r="I27" s="353"/>
      <c r="J27" s="204">
        <v>2.3861344777815545</v>
      </c>
      <c r="K27" s="204">
        <v>2.4867256830323354</v>
      </c>
      <c r="L27" s="204">
        <v>3.0941407270787669</v>
      </c>
      <c r="M27" s="204">
        <v>2.4621993468100731</v>
      </c>
      <c r="N27" s="204">
        <v>2.6916559839715135</v>
      </c>
      <c r="P27" s="310">
        <f>'Revenue Allocation'!$AB25</f>
        <v>3.8268823965418801</v>
      </c>
      <c r="Q27"/>
    </row>
    <row r="28" spans="1:17">
      <c r="A28" s="94"/>
      <c r="B28" s="73"/>
      <c r="C28" s="204">
        <v>0</v>
      </c>
      <c r="D28" s="204">
        <v>0</v>
      </c>
      <c r="E28" s="204">
        <v>0</v>
      </c>
      <c r="F28" s="204">
        <v>0</v>
      </c>
      <c r="G28" s="204">
        <v>0</v>
      </c>
      <c r="H28" s="204"/>
      <c r="I28" s="355"/>
      <c r="J28" s="204">
        <v>0</v>
      </c>
      <c r="K28" s="204">
        <v>0</v>
      </c>
      <c r="L28" s="204">
        <v>0</v>
      </c>
      <c r="M28" s="204">
        <v>0</v>
      </c>
      <c r="N28" s="204">
        <v>0</v>
      </c>
      <c r="P28" s="310">
        <f>'Revenue Allocation'!$AB26</f>
        <v>0</v>
      </c>
      <c r="Q28"/>
    </row>
    <row r="29" spans="1:17">
      <c r="A29" s="102" t="s">
        <v>41</v>
      </c>
      <c r="B29" s="73"/>
      <c r="C29" s="204">
        <v>0</v>
      </c>
      <c r="D29" s="204">
        <v>0</v>
      </c>
      <c r="E29" s="204">
        <v>0</v>
      </c>
      <c r="F29" s="204">
        <v>0</v>
      </c>
      <c r="G29" s="204">
        <v>0</v>
      </c>
      <c r="H29" s="204"/>
      <c r="I29" s="355"/>
      <c r="J29" s="204">
        <v>0</v>
      </c>
      <c r="K29" s="204">
        <v>0</v>
      </c>
      <c r="L29" s="204">
        <v>0</v>
      </c>
      <c r="M29" s="204">
        <v>0</v>
      </c>
      <c r="N29" s="204">
        <v>0</v>
      </c>
      <c r="P29" s="310">
        <f>'Revenue Allocation'!$AB27</f>
        <v>0</v>
      </c>
      <c r="Q29"/>
    </row>
    <row r="30" spans="1:17">
      <c r="A30" s="89" t="s">
        <v>42</v>
      </c>
      <c r="B30" s="77" t="s">
        <v>21</v>
      </c>
      <c r="C30" s="204">
        <v>3.0764780955505553</v>
      </c>
      <c r="D30" s="204">
        <v>2.8639081522967023</v>
      </c>
      <c r="E30" s="204">
        <v>2.8311104162103202</v>
      </c>
      <c r="F30" s="204">
        <v>2.9148916630528672</v>
      </c>
      <c r="G30" s="204">
        <v>2.3505367681465281</v>
      </c>
      <c r="H30" s="204"/>
      <c r="I30" s="353"/>
      <c r="J30" s="204">
        <v>2.1155094729896642</v>
      </c>
      <c r="K30" s="204">
        <v>1.4323011387882543</v>
      </c>
      <c r="L30" s="204">
        <v>1.3268878978843199</v>
      </c>
      <c r="M30" s="204">
        <v>1.5961641898023029</v>
      </c>
      <c r="N30" s="204">
        <v>-0.21769510632084488</v>
      </c>
      <c r="P30" s="310">
        <f>'Revenue Allocation'!$AB28</f>
        <v>3.8268823965418801</v>
      </c>
      <c r="Q30"/>
    </row>
    <row r="31" spans="1:17">
      <c r="A31" s="89" t="s">
        <v>43</v>
      </c>
      <c r="B31" s="77" t="s">
        <v>21</v>
      </c>
      <c r="C31" s="204">
        <v>3.0764780955505557</v>
      </c>
      <c r="D31" s="204">
        <v>2.8153938611922222</v>
      </c>
      <c r="E31" s="204">
        <v>2.8275873818447028</v>
      </c>
      <c r="F31" s="204">
        <v>2.9148916630528672</v>
      </c>
      <c r="G31" s="204">
        <v>2.4275027991934239</v>
      </c>
      <c r="H31" s="204"/>
      <c r="I31" s="353"/>
      <c r="J31" s="204">
        <v>2.2463025769295735</v>
      </c>
      <c r="K31" s="204">
        <v>1.4071673628358774</v>
      </c>
      <c r="L31" s="204">
        <v>1.4463578278918101</v>
      </c>
      <c r="M31" s="204">
        <v>1.7269572937422124</v>
      </c>
      <c r="N31" s="204">
        <v>0.16046991227798568</v>
      </c>
      <c r="P31" s="310">
        <f>'Revenue Allocation'!$AB29</f>
        <v>3.8268823965418801</v>
      </c>
      <c r="Q31"/>
    </row>
    <row r="32" spans="1:17">
      <c r="A32" s="89" t="s">
        <v>44</v>
      </c>
      <c r="B32" s="77" t="s">
        <v>21</v>
      </c>
      <c r="C32" s="204">
        <v>0</v>
      </c>
      <c r="D32" s="204">
        <v>0</v>
      </c>
      <c r="E32" s="204">
        <v>0</v>
      </c>
      <c r="F32" s="204">
        <v>0</v>
      </c>
      <c r="G32" s="204">
        <v>0</v>
      </c>
      <c r="H32" s="204"/>
      <c r="I32" s="355"/>
      <c r="J32" s="204">
        <v>0</v>
      </c>
      <c r="K32" s="204">
        <v>0</v>
      </c>
      <c r="L32" s="204">
        <v>0</v>
      </c>
      <c r="M32" s="204">
        <v>0</v>
      </c>
      <c r="N32" s="204">
        <v>0</v>
      </c>
      <c r="P32" s="310">
        <f>'Revenue Allocation'!$AB30</f>
        <v>0</v>
      </c>
      <c r="Q32"/>
    </row>
    <row r="33" spans="1:17">
      <c r="A33" s="105" t="s">
        <v>45</v>
      </c>
      <c r="B33" s="189" t="s">
        <v>21</v>
      </c>
      <c r="C33" s="204">
        <v>3.0767617132759097</v>
      </c>
      <c r="D33" s="204">
        <v>2.8546087477841655</v>
      </c>
      <c r="E33" s="204">
        <v>2.8306769322239989</v>
      </c>
      <c r="F33" s="204">
        <v>2.9151603842715637</v>
      </c>
      <c r="G33" s="204">
        <v>2.365925463804833</v>
      </c>
      <c r="H33" s="204"/>
      <c r="I33" s="353"/>
      <c r="J33" s="204">
        <v>2.1414872144470296</v>
      </c>
      <c r="K33" s="204">
        <v>1.4274786619290269</v>
      </c>
      <c r="L33" s="204">
        <v>1.3505608456423139</v>
      </c>
      <c r="M33" s="204">
        <v>1.622094053289042</v>
      </c>
      <c r="N33" s="204">
        <v>-0.14316903778306328</v>
      </c>
      <c r="P33" s="310">
        <f>'Revenue Allocation'!$AB31</f>
        <v>3.8268823965418801</v>
      </c>
      <c r="Q33"/>
    </row>
    <row r="34" spans="1:17">
      <c r="A34" s="94"/>
      <c r="B34" s="73"/>
      <c r="C34" s="204">
        <v>0</v>
      </c>
      <c r="D34" s="204">
        <v>0</v>
      </c>
      <c r="E34" s="204">
        <v>0</v>
      </c>
      <c r="F34" s="204">
        <v>0</v>
      </c>
      <c r="G34" s="204">
        <v>0</v>
      </c>
      <c r="H34" s="204"/>
      <c r="I34" s="355"/>
      <c r="J34" s="204">
        <v>0</v>
      </c>
      <c r="K34" s="204">
        <v>0</v>
      </c>
      <c r="L34" s="204">
        <v>0</v>
      </c>
      <c r="M34" s="204">
        <v>0</v>
      </c>
      <c r="N34" s="204">
        <v>0</v>
      </c>
      <c r="P34" s="310">
        <f>'Revenue Allocation'!$AB32</f>
        <v>0</v>
      </c>
      <c r="Q34"/>
    </row>
    <row r="35" spans="1:17">
      <c r="A35" s="89" t="s">
        <v>42</v>
      </c>
      <c r="B35" s="77" t="s">
        <v>27</v>
      </c>
      <c r="C35" s="204">
        <v>3.0764780955505069</v>
      </c>
      <c r="D35" s="204">
        <v>2.9233772833279525</v>
      </c>
      <c r="E35" s="204">
        <v>2.8931158210451442</v>
      </c>
      <c r="F35" s="204">
        <v>3.0292011400352847</v>
      </c>
      <c r="G35" s="204">
        <v>2.3505367681464904</v>
      </c>
      <c r="H35" s="204"/>
      <c r="I35" s="353"/>
      <c r="J35" s="204">
        <v>3.2424022863241171</v>
      </c>
      <c r="K35" s="204">
        <v>2.7503301274745491</v>
      </c>
      <c r="L35" s="204">
        <v>2.6530685724293663</v>
      </c>
      <c r="M35" s="204">
        <v>3.0904522527057909</v>
      </c>
      <c r="N35" s="204">
        <v>0.90919770701364344</v>
      </c>
      <c r="P35" s="310">
        <f>'Revenue Allocation'!$AB33</f>
        <v>3.8268823965418188</v>
      </c>
      <c r="Q35"/>
    </row>
    <row r="36" spans="1:17">
      <c r="A36" s="89" t="s">
        <v>43</v>
      </c>
      <c r="B36" s="77" t="s">
        <v>27</v>
      </c>
      <c r="C36" s="204">
        <v>3.0764780955786839</v>
      </c>
      <c r="D36" s="204">
        <v>2.8732980151173879</v>
      </c>
      <c r="E36" s="204">
        <v>2.8892404832694276</v>
      </c>
      <c r="F36" s="204">
        <v>3.0292011400630292</v>
      </c>
      <c r="G36" s="204">
        <v>2.4275027992156186</v>
      </c>
      <c r="H36" s="204"/>
      <c r="I36" s="353"/>
      <c r="J36" s="204">
        <v>3.275693729264785</v>
      </c>
      <c r="K36" s="204">
        <v>2.6226647911655894</v>
      </c>
      <c r="L36" s="204">
        <v>2.6739045240388619</v>
      </c>
      <c r="M36" s="204">
        <v>3.1237436956450675</v>
      </c>
      <c r="N36" s="204">
        <v>1.1898610645941265</v>
      </c>
      <c r="P36" s="310">
        <f>'Revenue Allocation'!$AB34</f>
        <v>3.8268823965768695</v>
      </c>
      <c r="Q36"/>
    </row>
    <row r="37" spans="1:17">
      <c r="A37" s="89" t="s">
        <v>44</v>
      </c>
      <c r="B37" s="77" t="s">
        <v>27</v>
      </c>
      <c r="C37" s="205">
        <v>3.0764780955505557</v>
      </c>
      <c r="D37" s="205">
        <v>2.9233772833279996</v>
      </c>
      <c r="E37" s="205">
        <v>2.8931158210451904</v>
      </c>
      <c r="F37" s="205">
        <v>3.0292011400353331</v>
      </c>
      <c r="G37" s="205">
        <v>2.3505367681465281</v>
      </c>
      <c r="H37" s="205"/>
      <c r="I37" s="354"/>
      <c r="J37" s="205">
        <v>4.5188537813989713</v>
      </c>
      <c r="K37" s="205">
        <v>4.0267816225493975</v>
      </c>
      <c r="L37" s="205">
        <v>3.9295200675042117</v>
      </c>
      <c r="M37" s="205">
        <v>4.3669037477806434</v>
      </c>
      <c r="N37" s="205">
        <v>2.1856492020884613</v>
      </c>
      <c r="P37" s="310">
        <f>'Revenue Allocation'!$AB35</f>
        <v>3.8268823965418801</v>
      </c>
      <c r="Q37"/>
    </row>
    <row r="38" spans="1:17">
      <c r="A38" s="105" t="s">
        <v>45</v>
      </c>
      <c r="B38" s="189" t="s">
        <v>27</v>
      </c>
      <c r="C38" s="204">
        <v>3.0764780955505557</v>
      </c>
      <c r="D38" s="204">
        <v>2.9163912165955033</v>
      </c>
      <c r="E38" s="204">
        <v>2.8925752107397655</v>
      </c>
      <c r="F38" s="204">
        <v>3.0292011400353327</v>
      </c>
      <c r="G38" s="204">
        <v>2.3612735430228224</v>
      </c>
      <c r="H38" s="204"/>
      <c r="I38" s="353"/>
      <c r="J38" s="204">
        <v>3.3163867554210773</v>
      </c>
      <c r="K38" s="204">
        <v>2.8018610975402276</v>
      </c>
      <c r="L38" s="204">
        <v>2.7253154982943459</v>
      </c>
      <c r="M38" s="204">
        <v>3.1644367218027494</v>
      </c>
      <c r="N38" s="204">
        <v>1.017690601740473</v>
      </c>
      <c r="P38" s="310">
        <f>'Revenue Allocation'!$AB36</f>
        <v>3.8268823965467123</v>
      </c>
      <c r="Q38"/>
    </row>
    <row r="39" spans="1:17">
      <c r="A39" s="94"/>
      <c r="B39" s="73"/>
      <c r="C39" s="204">
        <v>0</v>
      </c>
      <c r="D39" s="204">
        <v>0</v>
      </c>
      <c r="E39" s="204">
        <v>0</v>
      </c>
      <c r="F39" s="204">
        <v>0</v>
      </c>
      <c r="G39" s="204">
        <v>0</v>
      </c>
      <c r="H39" s="204"/>
      <c r="I39" s="355"/>
      <c r="J39" s="204">
        <v>0</v>
      </c>
      <c r="K39" s="204">
        <v>0</v>
      </c>
      <c r="L39" s="204">
        <v>0</v>
      </c>
      <c r="M39" s="204">
        <v>0</v>
      </c>
      <c r="N39" s="204">
        <v>0</v>
      </c>
      <c r="P39" s="310">
        <f>'Revenue Allocation'!$AB37</f>
        <v>0</v>
      </c>
      <c r="Q39"/>
    </row>
    <row r="40" spans="1:17">
      <c r="A40" s="89" t="s">
        <v>42</v>
      </c>
      <c r="B40" s="77" t="s">
        <v>28</v>
      </c>
      <c r="C40" s="204">
        <v>3.0764780955505571</v>
      </c>
      <c r="D40" s="204">
        <v>3.1362141733347504</v>
      </c>
      <c r="E40" s="204">
        <v>3.1108393448403602</v>
      </c>
      <c r="F40" s="204">
        <v>3.1006445631493746</v>
      </c>
      <c r="G40" s="204">
        <v>2.6906659205319712</v>
      </c>
      <c r="H40" s="204"/>
      <c r="I40" s="353"/>
      <c r="J40" s="204">
        <v>2.7119304950919449</v>
      </c>
      <c r="K40" s="204">
        <v>2.9039246480278864</v>
      </c>
      <c r="L40" s="204">
        <v>2.8223689302207084</v>
      </c>
      <c r="M40" s="204">
        <v>2.7896024924542613</v>
      </c>
      <c r="N40" s="204">
        <v>1.4719146707743538</v>
      </c>
      <c r="P40" s="310">
        <f>'Revenue Allocation'!$AB38</f>
        <v>3.8268823965418814</v>
      </c>
      <c r="Q40"/>
    </row>
    <row r="41" spans="1:17">
      <c r="A41" s="89" t="s">
        <v>43</v>
      </c>
      <c r="B41" s="77" t="s">
        <v>28</v>
      </c>
      <c r="C41" s="204">
        <v>3.0764780955505557</v>
      </c>
      <c r="D41" s="204">
        <v>3.0180583998383548</v>
      </c>
      <c r="E41" s="204">
        <v>3.0386171403451985</v>
      </c>
      <c r="F41" s="204">
        <v>3.1006445631493733</v>
      </c>
      <c r="G41" s="204">
        <v>2.4275027991934244</v>
      </c>
      <c r="H41" s="204"/>
      <c r="I41" s="353"/>
      <c r="J41" s="204">
        <v>3.055771153672783</v>
      </c>
      <c r="K41" s="204">
        <v>2.8680079055807344</v>
      </c>
      <c r="L41" s="204">
        <v>2.9340845231869501</v>
      </c>
      <c r="M41" s="204">
        <v>3.1334431510351006</v>
      </c>
      <c r="N41" s="204">
        <v>0.9699384890211965</v>
      </c>
      <c r="P41" s="310">
        <f>'Revenue Allocation'!$AB39</f>
        <v>3.8268823965418801</v>
      </c>
      <c r="Q41"/>
    </row>
    <row r="42" spans="1:17">
      <c r="A42" s="89" t="s">
        <v>44</v>
      </c>
      <c r="B42" s="77" t="s">
        <v>28</v>
      </c>
      <c r="C42" s="205">
        <v>3.0764780955505557</v>
      </c>
      <c r="D42" s="205">
        <v>3.1362141733347491</v>
      </c>
      <c r="E42" s="205">
        <v>3.1108393448403602</v>
      </c>
      <c r="F42" s="205">
        <v>3.1006445631493729</v>
      </c>
      <c r="G42" s="205">
        <v>2.6906659205319703</v>
      </c>
      <c r="H42" s="205"/>
      <c r="I42" s="354"/>
      <c r="J42" s="205">
        <v>4.0197753269410628</v>
      </c>
      <c r="K42" s="205">
        <v>4.2117694798770025</v>
      </c>
      <c r="L42" s="205">
        <v>4.1302137620698334</v>
      </c>
      <c r="M42" s="205">
        <v>4.0974473243033804</v>
      </c>
      <c r="N42" s="205">
        <v>2.7797595026234743</v>
      </c>
      <c r="P42" s="310">
        <f>'Revenue Allocation'!$AB40</f>
        <v>3.8268823965418801</v>
      </c>
      <c r="Q42"/>
    </row>
    <row r="43" spans="1:17">
      <c r="A43" s="105" t="s">
        <v>45</v>
      </c>
      <c r="B43" s="189" t="s">
        <v>28</v>
      </c>
      <c r="C43" s="204">
        <v>3.0764787002965193</v>
      </c>
      <c r="D43" s="204">
        <v>3.0735588497643938</v>
      </c>
      <c r="E43" s="204">
        <v>3.0725417845134193</v>
      </c>
      <c r="F43" s="204">
        <v>3.1006451726457613</v>
      </c>
      <c r="G43" s="204">
        <v>2.5511156490982247</v>
      </c>
      <c r="H43" s="204"/>
      <c r="I43" s="353"/>
      <c r="J43" s="204">
        <v>2.8974141515047482</v>
      </c>
      <c r="K43" s="204">
        <v>2.8880296346363936</v>
      </c>
      <c r="L43" s="204">
        <v>2.8847607460754978</v>
      </c>
      <c r="M43" s="204">
        <v>2.9750861641351167</v>
      </c>
      <c r="N43" s="204">
        <v>1.2088762069303549</v>
      </c>
      <c r="P43" s="310">
        <f>'Revenue Allocation'!$AB41</f>
        <v>3.8268823965418806</v>
      </c>
      <c r="Q43"/>
    </row>
    <row r="44" spans="1:17">
      <c r="A44" s="89"/>
      <c r="B44" s="77"/>
      <c r="C44" s="204">
        <v>0</v>
      </c>
      <c r="D44" s="204">
        <v>0</v>
      </c>
      <c r="E44" s="204">
        <v>0</v>
      </c>
      <c r="F44" s="204">
        <v>0</v>
      </c>
      <c r="G44" s="204">
        <v>0</v>
      </c>
      <c r="H44" s="204"/>
      <c r="I44" s="355"/>
      <c r="J44" s="204">
        <v>0</v>
      </c>
      <c r="K44" s="204">
        <v>0</v>
      </c>
      <c r="L44" s="204">
        <v>0</v>
      </c>
      <c r="M44" s="204">
        <v>0</v>
      </c>
      <c r="N44" s="204">
        <v>0</v>
      </c>
      <c r="P44" s="310">
        <f>'Revenue Allocation'!$AB42</f>
        <v>0</v>
      </c>
      <c r="Q44"/>
    </row>
    <row r="45" spans="1:17">
      <c r="A45" s="105" t="s">
        <v>45</v>
      </c>
      <c r="B45" s="72"/>
      <c r="C45" s="204">
        <v>3.0764780955505557</v>
      </c>
      <c r="D45" s="204">
        <v>3.0621089964949242</v>
      </c>
      <c r="E45" s="204">
        <v>3.0594398709624073</v>
      </c>
      <c r="F45" s="204">
        <v>3.0953549217594496</v>
      </c>
      <c r="G45" s="204">
        <v>2.537364135466643</v>
      </c>
      <c r="H45" s="204"/>
      <c r="I45" s="353"/>
      <c r="J45" s="204">
        <v>2.9266090814845347</v>
      </c>
      <c r="K45" s="204">
        <v>2.8804262200719521</v>
      </c>
      <c r="L45" s="204">
        <v>2.8718475434211901</v>
      </c>
      <c r="M45" s="204">
        <v>2.9872799589932439</v>
      </c>
      <c r="N45" s="204">
        <v>1.1938751635298459</v>
      </c>
      <c r="P45" s="310">
        <f>'Revenue Allocation'!$AB43</f>
        <v>3.8268823965422265</v>
      </c>
      <c r="Q45"/>
    </row>
    <row r="46" spans="1:17">
      <c r="A46" s="89"/>
      <c r="B46" s="73"/>
      <c r="C46" s="204">
        <v>0</v>
      </c>
      <c r="D46" s="204">
        <v>0</v>
      </c>
      <c r="E46" s="204">
        <v>0</v>
      </c>
      <c r="F46" s="204">
        <v>0</v>
      </c>
      <c r="G46" s="204">
        <v>0</v>
      </c>
      <c r="H46" s="204"/>
      <c r="I46" s="355"/>
      <c r="J46" s="204">
        <v>0</v>
      </c>
      <c r="K46" s="204">
        <v>0</v>
      </c>
      <c r="L46" s="204">
        <v>0</v>
      </c>
      <c r="M46" s="204">
        <v>0</v>
      </c>
      <c r="N46" s="204">
        <v>0</v>
      </c>
      <c r="P46" s="310">
        <f>'Revenue Allocation'!$AB44</f>
        <v>0</v>
      </c>
      <c r="Q46"/>
    </row>
    <row r="47" spans="1:17">
      <c r="A47" s="89" t="s">
        <v>47</v>
      </c>
      <c r="B47" s="77" t="s">
        <v>28</v>
      </c>
      <c r="C47" s="205">
        <v>3.0764780955505557</v>
      </c>
      <c r="D47" s="205">
        <v>3.1362141733347482</v>
      </c>
      <c r="E47" s="205">
        <v>3.1108393448403597</v>
      </c>
      <c r="F47" s="205">
        <v>3.1006445631493733</v>
      </c>
      <c r="G47" s="205">
        <v>2.6906659205319694</v>
      </c>
      <c r="H47" s="205"/>
      <c r="I47" s="354"/>
      <c r="J47" s="205">
        <v>4.740566776801602</v>
      </c>
      <c r="K47" s="205">
        <v>4.9325609297375426</v>
      </c>
      <c r="L47" s="205">
        <v>4.8510052119303708</v>
      </c>
      <c r="M47" s="205">
        <v>4.8182387741639197</v>
      </c>
      <c r="N47" s="205">
        <v>3.5005509524840113</v>
      </c>
      <c r="P47" s="310">
        <f>'Revenue Allocation'!$AB45</f>
        <v>3.8268823965418801</v>
      </c>
      <c r="Q47"/>
    </row>
    <row r="48" spans="1:17">
      <c r="A48" s="105" t="s">
        <v>48</v>
      </c>
      <c r="B48" s="72"/>
      <c r="C48" s="204">
        <v>3.0764780955505557</v>
      </c>
      <c r="D48" s="204">
        <v>3.1362141733347482</v>
      </c>
      <c r="E48" s="204">
        <v>3.1108393448403597</v>
      </c>
      <c r="F48" s="204">
        <v>3.1006445631493733</v>
      </c>
      <c r="G48" s="204">
        <v>2.6906659205319694</v>
      </c>
      <c r="H48" s="204"/>
      <c r="I48" s="353"/>
      <c r="J48" s="204">
        <v>4.740566776801602</v>
      </c>
      <c r="K48" s="204">
        <v>4.9325609297375426</v>
      </c>
      <c r="L48" s="204">
        <v>4.8510052119303708</v>
      </c>
      <c r="M48" s="204">
        <v>4.8182387741639197</v>
      </c>
      <c r="N48" s="204">
        <v>3.5005509524840113</v>
      </c>
      <c r="P48" s="310">
        <f>'Revenue Allocation'!$AB46</f>
        <v>3.8268823965418801</v>
      </c>
      <c r="Q48"/>
    </row>
    <row r="49" spans="1:17">
      <c r="A49" s="89"/>
      <c r="B49" s="73"/>
      <c r="C49" s="204">
        <v>0</v>
      </c>
      <c r="D49" s="204">
        <v>0</v>
      </c>
      <c r="E49" s="204">
        <v>0</v>
      </c>
      <c r="F49" s="204">
        <v>0</v>
      </c>
      <c r="G49" s="204">
        <v>0</v>
      </c>
      <c r="H49" s="204"/>
      <c r="I49" s="355"/>
      <c r="J49" s="204">
        <v>0</v>
      </c>
      <c r="K49" s="204">
        <v>0</v>
      </c>
      <c r="L49" s="204">
        <v>0</v>
      </c>
      <c r="M49" s="204">
        <v>0</v>
      </c>
      <c r="N49" s="204">
        <v>0</v>
      </c>
      <c r="P49" s="310">
        <f>'Revenue Allocation'!$AB47</f>
        <v>0</v>
      </c>
      <c r="Q49"/>
    </row>
    <row r="50" spans="1:17">
      <c r="A50" s="105" t="s">
        <v>49</v>
      </c>
      <c r="B50" s="189" t="s">
        <v>21</v>
      </c>
      <c r="C50" s="204">
        <v>3.0767617132759097</v>
      </c>
      <c r="D50" s="204">
        <v>2.8546087477841655</v>
      </c>
      <c r="E50" s="204">
        <v>2.8306769322239989</v>
      </c>
      <c r="F50" s="204">
        <v>2.9151603842715637</v>
      </c>
      <c r="G50" s="204">
        <v>2.365925463804833</v>
      </c>
      <c r="H50" s="204"/>
      <c r="I50" s="353"/>
      <c r="J50" s="204">
        <v>2.1414872144470296</v>
      </c>
      <c r="K50" s="204">
        <v>1.4274786619290269</v>
      </c>
      <c r="L50" s="204">
        <v>1.3505608456423139</v>
      </c>
      <c r="M50" s="204">
        <v>1.622094053289042</v>
      </c>
      <c r="N50" s="204">
        <v>-0.14316903778306328</v>
      </c>
      <c r="P50" s="310">
        <f>'Revenue Allocation'!$AB48</f>
        <v>3.8268823965418801</v>
      </c>
      <c r="Q50"/>
    </row>
    <row r="51" spans="1:17">
      <c r="A51" s="105" t="s">
        <v>49</v>
      </c>
      <c r="B51" s="189" t="s">
        <v>27</v>
      </c>
      <c r="C51" s="204">
        <v>3.0764780955505557</v>
      </c>
      <c r="D51" s="204">
        <v>2.9163912165955033</v>
      </c>
      <c r="E51" s="204">
        <v>2.8925752107397655</v>
      </c>
      <c r="F51" s="204">
        <v>3.0292011400353327</v>
      </c>
      <c r="G51" s="204">
        <v>2.3612735430228224</v>
      </c>
      <c r="H51" s="204"/>
      <c r="I51" s="353"/>
      <c r="J51" s="204">
        <v>3.3163867554210773</v>
      </c>
      <c r="K51" s="204">
        <v>2.8018610975402276</v>
      </c>
      <c r="L51" s="204">
        <v>2.7253154982943459</v>
      </c>
      <c r="M51" s="204">
        <v>3.1644367218027494</v>
      </c>
      <c r="N51" s="204">
        <v>1.017690601740473</v>
      </c>
      <c r="P51" s="310">
        <f>'Revenue Allocation'!$AB49</f>
        <v>3.8268823965467123</v>
      </c>
      <c r="Q51"/>
    </row>
    <row r="52" spans="1:17">
      <c r="A52" s="105" t="s">
        <v>49</v>
      </c>
      <c r="B52" s="189" t="s">
        <v>28</v>
      </c>
      <c r="C52" s="205">
        <v>3.0764780955505553</v>
      </c>
      <c r="D52" s="205">
        <v>3.0738410208785201</v>
      </c>
      <c r="E52" s="205">
        <v>3.0727140257095171</v>
      </c>
      <c r="F52" s="205">
        <v>3.1006445631493742</v>
      </c>
      <c r="G52" s="205">
        <v>2.5517449604943541</v>
      </c>
      <c r="H52" s="205"/>
      <c r="I52" s="354"/>
      <c r="J52" s="205">
        <v>2.9057319995573683</v>
      </c>
      <c r="K52" s="205">
        <v>2.8972563356593222</v>
      </c>
      <c r="L52" s="205">
        <v>2.8936341279272129</v>
      </c>
      <c r="M52" s="205">
        <v>2.9834039969196846</v>
      </c>
      <c r="N52" s="205">
        <v>1.219218630760426</v>
      </c>
      <c r="P52" s="310">
        <f>'Revenue Allocation'!$AB50</f>
        <v>3.8268823965418806</v>
      </c>
      <c r="Q52"/>
    </row>
    <row r="53" spans="1:17">
      <c r="A53" s="84" t="s">
        <v>41</v>
      </c>
      <c r="B53" s="72"/>
      <c r="C53" s="204">
        <v>3.0764780955505553</v>
      </c>
      <c r="D53" s="204">
        <v>3.0624193122453667</v>
      </c>
      <c r="E53" s="204">
        <v>3.0596551064829067</v>
      </c>
      <c r="F53" s="204">
        <v>3.0953770721557849</v>
      </c>
      <c r="G53" s="204">
        <v>2.5380060873586077</v>
      </c>
      <c r="H53" s="204"/>
      <c r="I53" s="353"/>
      <c r="J53" s="204">
        <v>2.9342050372260564</v>
      </c>
      <c r="K53" s="204">
        <v>2.8890195430973469</v>
      </c>
      <c r="L53" s="204">
        <v>2.8801352747692257</v>
      </c>
      <c r="M53" s="204">
        <v>2.9949471069981235</v>
      </c>
      <c r="N53" s="204">
        <v>1.203534378432249</v>
      </c>
      <c r="P53" s="310">
        <f>'Revenue Allocation'!$AB51</f>
        <v>3.8268823965422252</v>
      </c>
      <c r="Q53"/>
    </row>
    <row r="54" spans="1:17">
      <c r="A54" s="89"/>
      <c r="B54" s="77"/>
      <c r="C54" s="204">
        <v>0</v>
      </c>
      <c r="D54" s="204">
        <v>0</v>
      </c>
      <c r="E54" s="204">
        <v>0</v>
      </c>
      <c r="F54" s="204">
        <v>0</v>
      </c>
      <c r="G54" s="204">
        <v>0</v>
      </c>
      <c r="H54" s="204"/>
      <c r="I54" s="355"/>
      <c r="J54" s="204">
        <v>0</v>
      </c>
      <c r="K54" s="204">
        <v>0</v>
      </c>
      <c r="L54" s="204">
        <v>0</v>
      </c>
      <c r="M54" s="204">
        <v>0</v>
      </c>
      <c r="N54" s="204">
        <v>0</v>
      </c>
      <c r="P54" s="310">
        <f>'Revenue Allocation'!$AB52</f>
        <v>0</v>
      </c>
      <c r="Q54"/>
    </row>
    <row r="55" spans="1:17">
      <c r="A55" s="81" t="s">
        <v>51</v>
      </c>
      <c r="B55" s="77" t="s">
        <v>28</v>
      </c>
      <c r="C55" s="204">
        <v>3.0764780955505557</v>
      </c>
      <c r="D55" s="204">
        <v>2.7418399359693018</v>
      </c>
      <c r="E55" s="204">
        <v>2.2920861582708247</v>
      </c>
      <c r="F55" s="204">
        <v>3.1006445631493729</v>
      </c>
      <c r="G55" s="204">
        <v>0.54625629537853193</v>
      </c>
      <c r="H55" s="204"/>
      <c r="I55" s="353"/>
      <c r="J55" s="204">
        <v>4.7974313258400842</v>
      </c>
      <c r="K55" s="204">
        <v>3.7218908422322756</v>
      </c>
      <c r="L55" s="204">
        <v>2.2763641390745493</v>
      </c>
      <c r="M55" s="204">
        <v>4.875103323202401</v>
      </c>
      <c r="N55" s="204">
        <v>-3.334803150937403</v>
      </c>
      <c r="P55" s="310">
        <f>'Revenue Allocation'!$AB53</f>
        <v>3.8268823965418801</v>
      </c>
      <c r="Q55"/>
    </row>
    <row r="56" spans="1:17">
      <c r="A56" s="89"/>
      <c r="B56" s="77"/>
      <c r="C56" s="204">
        <v>0</v>
      </c>
      <c r="D56" s="204">
        <v>0</v>
      </c>
      <c r="E56" s="204">
        <v>0</v>
      </c>
      <c r="F56" s="204">
        <v>0</v>
      </c>
      <c r="G56" s="204">
        <v>0</v>
      </c>
      <c r="H56" s="204"/>
      <c r="I56" s="355"/>
      <c r="J56" s="204">
        <v>0</v>
      </c>
      <c r="K56" s="204">
        <v>0</v>
      </c>
      <c r="L56" s="204">
        <v>0</v>
      </c>
      <c r="M56" s="204">
        <v>0</v>
      </c>
      <c r="N56" s="204">
        <v>0</v>
      </c>
      <c r="P56" s="310">
        <f>'Revenue Allocation'!$AB54</f>
        <v>0</v>
      </c>
      <c r="Q56"/>
    </row>
    <row r="57" spans="1:17">
      <c r="A57" s="81" t="s">
        <v>52</v>
      </c>
      <c r="B57" s="77"/>
      <c r="C57" s="204">
        <v>0</v>
      </c>
      <c r="D57" s="204">
        <v>0</v>
      </c>
      <c r="E57" s="204">
        <v>0</v>
      </c>
      <c r="F57" s="204">
        <v>0</v>
      </c>
      <c r="G57" s="204">
        <v>0</v>
      </c>
      <c r="H57" s="204"/>
      <c r="I57" s="355"/>
      <c r="J57" s="204">
        <v>0</v>
      </c>
      <c r="K57" s="204">
        <v>0</v>
      </c>
      <c r="L57" s="204">
        <v>0</v>
      </c>
      <c r="M57" s="204">
        <v>0</v>
      </c>
      <c r="N57" s="204">
        <v>0</v>
      </c>
      <c r="P57" s="310">
        <f>'Revenue Allocation'!$AB55</f>
        <v>0</v>
      </c>
      <c r="Q57"/>
    </row>
    <row r="58" spans="1:17" hidden="1">
      <c r="A58" s="89" t="s">
        <v>53</v>
      </c>
      <c r="B58" s="77" t="s">
        <v>21</v>
      </c>
      <c r="C58" s="204">
        <v>0</v>
      </c>
      <c r="D58" s="204">
        <v>0</v>
      </c>
      <c r="E58" s="204">
        <v>0</v>
      </c>
      <c r="F58" s="204">
        <v>0</v>
      </c>
      <c r="G58" s="204">
        <v>0</v>
      </c>
      <c r="H58" s="204"/>
      <c r="I58" s="355"/>
      <c r="J58" s="204">
        <v>0</v>
      </c>
      <c r="K58" s="204">
        <v>0</v>
      </c>
      <c r="L58" s="204">
        <v>0</v>
      </c>
      <c r="M58" s="204">
        <v>0</v>
      </c>
      <c r="N58" s="204">
        <v>0</v>
      </c>
      <c r="P58" s="310">
        <f>'Revenue Allocation'!$AB56</f>
        <v>0</v>
      </c>
      <c r="Q58"/>
    </row>
    <row r="59" spans="1:17" hidden="1">
      <c r="A59" s="89"/>
      <c r="B59" s="77" t="s">
        <v>27</v>
      </c>
      <c r="C59" s="204">
        <v>0</v>
      </c>
      <c r="D59" s="204">
        <v>0</v>
      </c>
      <c r="E59" s="204">
        <v>0</v>
      </c>
      <c r="F59" s="204">
        <v>0</v>
      </c>
      <c r="G59" s="204">
        <v>0</v>
      </c>
      <c r="H59" s="204"/>
      <c r="I59" s="355"/>
      <c r="J59" s="204">
        <v>0</v>
      </c>
      <c r="K59" s="204">
        <v>0</v>
      </c>
      <c r="L59" s="204">
        <v>0</v>
      </c>
      <c r="M59" s="204">
        <v>0</v>
      </c>
      <c r="N59" s="204">
        <v>0</v>
      </c>
      <c r="P59" s="310">
        <f>'Revenue Allocation'!$AB57</f>
        <v>0</v>
      </c>
      <c r="Q59"/>
    </row>
    <row r="60" spans="1:17" hidden="1">
      <c r="A60" s="89"/>
      <c r="B60" s="77" t="s">
        <v>28</v>
      </c>
      <c r="C60" s="204">
        <v>0</v>
      </c>
      <c r="D60" s="204">
        <v>0</v>
      </c>
      <c r="E60" s="204">
        <v>0</v>
      </c>
      <c r="F60" s="204">
        <v>0</v>
      </c>
      <c r="G60" s="204">
        <v>0</v>
      </c>
      <c r="H60" s="204"/>
      <c r="I60" s="355"/>
      <c r="J60" s="204">
        <v>0</v>
      </c>
      <c r="K60" s="204">
        <v>0</v>
      </c>
      <c r="L60" s="204">
        <v>0</v>
      </c>
      <c r="M60" s="204">
        <v>0</v>
      </c>
      <c r="N60" s="204">
        <v>0</v>
      </c>
      <c r="P60" s="310">
        <f>'Revenue Allocation'!$AB58</f>
        <v>0</v>
      </c>
      <c r="Q60"/>
    </row>
    <row r="61" spans="1:17" hidden="1">
      <c r="A61" s="89" t="s">
        <v>54</v>
      </c>
      <c r="B61" s="77"/>
      <c r="C61" s="204">
        <v>0</v>
      </c>
      <c r="D61" s="204">
        <v>0</v>
      </c>
      <c r="E61" s="204">
        <v>0</v>
      </c>
      <c r="F61" s="204">
        <v>0</v>
      </c>
      <c r="G61" s="204">
        <v>0</v>
      </c>
      <c r="H61" s="204"/>
      <c r="I61" s="355"/>
      <c r="J61" s="204">
        <v>0</v>
      </c>
      <c r="K61" s="204">
        <v>0</v>
      </c>
      <c r="L61" s="204">
        <v>0</v>
      </c>
      <c r="M61" s="204">
        <v>0</v>
      </c>
      <c r="N61" s="204">
        <v>0</v>
      </c>
      <c r="P61" s="310">
        <f>'Revenue Allocation'!$AB59</f>
        <v>0</v>
      </c>
      <c r="Q61"/>
    </row>
    <row r="62" spans="1:17" hidden="1">
      <c r="A62" s="89"/>
      <c r="B62" s="77"/>
      <c r="C62" s="204">
        <v>0</v>
      </c>
      <c r="D62" s="204">
        <v>0</v>
      </c>
      <c r="E62" s="204">
        <v>0</v>
      </c>
      <c r="F62" s="204">
        <v>0</v>
      </c>
      <c r="G62" s="204">
        <v>0</v>
      </c>
      <c r="H62" s="204"/>
      <c r="I62" s="355"/>
      <c r="J62" s="204">
        <v>0</v>
      </c>
      <c r="K62" s="204">
        <v>0</v>
      </c>
      <c r="L62" s="204">
        <v>0</v>
      </c>
      <c r="M62" s="204">
        <v>0</v>
      </c>
      <c r="N62" s="204">
        <v>0</v>
      </c>
      <c r="P62" s="310">
        <f>'Revenue Allocation'!$AB60</f>
        <v>0</v>
      </c>
      <c r="Q62"/>
    </row>
    <row r="63" spans="1:17" hidden="1">
      <c r="A63" s="89" t="s">
        <v>55</v>
      </c>
      <c r="B63" s="77" t="s">
        <v>21</v>
      </c>
      <c r="C63" s="204">
        <v>0</v>
      </c>
      <c r="D63" s="204">
        <v>0</v>
      </c>
      <c r="E63" s="204">
        <v>0</v>
      </c>
      <c r="F63" s="204">
        <v>0</v>
      </c>
      <c r="G63" s="204">
        <v>0</v>
      </c>
      <c r="H63" s="204"/>
      <c r="I63" s="355"/>
      <c r="J63" s="204">
        <v>0</v>
      </c>
      <c r="K63" s="204">
        <v>0</v>
      </c>
      <c r="L63" s="204">
        <v>0</v>
      </c>
      <c r="M63" s="204">
        <v>0</v>
      </c>
      <c r="N63" s="204">
        <v>0</v>
      </c>
      <c r="P63" s="310">
        <f>'Revenue Allocation'!$AB61</f>
        <v>0</v>
      </c>
      <c r="Q63"/>
    </row>
    <row r="64" spans="1:17" hidden="1">
      <c r="A64" s="89"/>
      <c r="B64" s="77" t="s">
        <v>27</v>
      </c>
      <c r="C64" s="204">
        <v>0</v>
      </c>
      <c r="D64" s="204">
        <v>0</v>
      </c>
      <c r="E64" s="204">
        <v>0</v>
      </c>
      <c r="F64" s="204">
        <v>0</v>
      </c>
      <c r="G64" s="204">
        <v>0</v>
      </c>
      <c r="H64" s="204"/>
      <c r="I64" s="355"/>
      <c r="J64" s="204">
        <v>0</v>
      </c>
      <c r="K64" s="204">
        <v>0</v>
      </c>
      <c r="L64" s="204">
        <v>0</v>
      </c>
      <c r="M64" s="204">
        <v>0</v>
      </c>
      <c r="N64" s="204">
        <v>0</v>
      </c>
      <c r="P64" s="310">
        <f>'Revenue Allocation'!$AB62</f>
        <v>0</v>
      </c>
      <c r="Q64"/>
    </row>
    <row r="65" spans="1:17" hidden="1">
      <c r="A65" s="89"/>
      <c r="B65" s="77" t="s">
        <v>28</v>
      </c>
      <c r="C65" s="204">
        <v>0</v>
      </c>
      <c r="D65" s="204">
        <v>0</v>
      </c>
      <c r="E65" s="204">
        <v>0</v>
      </c>
      <c r="F65" s="204">
        <v>0</v>
      </c>
      <c r="G65" s="204">
        <v>0</v>
      </c>
      <c r="H65" s="204"/>
      <c r="I65" s="355"/>
      <c r="J65" s="204">
        <v>0</v>
      </c>
      <c r="K65" s="204">
        <v>0</v>
      </c>
      <c r="L65" s="204">
        <v>0</v>
      </c>
      <c r="M65" s="204">
        <v>0</v>
      </c>
      <c r="N65" s="204">
        <v>0</v>
      </c>
      <c r="P65" s="310">
        <f>'Revenue Allocation'!$AB63</f>
        <v>0</v>
      </c>
      <c r="Q65"/>
    </row>
    <row r="66" spans="1:17" hidden="1">
      <c r="A66" s="89" t="s">
        <v>56</v>
      </c>
      <c r="B66" s="77"/>
      <c r="C66" s="204">
        <v>0</v>
      </c>
      <c r="D66" s="204">
        <v>0</v>
      </c>
      <c r="E66" s="204">
        <v>0</v>
      </c>
      <c r="F66" s="204">
        <v>0</v>
      </c>
      <c r="G66" s="204">
        <v>0</v>
      </c>
      <c r="H66" s="204"/>
      <c r="I66" s="355"/>
      <c r="J66" s="204">
        <v>0</v>
      </c>
      <c r="K66" s="204">
        <v>0</v>
      </c>
      <c r="L66" s="204">
        <v>0</v>
      </c>
      <c r="M66" s="204">
        <v>0</v>
      </c>
      <c r="N66" s="204">
        <v>0</v>
      </c>
      <c r="P66" s="310">
        <f>'Revenue Allocation'!$AB64</f>
        <v>0</v>
      </c>
      <c r="Q66"/>
    </row>
    <row r="67" spans="1:17" hidden="1">
      <c r="A67" s="89"/>
      <c r="B67" s="77"/>
      <c r="C67" s="204">
        <v>0</v>
      </c>
      <c r="D67" s="204">
        <v>0</v>
      </c>
      <c r="E67" s="204">
        <v>0</v>
      </c>
      <c r="F67" s="204">
        <v>0</v>
      </c>
      <c r="G67" s="204">
        <v>0</v>
      </c>
      <c r="H67" s="204"/>
      <c r="I67" s="355"/>
      <c r="J67" s="204">
        <v>0</v>
      </c>
      <c r="K67" s="204">
        <v>0</v>
      </c>
      <c r="L67" s="204">
        <v>0</v>
      </c>
      <c r="M67" s="204">
        <v>0</v>
      </c>
      <c r="N67" s="204">
        <v>0</v>
      </c>
      <c r="P67" s="310">
        <f>'Revenue Allocation'!$AB65</f>
        <v>0</v>
      </c>
      <c r="Q67"/>
    </row>
    <row r="68" spans="1:17">
      <c r="A68" s="89"/>
      <c r="B68" s="77" t="s">
        <v>21</v>
      </c>
      <c r="C68" s="204">
        <v>3.0764780955505557</v>
      </c>
      <c r="D68" s="204">
        <v>2.9061625348715712</v>
      </c>
      <c r="E68" s="204">
        <v>2.1973165338357106</v>
      </c>
      <c r="F68" s="204">
        <v>2.9148916630528672</v>
      </c>
      <c r="G68" s="204">
        <v>1.0175908562042058</v>
      </c>
      <c r="H68" s="204"/>
      <c r="I68" s="353"/>
      <c r="J68" s="204">
        <v>5.7239410365581929</v>
      </c>
      <c r="K68" s="204">
        <v>5.1765399848436111</v>
      </c>
      <c r="L68" s="204">
        <v>2.8982804710105725</v>
      </c>
      <c r="M68" s="204">
        <v>5.2045957533708318</v>
      </c>
      <c r="N68" s="204">
        <v>-0.8934052334293896</v>
      </c>
      <c r="P68" s="310">
        <f>'Revenue Allocation'!$AB66</f>
        <v>3.8268823965418801</v>
      </c>
      <c r="Q68"/>
    </row>
    <row r="69" spans="1:17">
      <c r="A69" s="89"/>
      <c r="B69" s="77" t="s">
        <v>27</v>
      </c>
      <c r="C69" s="204">
        <v>3.0764780955505553</v>
      </c>
      <c r="D69" s="204">
        <v>2.9061625348715707</v>
      </c>
      <c r="E69" s="204">
        <v>2.1973165338357106</v>
      </c>
      <c r="F69" s="204">
        <v>3.0292011400353323</v>
      </c>
      <c r="G69" s="204">
        <v>1.911499091089828</v>
      </c>
      <c r="H69" s="204"/>
      <c r="I69" s="353"/>
      <c r="J69" s="204">
        <v>4.8322989773907228</v>
      </c>
      <c r="K69" s="204">
        <v>4.284897925676141</v>
      </c>
      <c r="L69" s="204">
        <v>2.0066384118431038</v>
      </c>
      <c r="M69" s="204">
        <v>4.680348943772394</v>
      </c>
      <c r="N69" s="204">
        <v>1.0880096727323982</v>
      </c>
      <c r="P69" s="310">
        <f>'Revenue Allocation'!$AB67</f>
        <v>3.8268823965418792</v>
      </c>
      <c r="Q69"/>
    </row>
    <row r="70" spans="1:17">
      <c r="A70" s="89"/>
      <c r="B70" s="77" t="s">
        <v>28</v>
      </c>
      <c r="C70" s="205">
        <v>3.0764780955505557</v>
      </c>
      <c r="D70" s="205">
        <v>2.9061625348715712</v>
      </c>
      <c r="E70" s="205">
        <v>2.1973165338357106</v>
      </c>
      <c r="F70" s="205">
        <v>3.1006445631493733</v>
      </c>
      <c r="G70" s="205">
        <v>1.0111716752360678</v>
      </c>
      <c r="H70" s="205"/>
      <c r="I70" s="354"/>
      <c r="J70" s="205">
        <v>6.0055980687452406</v>
      </c>
      <c r="K70" s="205">
        <v>5.4581970170306588</v>
      </c>
      <c r="L70" s="205">
        <v>3.1799375031976198</v>
      </c>
      <c r="M70" s="205">
        <v>6.0832700661075565</v>
      </c>
      <c r="N70" s="205">
        <v>-0.63237970666144006</v>
      </c>
      <c r="P70" s="310">
        <f>'Revenue Allocation'!$AB68</f>
        <v>3.8268823965418801</v>
      </c>
      <c r="Q70"/>
    </row>
    <row r="71" spans="1:17">
      <c r="A71" s="188" t="s">
        <v>57</v>
      </c>
      <c r="B71" s="189"/>
      <c r="C71" s="204">
        <v>3.0764780955505557</v>
      </c>
      <c r="D71" s="204">
        <v>2.9061625348715707</v>
      </c>
      <c r="E71" s="204">
        <v>2.1973165338357106</v>
      </c>
      <c r="F71" s="204">
        <v>2.9435267111901857</v>
      </c>
      <c r="G71" s="204">
        <v>1.1770418229906745</v>
      </c>
      <c r="H71" s="204"/>
      <c r="I71" s="353"/>
      <c r="J71" s="204">
        <v>5.5770583539534107</v>
      </c>
      <c r="K71" s="204">
        <v>5.0296573022388289</v>
      </c>
      <c r="L71" s="204">
        <v>2.7513977884057903</v>
      </c>
      <c r="M71" s="204">
        <v>5.14974726543256</v>
      </c>
      <c r="N71" s="204">
        <v>-0.52780610540070794</v>
      </c>
      <c r="P71" s="310">
        <f>'Revenue Allocation'!$AB69</f>
        <v>3.8268823965418801</v>
      </c>
      <c r="Q71"/>
    </row>
    <row r="72" spans="1:17">
      <c r="A72" s="81"/>
      <c r="B72" s="77"/>
      <c r="C72" s="204">
        <v>0</v>
      </c>
      <c r="D72" s="204">
        <v>0</v>
      </c>
      <c r="E72" s="204">
        <v>0</v>
      </c>
      <c r="F72" s="204">
        <v>0</v>
      </c>
      <c r="G72" s="204">
        <v>0</v>
      </c>
      <c r="H72" s="204"/>
      <c r="I72" s="355"/>
      <c r="J72" s="204">
        <v>0</v>
      </c>
      <c r="K72" s="204">
        <v>0</v>
      </c>
      <c r="L72" s="204">
        <v>0</v>
      </c>
      <c r="M72" s="204">
        <v>0</v>
      </c>
      <c r="N72" s="204">
        <v>0</v>
      </c>
      <c r="P72" s="310">
        <f>'Revenue Allocation'!$AB70</f>
        <v>0</v>
      </c>
      <c r="Q72"/>
    </row>
    <row r="73" spans="1:17">
      <c r="A73" s="89" t="s">
        <v>100</v>
      </c>
      <c r="B73" s="73" t="s">
        <v>28</v>
      </c>
      <c r="C73" s="204">
        <v>3.0764780955505557</v>
      </c>
      <c r="D73" s="204">
        <v>2.9953662314185179</v>
      </c>
      <c r="E73" s="204">
        <v>3.7552023303118229</v>
      </c>
      <c r="F73" s="204">
        <v>3.1006445631493729</v>
      </c>
      <c r="G73" s="204">
        <v>3.8718607826261628</v>
      </c>
      <c r="H73" s="204"/>
      <c r="I73" s="353"/>
      <c r="J73" s="204">
        <v>5.5723388148701258E-2</v>
      </c>
      <c r="K73" s="204">
        <v>-0.20497340053812624</v>
      </c>
      <c r="L73" s="204">
        <v>2.2371703355170065</v>
      </c>
      <c r="M73" s="204">
        <v>0.13339538551101621</v>
      </c>
      <c r="N73" s="204">
        <v>2.6121152861350407</v>
      </c>
      <c r="P73" s="310">
        <f>'Revenue Allocation'!$AB71</f>
        <v>3.8268823965418801</v>
      </c>
      <c r="Q73"/>
    </row>
    <row r="74" spans="1:17">
      <c r="A74" s="89" t="s">
        <v>59</v>
      </c>
      <c r="B74" s="73" t="s">
        <v>28</v>
      </c>
      <c r="C74" s="204">
        <v>3.0764780955505557</v>
      </c>
      <c r="D74" s="204">
        <v>2.7786168985807618</v>
      </c>
      <c r="E74" s="204">
        <v>3.8848499949665509</v>
      </c>
      <c r="F74" s="204">
        <v>3.1006445631493733</v>
      </c>
      <c r="G74" s="204">
        <v>3.0380881631496268</v>
      </c>
      <c r="H74" s="204"/>
      <c r="I74" s="353"/>
      <c r="J74" s="204">
        <v>2.3186403636813231</v>
      </c>
      <c r="K74" s="204">
        <v>1.3613025148305689</v>
      </c>
      <c r="L74" s="204">
        <v>4.9167801117626668</v>
      </c>
      <c r="M74" s="204">
        <v>2.3963123610436399</v>
      </c>
      <c r="N74" s="204">
        <v>2.1952535792457608</v>
      </c>
      <c r="P74" s="310">
        <f>'Revenue Allocation'!$AB72</f>
        <v>3.8268823965418806</v>
      </c>
      <c r="Q74"/>
    </row>
    <row r="75" spans="1:17">
      <c r="A75" s="89" t="s">
        <v>60</v>
      </c>
      <c r="B75" s="73" t="s">
        <v>28</v>
      </c>
      <c r="C75" s="204">
        <v>3.0764780955505557</v>
      </c>
      <c r="D75" s="204">
        <v>2.9272897261590063</v>
      </c>
      <c r="E75" s="204">
        <v>3.9577768063348362</v>
      </c>
      <c r="F75" s="204">
        <v>3.1006445631493733</v>
      </c>
      <c r="G75" s="204">
        <v>3.9372911072187931</v>
      </c>
      <c r="H75" s="204"/>
      <c r="I75" s="353"/>
      <c r="J75" s="204">
        <v>2.0268174470514904</v>
      </c>
      <c r="K75" s="204">
        <v>1.5473200365803255</v>
      </c>
      <c r="L75" s="204">
        <v>4.8593468955339185</v>
      </c>
      <c r="M75" s="204">
        <v>2.1044894444138067</v>
      </c>
      <c r="N75" s="204">
        <v>4.7935050358910036</v>
      </c>
      <c r="P75" s="310">
        <f>'Revenue Allocation'!$AB73</f>
        <v>3.8268823965418801</v>
      </c>
      <c r="Q75"/>
    </row>
    <row r="76" spans="1:17">
      <c r="A76" s="89" t="s">
        <v>61</v>
      </c>
      <c r="B76" s="73" t="s">
        <v>28</v>
      </c>
      <c r="C76" s="204">
        <v>3.0764780955505557</v>
      </c>
      <c r="D76" s="204">
        <v>2.7496648216313138</v>
      </c>
      <c r="E76" s="204">
        <v>3.7555546337483849</v>
      </c>
      <c r="F76" s="204">
        <v>3.1006445631493733</v>
      </c>
      <c r="G76" s="204">
        <v>2.8828480463173123</v>
      </c>
      <c r="H76" s="204"/>
      <c r="I76" s="353"/>
      <c r="J76" s="204">
        <v>2.5043254243427668</v>
      </c>
      <c r="K76" s="204">
        <v>1.4539344374917773</v>
      </c>
      <c r="L76" s="204">
        <v>4.6869046891043125</v>
      </c>
      <c r="M76" s="204">
        <v>2.5819974217050832</v>
      </c>
      <c r="N76" s="204">
        <v>1.8819906701296603</v>
      </c>
      <c r="P76" s="310">
        <f>'Revenue Allocation'!$AB74</f>
        <v>3.8268823965418801</v>
      </c>
      <c r="Q76"/>
    </row>
    <row r="77" spans="1:17">
      <c r="A77" s="89" t="s">
        <v>62</v>
      </c>
      <c r="B77" s="73" t="s">
        <v>28</v>
      </c>
      <c r="C77" s="204">
        <v>3.0761099365011297</v>
      </c>
      <c r="D77" s="204">
        <v>2.9574528224687611</v>
      </c>
      <c r="E77" s="204">
        <v>3.6730283328047184</v>
      </c>
      <c r="F77" s="204">
        <v>3.1002735121229974</v>
      </c>
      <c r="G77" s="204">
        <v>3.4687256850031996</v>
      </c>
      <c r="H77" s="204"/>
      <c r="I77" s="353"/>
      <c r="J77" s="204">
        <v>2.9906753194076385</v>
      </c>
      <c r="K77" s="204">
        <v>2.6093065897637246</v>
      </c>
      <c r="L77" s="204">
        <v>4.9091950167372351</v>
      </c>
      <c r="M77" s="204">
        <v>3.068338021839899</v>
      </c>
      <c r="N77" s="204">
        <v>4.2525581021254464</v>
      </c>
      <c r="P77" s="310">
        <f>'Revenue Allocation'!$AB75</f>
        <v>3.8268823965418801</v>
      </c>
      <c r="Q77"/>
    </row>
    <row r="78" spans="1:17">
      <c r="A78" s="89" t="s">
        <v>63</v>
      </c>
      <c r="B78" s="73"/>
      <c r="C78" s="204">
        <v>3.0888869377900736</v>
      </c>
      <c r="D78" s="204">
        <v>2.9540240728235565</v>
      </c>
      <c r="E78" s="204">
        <v>3.7558460756648198</v>
      </c>
      <c r="F78" s="204">
        <v>3.1131508797978116</v>
      </c>
      <c r="G78" s="204">
        <v>4.5207372648890898</v>
      </c>
      <c r="H78" s="204"/>
      <c r="I78" s="353"/>
      <c r="J78" s="204">
        <v>0.54758250153168864</v>
      </c>
      <c r="K78" s="204">
        <v>0.11412783757964713</v>
      </c>
      <c r="L78" s="204">
        <v>2.6912159550328982</v>
      </c>
      <c r="M78" s="204">
        <v>0.62556778555874393</v>
      </c>
      <c r="N78" s="204">
        <v>5.1496069544188181</v>
      </c>
      <c r="P78" s="310">
        <f>'Revenue Allocation'!$AB76</f>
        <v>3.8268823965418801</v>
      </c>
      <c r="Q78"/>
    </row>
    <row r="79" spans="1:17">
      <c r="A79" s="89" t="s">
        <v>64</v>
      </c>
      <c r="B79" s="73" t="s">
        <v>28</v>
      </c>
      <c r="C79" s="204">
        <v>3.0764780955505557</v>
      </c>
      <c r="D79" s="204">
        <v>2.9398095432182263</v>
      </c>
      <c r="E79" s="204">
        <v>3.5286712206026096</v>
      </c>
      <c r="F79" s="204">
        <v>3.1006445631493729</v>
      </c>
      <c r="G79" s="204">
        <v>3.9430850397444797</v>
      </c>
      <c r="H79" s="204"/>
      <c r="I79" s="353"/>
      <c r="J79" s="204">
        <v>1.2620281216436895</v>
      </c>
      <c r="K79" s="204">
        <v>0.82276990598343791</v>
      </c>
      <c r="L79" s="204">
        <v>2.7153949851574168</v>
      </c>
      <c r="M79" s="204">
        <v>1.3397001190060069</v>
      </c>
      <c r="N79" s="204">
        <v>4.0473376422989444</v>
      </c>
      <c r="P79" s="310">
        <f>'Revenue Allocation'!$AB77</f>
        <v>3.8268823965418801</v>
      </c>
      <c r="Q79"/>
    </row>
    <row r="80" spans="1:17">
      <c r="A80" s="89" t="s">
        <v>65</v>
      </c>
      <c r="B80" s="73" t="s">
        <v>28</v>
      </c>
      <c r="C80" s="204">
        <v>3.0764780955505557</v>
      </c>
      <c r="D80" s="204">
        <v>2.9398095432182263</v>
      </c>
      <c r="E80" s="204">
        <v>3.5286712206026096</v>
      </c>
      <c r="F80" s="204">
        <v>3.1006445631493729</v>
      </c>
      <c r="G80" s="204">
        <v>3.9430850397444801</v>
      </c>
      <c r="H80" s="204"/>
      <c r="I80" s="353"/>
      <c r="J80" s="204">
        <v>1.9396644908269298</v>
      </c>
      <c r="K80" s="204">
        <v>1.5004062751666769</v>
      </c>
      <c r="L80" s="204">
        <v>3.3930313543406561</v>
      </c>
      <c r="M80" s="204">
        <v>2.0173364881892462</v>
      </c>
      <c r="N80" s="204">
        <v>4.7249740114821854</v>
      </c>
      <c r="P80" s="310">
        <f>'Revenue Allocation'!$AB78</f>
        <v>3.8268823965418801</v>
      </c>
      <c r="Q80"/>
    </row>
    <row r="81" spans="1:17" hidden="1">
      <c r="A81" s="89" t="s">
        <v>66</v>
      </c>
      <c r="B81" s="73" t="s">
        <v>28</v>
      </c>
      <c r="C81" s="204">
        <v>0</v>
      </c>
      <c r="D81" s="204">
        <v>0</v>
      </c>
      <c r="E81" s="204">
        <v>0</v>
      </c>
      <c r="F81" s="204">
        <v>0</v>
      </c>
      <c r="G81" s="204">
        <v>0</v>
      </c>
      <c r="H81" s="204"/>
      <c r="I81" s="353"/>
      <c r="J81" s="204">
        <v>0</v>
      </c>
      <c r="K81" s="204">
        <v>0</v>
      </c>
      <c r="L81" s="204">
        <v>0</v>
      </c>
      <c r="M81" s="204">
        <v>0</v>
      </c>
      <c r="N81" s="204">
        <v>0</v>
      </c>
      <c r="P81" s="310">
        <f>'Revenue Allocation'!$AB79</f>
        <v>0</v>
      </c>
      <c r="Q81"/>
    </row>
    <row r="82" spans="1:17" hidden="1">
      <c r="A82" s="89" t="s">
        <v>66</v>
      </c>
      <c r="B82" s="73" t="s">
        <v>27</v>
      </c>
      <c r="C82" s="204">
        <v>0</v>
      </c>
      <c r="D82" s="204">
        <v>0</v>
      </c>
      <c r="E82" s="204">
        <v>0</v>
      </c>
      <c r="F82" s="204">
        <v>0</v>
      </c>
      <c r="G82" s="204">
        <v>0</v>
      </c>
      <c r="H82" s="204"/>
      <c r="I82" s="353"/>
      <c r="J82" s="204">
        <v>0</v>
      </c>
      <c r="K82" s="204">
        <v>0</v>
      </c>
      <c r="L82" s="204">
        <v>0</v>
      </c>
      <c r="M82" s="204">
        <v>0</v>
      </c>
      <c r="N82" s="204">
        <v>0</v>
      </c>
      <c r="P82" s="310">
        <f>'Revenue Allocation'!$AB80</f>
        <v>0</v>
      </c>
      <c r="Q82"/>
    </row>
    <row r="83" spans="1:17">
      <c r="A83" s="89" t="s">
        <v>67</v>
      </c>
      <c r="B83" s="73"/>
      <c r="C83" s="204">
        <v>3.0764780955505557</v>
      </c>
      <c r="D83" s="204">
        <v>2.9396726838419482</v>
      </c>
      <c r="E83" s="204">
        <v>3.5285048834377579</v>
      </c>
      <c r="F83" s="204">
        <v>3.1005762809154014</v>
      </c>
      <c r="G83" s="204">
        <v>3.9430850397444797</v>
      </c>
      <c r="H83" s="204"/>
      <c r="I83" s="353"/>
      <c r="J83" s="204">
        <v>1.6755074411228037</v>
      </c>
      <c r="K83" s="204">
        <v>1.2358093539310682</v>
      </c>
      <c r="L83" s="204">
        <v>3.1283396903087728</v>
      </c>
      <c r="M83" s="204">
        <v>1.7529599766429913</v>
      </c>
      <c r="N83" s="204">
        <v>4.4608169617780602</v>
      </c>
      <c r="P83" s="310">
        <f>'Revenue Allocation'!$AB81</f>
        <v>3.8268823965418801</v>
      </c>
      <c r="Q83"/>
    </row>
    <row r="84" spans="1:17">
      <c r="A84" s="89" t="s">
        <v>68</v>
      </c>
      <c r="B84" s="73" t="s">
        <v>28</v>
      </c>
      <c r="C84" s="204">
        <v>3.0764780955505557</v>
      </c>
      <c r="D84" s="204">
        <v>2.9398095432182263</v>
      </c>
      <c r="E84" s="204">
        <v>3.5286712206026096</v>
      </c>
      <c r="F84" s="204">
        <v>3.1006445631493733</v>
      </c>
      <c r="G84" s="204">
        <v>3.9430850397444797</v>
      </c>
      <c r="H84" s="204"/>
      <c r="I84" s="353"/>
      <c r="J84" s="204">
        <v>2.8444713265369987</v>
      </c>
      <c r="K84" s="204">
        <v>2.4052131108767458</v>
      </c>
      <c r="L84" s="204">
        <v>4.2978381900507259</v>
      </c>
      <c r="M84" s="204">
        <v>2.9221433238993151</v>
      </c>
      <c r="N84" s="204">
        <v>5.6297808471922517</v>
      </c>
      <c r="P84" s="310">
        <f>'Revenue Allocation'!$AB82</f>
        <v>3.8268823965418801</v>
      </c>
      <c r="Q84"/>
    </row>
    <row r="85" spans="1:17" hidden="1">
      <c r="A85" s="105" t="s">
        <v>69</v>
      </c>
      <c r="B85" s="73" t="s">
        <v>28</v>
      </c>
      <c r="C85" s="204">
        <v>3.0796377581399708</v>
      </c>
      <c r="D85" s="204">
        <v>3.0086253877314553</v>
      </c>
      <c r="E85" s="204">
        <v>3.7089806013171862</v>
      </c>
      <c r="F85" s="204">
        <v>3.1038290456403836</v>
      </c>
      <c r="G85" s="204">
        <v>4.0473720455749662</v>
      </c>
      <c r="H85" s="204"/>
      <c r="I85" s="353"/>
      <c r="J85" s="204">
        <v>3.8191354353004998</v>
      </c>
      <c r="K85" s="204">
        <v>6.0701052172878001</v>
      </c>
      <c r="L85" s="204">
        <v>4.1251238150977496</v>
      </c>
      <c r="M85" s="204" t="e">
        <v>#VALUE!</v>
      </c>
      <c r="N85" s="204" t="e">
        <v>#VALUE!</v>
      </c>
      <c r="P85" s="310">
        <f>'Revenue Allocation'!$AB83</f>
        <v>3.8308127535172583</v>
      </c>
      <c r="Q85"/>
    </row>
    <row r="86" spans="1:17" hidden="1">
      <c r="A86" s="105" t="s">
        <v>69</v>
      </c>
      <c r="B86" s="73" t="s">
        <v>27</v>
      </c>
      <c r="C86" s="204">
        <v>3.0764780955505557</v>
      </c>
      <c r="D86" s="204">
        <v>2.8592132208994938</v>
      </c>
      <c r="E86" s="204">
        <v>3.5216251518713744</v>
      </c>
      <c r="F86" s="204">
        <v>3.0292011400353323</v>
      </c>
      <c r="G86" s="204">
        <v>4.0519957370678963</v>
      </c>
      <c r="H86" s="204"/>
      <c r="I86" s="353"/>
      <c r="J86" s="204">
        <v>3.3536977048123937</v>
      </c>
      <c r="K86" s="204">
        <v>5.4827162527167825</v>
      </c>
      <c r="L86" s="204">
        <v>3.9000457034495679</v>
      </c>
      <c r="M86" s="204" t="e">
        <v>#VALUE!</v>
      </c>
      <c r="N86" s="204" t="e">
        <v>#VALUE!</v>
      </c>
      <c r="P86" s="310">
        <f>'Revenue Allocation'!$AB84</f>
        <v>3.8268823965418801</v>
      </c>
      <c r="Q86"/>
    </row>
    <row r="87" spans="1:17" hidden="1">
      <c r="A87" s="105" t="s">
        <v>69</v>
      </c>
      <c r="B87" s="73" t="s">
        <v>21</v>
      </c>
      <c r="C87" s="204">
        <v>3.0764780955505557</v>
      </c>
      <c r="D87" s="204">
        <v>2.7997440898681965</v>
      </c>
      <c r="E87" s="204">
        <v>3.4448230027009106</v>
      </c>
      <c r="F87" s="204">
        <v>2.9148916630528672</v>
      </c>
      <c r="G87" s="204">
        <v>4.0519957370678963</v>
      </c>
      <c r="H87" s="204"/>
      <c r="I87" s="353"/>
      <c r="J87" s="204">
        <v>3.1625615294605578</v>
      </c>
      <c r="K87" s="204">
        <v>5.2358710609900374</v>
      </c>
      <c r="L87" s="204">
        <v>3.5326504538805348</v>
      </c>
      <c r="M87" s="204" t="e">
        <v>#VALUE!</v>
      </c>
      <c r="N87" s="204" t="e">
        <v>#VALUE!</v>
      </c>
      <c r="P87" s="310">
        <f>'Revenue Allocation'!$AB85</f>
        <v>3.8268823965418801</v>
      </c>
      <c r="Q87"/>
    </row>
    <row r="88" spans="1:17">
      <c r="A88" s="105" t="s">
        <v>70</v>
      </c>
      <c r="B88" s="72"/>
      <c r="C88" s="204">
        <v>3.0764780955505557</v>
      </c>
      <c r="D88" s="204">
        <v>2.9929785590847433</v>
      </c>
      <c r="E88" s="204">
        <v>3.6893471577529202</v>
      </c>
      <c r="F88" s="204">
        <v>3.0916946674711419</v>
      </c>
      <c r="G88" s="204">
        <v>3.4570232721673624</v>
      </c>
      <c r="H88" s="204"/>
      <c r="I88" s="353"/>
      <c r="J88" s="204">
        <v>4.0438549731005917</v>
      </c>
      <c r="K88" s="204">
        <v>3.7754841096466256</v>
      </c>
      <c r="L88" s="204">
        <v>6.0136407511906809</v>
      </c>
      <c r="M88" s="204">
        <v>4.0927616463347531</v>
      </c>
      <c r="N88" s="204">
        <v>5.266942453037796</v>
      </c>
      <c r="P88" s="310">
        <f>'Revenue Allocation'!$AB86</f>
        <v>3.8268823965418801</v>
      </c>
      <c r="Q88"/>
    </row>
    <row r="89" spans="1:17">
      <c r="A89" s="89" t="s">
        <v>101</v>
      </c>
      <c r="B89" s="73" t="s">
        <v>28</v>
      </c>
      <c r="C89" s="205">
        <v>3.0764780955505553</v>
      </c>
      <c r="D89" s="205">
        <v>3.0055385827791343</v>
      </c>
      <c r="E89" s="205">
        <v>3.7051752423200526</v>
      </c>
      <c r="F89" s="205">
        <v>3.1006445631493733</v>
      </c>
      <c r="G89" s="205">
        <v>3.4570232721673628</v>
      </c>
      <c r="H89" s="205"/>
      <c r="I89" s="354"/>
      <c r="J89" s="205">
        <v>4.1323321602970005</v>
      </c>
      <c r="K89" s="205">
        <v>3.9043297173940408</v>
      </c>
      <c r="L89" s="205">
        <v>6.1529900378249458</v>
      </c>
      <c r="M89" s="205">
        <v>4.2100041576593163</v>
      </c>
      <c r="N89" s="205">
        <v>5.3554196402342074</v>
      </c>
      <c r="P89" s="310">
        <f>'Revenue Allocation'!$AB87</f>
        <v>3.8268823965418801</v>
      </c>
      <c r="Q89"/>
    </row>
    <row r="90" spans="1:17">
      <c r="A90" s="190" t="s">
        <v>72</v>
      </c>
      <c r="B90" s="72"/>
      <c r="C90" s="204">
        <v>3.0764111336314595</v>
      </c>
      <c r="D90" s="204">
        <v>2.8974393773932952</v>
      </c>
      <c r="E90" s="204">
        <v>3.7622223356035764</v>
      </c>
      <c r="F90" s="204">
        <v>3.1005770752284665</v>
      </c>
      <c r="G90" s="204">
        <v>3.457571440138608</v>
      </c>
      <c r="H90" s="204"/>
      <c r="I90" s="353"/>
      <c r="J90" s="204">
        <v>1.5908932823588253</v>
      </c>
      <c r="K90" s="204">
        <v>1.015670870493407</v>
      </c>
      <c r="L90" s="204">
        <v>3.7951180269478906</v>
      </c>
      <c r="M90" s="204">
        <v>1.6685635891301989</v>
      </c>
      <c r="N90" s="204">
        <v>2.8159578144665529</v>
      </c>
      <c r="P90" s="310">
        <f>'Revenue Allocation'!$AB88</f>
        <v>3.8268823965418801</v>
      </c>
      <c r="Q90"/>
    </row>
    <row r="91" spans="1:17">
      <c r="A91" s="190" t="s">
        <v>73</v>
      </c>
      <c r="B91" s="72"/>
      <c r="C91" s="205">
        <v>3.077516587665158</v>
      </c>
      <c r="D91" s="205">
        <v>2.9821673135219813</v>
      </c>
      <c r="E91" s="205">
        <v>3.6709566619142273</v>
      </c>
      <c r="F91" s="205">
        <v>3.095333651484951</v>
      </c>
      <c r="G91" s="205">
        <v>3.6209766881179037</v>
      </c>
      <c r="H91" s="205"/>
      <c r="I91" s="354"/>
      <c r="J91" s="205">
        <v>3.4036240547144354</v>
      </c>
      <c r="K91" s="205">
        <v>3.0971676584925203</v>
      </c>
      <c r="L91" s="205">
        <v>5.3109642852750794</v>
      </c>
      <c r="M91" s="205">
        <v>3.4608888133456444</v>
      </c>
      <c r="N91" s="205">
        <v>5.1503266423509428</v>
      </c>
      <c r="P91" s="310">
        <f>'Revenue Allocation'!$AB89</f>
        <v>3.8268823965418801</v>
      </c>
      <c r="Q91"/>
    </row>
    <row r="92" spans="1:17">
      <c r="A92" s="188" t="s">
        <v>74</v>
      </c>
      <c r="B92" s="189"/>
      <c r="C92" s="204">
        <v>3.0773681646276483</v>
      </c>
      <c r="D92" s="204">
        <v>2.9707913745333254</v>
      </c>
      <c r="E92" s="204">
        <v>3.6832103858108143</v>
      </c>
      <c r="F92" s="204">
        <v>3.0960376562243948</v>
      </c>
      <c r="G92" s="204">
        <v>3.5990371931133831</v>
      </c>
      <c r="H92" s="204"/>
      <c r="I92" s="353"/>
      <c r="J92" s="204">
        <v>3.1602389846726404</v>
      </c>
      <c r="K92" s="204">
        <v>2.8176969012986035</v>
      </c>
      <c r="L92" s="204">
        <v>5.1074402135365427</v>
      </c>
      <c r="M92" s="204">
        <v>3.2202434804115727</v>
      </c>
      <c r="N92" s="204">
        <v>4.8369041919008282</v>
      </c>
      <c r="P92" s="310">
        <f>'Revenue Allocation'!$AB90</f>
        <v>3.8268823965418801</v>
      </c>
      <c r="Q92"/>
    </row>
    <row r="93" spans="1:17">
      <c r="A93" s="81"/>
      <c r="B93" s="77"/>
      <c r="C93" s="204">
        <v>0</v>
      </c>
      <c r="D93" s="204">
        <v>0</v>
      </c>
      <c r="E93" s="204">
        <v>0</v>
      </c>
      <c r="F93" s="204">
        <v>0</v>
      </c>
      <c r="G93" s="204">
        <v>0</v>
      </c>
      <c r="H93" s="204"/>
      <c r="I93" s="355"/>
      <c r="J93" s="204">
        <v>0</v>
      </c>
      <c r="K93" s="204">
        <v>0</v>
      </c>
      <c r="L93" s="204">
        <v>0</v>
      </c>
      <c r="M93" s="204">
        <v>0</v>
      </c>
      <c r="N93" s="204">
        <v>0</v>
      </c>
      <c r="P93" s="310">
        <f>'Revenue Allocation'!$AB91</f>
        <v>0</v>
      </c>
      <c r="Q93"/>
    </row>
    <row r="94" spans="1:17">
      <c r="A94" s="81" t="s">
        <v>102</v>
      </c>
      <c r="B94" s="77"/>
      <c r="C94" s="204">
        <v>0</v>
      </c>
      <c r="D94" s="204">
        <v>0</v>
      </c>
      <c r="E94" s="204">
        <v>0</v>
      </c>
      <c r="F94" s="204">
        <v>0</v>
      </c>
      <c r="G94" s="204">
        <v>0</v>
      </c>
      <c r="H94" s="204"/>
      <c r="I94" s="355"/>
      <c r="J94" s="204">
        <v>0</v>
      </c>
      <c r="K94" s="204">
        <v>0</v>
      </c>
      <c r="L94" s="204">
        <v>0</v>
      </c>
      <c r="M94" s="204">
        <v>0</v>
      </c>
      <c r="N94" s="204">
        <v>0</v>
      </c>
      <c r="P94" s="310">
        <f>'Revenue Allocation'!$AB92</f>
        <v>0</v>
      </c>
      <c r="Q94"/>
    </row>
    <row r="95" spans="1:17">
      <c r="A95" s="89" t="s">
        <v>103</v>
      </c>
      <c r="B95" s="77" t="s">
        <v>21</v>
      </c>
      <c r="C95" s="204">
        <v>3.0764780955505557</v>
      </c>
      <c r="D95" s="204">
        <v>2.8177413268908258</v>
      </c>
      <c r="E95" s="204">
        <v>2.7416253433236326</v>
      </c>
      <c r="F95" s="204">
        <v>2.9148916630528672</v>
      </c>
      <c r="G95" s="204">
        <v>1.9559113900419545</v>
      </c>
      <c r="H95" s="204"/>
      <c r="I95" s="353"/>
      <c r="J95" s="204">
        <v>4.6153272036538544</v>
      </c>
      <c r="K95" s="204">
        <v>3.7837368385872039</v>
      </c>
      <c r="L95" s="204">
        <v>3.5390970106650528</v>
      </c>
      <c r="M95" s="204">
        <v>4.0959819204664933</v>
      </c>
      <c r="N95" s="204">
        <v>1.0137808113784978</v>
      </c>
      <c r="P95" s="310">
        <f>'Revenue Allocation'!$AB93</f>
        <v>3.8268823965418801</v>
      </c>
      <c r="Q95"/>
    </row>
    <row r="96" spans="1:17">
      <c r="A96" s="89" t="s">
        <v>104</v>
      </c>
      <c r="B96" s="77" t="s">
        <v>21</v>
      </c>
      <c r="C96" s="205">
        <v>3.0765818627635224</v>
      </c>
      <c r="D96" s="205">
        <v>2.8178363671138582</v>
      </c>
      <c r="E96" s="205">
        <v>2.7417178162137503</v>
      </c>
      <c r="F96" s="205">
        <v>2.9149899800811641</v>
      </c>
      <c r="G96" s="205">
        <v>1.9559773614116347</v>
      </c>
      <c r="H96" s="205"/>
      <c r="I96" s="354"/>
      <c r="J96" s="205">
        <v>5.7029298910146515</v>
      </c>
      <c r="K96" s="205">
        <v>4.8713114770518837</v>
      </c>
      <c r="L96" s="205">
        <v>4.6266633976186435</v>
      </c>
      <c r="M96" s="205">
        <v>5.1835670907148881</v>
      </c>
      <c r="N96" s="205">
        <v>2.1012620213811299</v>
      </c>
      <c r="P96" s="310">
        <f>'Revenue Allocation'!$AB94</f>
        <v>3.8268823965418801</v>
      </c>
      <c r="Q96"/>
    </row>
    <row r="97" spans="1:17">
      <c r="A97" s="105" t="s">
        <v>3</v>
      </c>
      <c r="B97" s="189" t="s">
        <v>21</v>
      </c>
      <c r="C97" s="204">
        <v>3.0764780955505646</v>
      </c>
      <c r="D97" s="204">
        <v>2.8177413268908342</v>
      </c>
      <c r="E97" s="204">
        <v>2.7416253433236411</v>
      </c>
      <c r="F97" s="204">
        <v>2.9148916630528756</v>
      </c>
      <c r="G97" s="204">
        <v>1.95591139004196</v>
      </c>
      <c r="H97" s="204"/>
      <c r="I97" s="353"/>
      <c r="J97" s="204">
        <v>5.0731502990421822</v>
      </c>
      <c r="K97" s="204">
        <v>4.2415599339755303</v>
      </c>
      <c r="L97" s="204">
        <v>3.9969201060533788</v>
      </c>
      <c r="M97" s="204">
        <v>4.5538050158548193</v>
      </c>
      <c r="N97" s="204">
        <v>1.4716039067668147</v>
      </c>
      <c r="P97" s="310">
        <f>'Revenue Allocation'!$AB95</f>
        <v>3.8268823965418801</v>
      </c>
      <c r="Q97"/>
    </row>
    <row r="98" spans="1:17">
      <c r="A98" s="89"/>
      <c r="B98" s="77"/>
      <c r="C98" s="204">
        <v>0</v>
      </c>
      <c r="D98" s="204">
        <v>0</v>
      </c>
      <c r="E98" s="204">
        <v>0</v>
      </c>
      <c r="F98" s="204">
        <v>0</v>
      </c>
      <c r="G98" s="204">
        <v>0</v>
      </c>
      <c r="H98" s="204"/>
      <c r="I98" s="355"/>
      <c r="J98" s="204">
        <v>0</v>
      </c>
      <c r="K98" s="204">
        <v>0</v>
      </c>
      <c r="L98" s="204">
        <v>0</v>
      </c>
      <c r="M98" s="204">
        <v>0</v>
      </c>
      <c r="N98" s="204">
        <v>0</v>
      </c>
      <c r="P98" s="310">
        <f>'Revenue Allocation'!$AB96</f>
        <v>0</v>
      </c>
      <c r="Q98"/>
    </row>
    <row r="99" spans="1:17">
      <c r="A99" s="89" t="s">
        <v>103</v>
      </c>
      <c r="B99" s="77" t="s">
        <v>27</v>
      </c>
      <c r="C99" s="204">
        <v>3.0764780955505557</v>
      </c>
      <c r="D99" s="204">
        <v>2.9061625348715712</v>
      </c>
      <c r="E99" s="204">
        <v>2.8370995746318708</v>
      </c>
      <c r="F99" s="204">
        <v>3.0292011400353323</v>
      </c>
      <c r="G99" s="204">
        <v>2.2886878153450847</v>
      </c>
      <c r="H99" s="204"/>
      <c r="I99" s="353"/>
      <c r="J99" s="204">
        <v>3.750468914982648</v>
      </c>
      <c r="K99" s="204">
        <v>3.203067863268068</v>
      </c>
      <c r="L99" s="204">
        <v>2.9810967355624158</v>
      </c>
      <c r="M99" s="204">
        <v>3.5985188813643196</v>
      </c>
      <c r="N99" s="204">
        <v>1.218479317579936</v>
      </c>
      <c r="P99" s="310">
        <f>'Revenue Allocation'!$AB97</f>
        <v>3.8268823965418801</v>
      </c>
      <c r="Q99"/>
    </row>
    <row r="100" spans="1:17">
      <c r="A100" s="89" t="s">
        <v>104</v>
      </c>
      <c r="B100" s="77" t="s">
        <v>27</v>
      </c>
      <c r="C100" s="205">
        <v>3.082357084021127</v>
      </c>
      <c r="D100" s="205">
        <v>2.9117160592281488</v>
      </c>
      <c r="E100" s="205">
        <v>2.8425211232894889</v>
      </c>
      <c r="F100" s="205">
        <v>3.034989784720652</v>
      </c>
      <c r="G100" s="205">
        <v>2.2930613778608109</v>
      </c>
      <c r="H100" s="205"/>
      <c r="I100" s="354"/>
      <c r="J100" s="205">
        <v>4.8491917850871342</v>
      </c>
      <c r="K100" s="205">
        <v>4.3007446786398829</v>
      </c>
      <c r="L100" s="205">
        <v>4.0783493757377727</v>
      </c>
      <c r="M100" s="205">
        <v>4.6969513829148948</v>
      </c>
      <c r="N100" s="205">
        <v>2.3123636882092393</v>
      </c>
      <c r="P100" s="310">
        <f>'Revenue Allocation'!$AB98</f>
        <v>3.8268823965418801</v>
      </c>
      <c r="Q100"/>
    </row>
    <row r="101" spans="1:17">
      <c r="A101" s="105" t="s">
        <v>3</v>
      </c>
      <c r="B101" s="189" t="s">
        <v>27</v>
      </c>
      <c r="C101" s="204">
        <v>3.0764780955505557</v>
      </c>
      <c r="D101" s="204">
        <v>2.9061625348715712</v>
      </c>
      <c r="E101" s="204">
        <v>2.8370995746318712</v>
      </c>
      <c r="F101" s="204">
        <v>3.0292011400353327</v>
      </c>
      <c r="G101" s="204">
        <v>2.2886878153450847</v>
      </c>
      <c r="H101" s="204"/>
      <c r="I101" s="353"/>
      <c r="J101" s="204">
        <v>3.9331196025977642</v>
      </c>
      <c r="K101" s="204">
        <v>3.3857185508831842</v>
      </c>
      <c r="L101" s="204">
        <v>3.163747423177532</v>
      </c>
      <c r="M101" s="204">
        <v>3.7811695689794358</v>
      </c>
      <c r="N101" s="204">
        <v>1.4011300051950524</v>
      </c>
      <c r="P101" s="310">
        <f>'Revenue Allocation'!$AB99</f>
        <v>3.8268823965418801</v>
      </c>
      <c r="Q101"/>
    </row>
    <row r="102" spans="1:17">
      <c r="A102" s="89"/>
      <c r="B102" s="77"/>
      <c r="C102" s="204">
        <v>0</v>
      </c>
      <c r="D102" s="204">
        <v>0</v>
      </c>
      <c r="E102" s="204">
        <v>0</v>
      </c>
      <c r="F102" s="204">
        <v>0</v>
      </c>
      <c r="G102" s="204">
        <v>0</v>
      </c>
      <c r="H102" s="204"/>
      <c r="I102" s="355"/>
      <c r="J102" s="204">
        <v>0</v>
      </c>
      <c r="K102" s="204">
        <v>0</v>
      </c>
      <c r="L102" s="204">
        <v>0</v>
      </c>
      <c r="M102" s="204">
        <v>0</v>
      </c>
      <c r="N102" s="204">
        <v>0</v>
      </c>
      <c r="P102" s="310">
        <f>'Revenue Allocation'!$AB100</f>
        <v>0</v>
      </c>
      <c r="Q102"/>
    </row>
    <row r="103" spans="1:17">
      <c r="A103" s="89" t="s">
        <v>103</v>
      </c>
      <c r="B103" s="77" t="s">
        <v>28</v>
      </c>
      <c r="C103" s="204">
        <v>3.0764780955504509</v>
      </c>
      <c r="D103" s="204">
        <v>3.1315192419374345</v>
      </c>
      <c r="E103" s="204">
        <v>3.0699721461990905</v>
      </c>
      <c r="F103" s="204">
        <v>3.1006445631492676</v>
      </c>
      <c r="G103" s="204">
        <v>2.514915368187062</v>
      </c>
      <c r="H103" s="204"/>
      <c r="I103" s="353"/>
      <c r="J103" s="204">
        <v>3.3391921836358653</v>
      </c>
      <c r="K103" s="204">
        <v>3.5160966385177082</v>
      </c>
      <c r="L103" s="204">
        <v>3.3182818011485655</v>
      </c>
      <c r="M103" s="204">
        <v>3.416864180998179</v>
      </c>
      <c r="N103" s="204">
        <v>1.5343070261262501</v>
      </c>
      <c r="P103" s="310">
        <f>'Revenue Allocation'!$AB101</f>
        <v>3.8268823965417496</v>
      </c>
      <c r="Q103"/>
    </row>
    <row r="104" spans="1:17">
      <c r="A104" s="89" t="s">
        <v>104</v>
      </c>
      <c r="B104" s="77" t="s">
        <v>28</v>
      </c>
      <c r="C104" s="205">
        <v>3.0764780955505557</v>
      </c>
      <c r="D104" s="205">
        <v>3.1315192419375406</v>
      </c>
      <c r="E104" s="205">
        <v>3.0699721461991949</v>
      </c>
      <c r="F104" s="205">
        <v>3.1006445631493733</v>
      </c>
      <c r="G104" s="205">
        <v>2.5149153681871477</v>
      </c>
      <c r="H104" s="205"/>
      <c r="I104" s="354"/>
      <c r="J104" s="205">
        <v>4.4561654240827</v>
      </c>
      <c r="K104" s="205">
        <v>4.633069878964549</v>
      </c>
      <c r="L104" s="205">
        <v>4.4352550415954015</v>
      </c>
      <c r="M104" s="205">
        <v>4.5338374214450168</v>
      </c>
      <c r="N104" s="205">
        <v>2.651280266573024</v>
      </c>
      <c r="P104" s="310">
        <f>'Revenue Allocation'!$AB102</f>
        <v>3.8268823965418801</v>
      </c>
      <c r="Q104"/>
    </row>
    <row r="105" spans="1:17">
      <c r="A105" s="105" t="s">
        <v>3</v>
      </c>
      <c r="B105" s="189" t="s">
        <v>28</v>
      </c>
      <c r="C105" s="204">
        <v>3.0764780955505557</v>
      </c>
      <c r="D105" s="204">
        <v>3.1315192419375415</v>
      </c>
      <c r="E105" s="204">
        <v>3.0699721461991953</v>
      </c>
      <c r="F105" s="204">
        <v>3.1006445631493729</v>
      </c>
      <c r="G105" s="204">
        <v>2.5149153681871481</v>
      </c>
      <c r="H105" s="204"/>
      <c r="I105" s="353"/>
      <c r="J105" s="204">
        <v>3.3960488742457247</v>
      </c>
      <c r="K105" s="204">
        <v>3.5729533291275728</v>
      </c>
      <c r="L105" s="204">
        <v>3.375138491758424</v>
      </c>
      <c r="M105" s="204">
        <v>3.473720871608041</v>
      </c>
      <c r="N105" s="204">
        <v>1.5911637167360475</v>
      </c>
      <c r="P105" s="310">
        <f>'Revenue Allocation'!$AB103</f>
        <v>3.8268823965417567</v>
      </c>
      <c r="Q105"/>
    </row>
    <row r="106" spans="1:17">
      <c r="A106" s="89"/>
      <c r="B106" s="73"/>
      <c r="C106" s="204">
        <v>0</v>
      </c>
      <c r="D106" s="204">
        <v>0</v>
      </c>
      <c r="E106" s="204">
        <v>0</v>
      </c>
      <c r="F106" s="204">
        <v>0</v>
      </c>
      <c r="G106" s="204">
        <v>0</v>
      </c>
      <c r="H106" s="204"/>
      <c r="I106" s="355"/>
      <c r="J106" s="204">
        <v>0</v>
      </c>
      <c r="K106" s="204">
        <v>0</v>
      </c>
      <c r="L106" s="204">
        <v>0</v>
      </c>
      <c r="M106" s="204">
        <v>0</v>
      </c>
      <c r="N106" s="204">
        <v>0</v>
      </c>
      <c r="P106" s="310">
        <f>'Revenue Allocation'!$AB104</f>
        <v>0</v>
      </c>
      <c r="Q106"/>
    </row>
    <row r="107" spans="1:17">
      <c r="A107" s="190" t="s">
        <v>105</v>
      </c>
      <c r="B107" s="72"/>
      <c r="C107" s="204">
        <v>3.0802138004000512</v>
      </c>
      <c r="D107" s="204">
        <v>2.9155000441415235</v>
      </c>
      <c r="E107" s="204">
        <v>2.8447922173902782</v>
      </c>
      <c r="F107" s="204">
        <v>2.9978323072415223</v>
      </c>
      <c r="G107" s="204">
        <v>2.1929685797775837</v>
      </c>
      <c r="H107" s="204"/>
      <c r="I107" s="353"/>
      <c r="J107" s="204">
        <v>4.3213821703379987</v>
      </c>
      <c r="K107" s="204">
        <v>3.7919855429932912</v>
      </c>
      <c r="L107" s="204">
        <v>3.5647277482634396</v>
      </c>
      <c r="M107" s="204">
        <v>4.0566047429730769</v>
      </c>
      <c r="N107" s="204">
        <v>1.4697404004301082</v>
      </c>
      <c r="P107" s="310">
        <f>'Revenue Allocation'!$AB105</f>
        <v>3.831529302088807</v>
      </c>
      <c r="Q107"/>
    </row>
    <row r="108" spans="1:17">
      <c r="A108" s="94"/>
      <c r="B108" s="73"/>
      <c r="C108" s="204">
        <v>0</v>
      </c>
      <c r="D108" s="204">
        <v>0</v>
      </c>
      <c r="E108" s="204">
        <v>0</v>
      </c>
      <c r="F108" s="204">
        <v>0</v>
      </c>
      <c r="G108" s="204">
        <v>0</v>
      </c>
      <c r="H108" s="204"/>
      <c r="I108" s="355"/>
      <c r="J108" s="204">
        <v>0</v>
      </c>
      <c r="K108" s="204">
        <v>0</v>
      </c>
      <c r="L108" s="204">
        <v>0</v>
      </c>
      <c r="M108" s="204">
        <v>0</v>
      </c>
      <c r="N108" s="204">
        <v>0</v>
      </c>
      <c r="P108" s="310">
        <f>'Revenue Allocation'!$AB106</f>
        <v>0</v>
      </c>
      <c r="Q108"/>
    </row>
    <row r="109" spans="1:17">
      <c r="A109" s="89" t="s">
        <v>81</v>
      </c>
      <c r="B109" s="77" t="s">
        <v>21</v>
      </c>
      <c r="C109" s="204">
        <v>3.0853440266616521</v>
      </c>
      <c r="D109" s="204">
        <v>2.8258616188991574</v>
      </c>
      <c r="E109" s="204">
        <v>2.7495262809124612</v>
      </c>
      <c r="F109" s="204">
        <v>2.9232919272115212</v>
      </c>
      <c r="G109" s="204">
        <v>1.9615480222899142</v>
      </c>
      <c r="H109" s="204"/>
      <c r="I109" s="353"/>
      <c r="J109" s="204">
        <v>3.7581677381570295</v>
      </c>
      <c r="K109" s="204">
        <v>2.9241808590700145</v>
      </c>
      <c r="L109" s="204">
        <v>2.6788360172345431</v>
      </c>
      <c r="M109" s="204">
        <v>3.237325782683826</v>
      </c>
      <c r="N109" s="204">
        <v>0.14624224965033211</v>
      </c>
      <c r="P109" s="310">
        <f>'Revenue Allocation'!$AB107</f>
        <v>3.8268823965418801</v>
      </c>
      <c r="Q109"/>
    </row>
    <row r="110" spans="1:17">
      <c r="A110" s="94"/>
      <c r="B110" s="77" t="s">
        <v>28</v>
      </c>
      <c r="C110" s="205">
        <v>3.0764780955505557</v>
      </c>
      <c r="D110" s="205">
        <v>3.1315192419375406</v>
      </c>
      <c r="E110" s="205">
        <v>3.0699721461991949</v>
      </c>
      <c r="F110" s="205">
        <v>3.1006445631493733</v>
      </c>
      <c r="G110" s="205">
        <v>2.5149153681871477</v>
      </c>
      <c r="H110" s="205"/>
      <c r="I110" s="354"/>
      <c r="J110" s="205">
        <v>4.0089827168840175</v>
      </c>
      <c r="K110" s="205">
        <v>4.1858871717658666</v>
      </c>
      <c r="L110" s="205">
        <v>3.9880723343967186</v>
      </c>
      <c r="M110" s="205">
        <v>4.0866547142463343</v>
      </c>
      <c r="N110" s="205">
        <v>2.2040975593743415</v>
      </c>
      <c r="P110" s="310">
        <f>'Revenue Allocation'!$AB108</f>
        <v>3.8268823965418801</v>
      </c>
      <c r="Q110"/>
    </row>
    <row r="111" spans="1:17">
      <c r="A111" s="105" t="s">
        <v>106</v>
      </c>
      <c r="B111" s="72"/>
      <c r="C111" s="204">
        <v>3.0765644204095999</v>
      </c>
      <c r="D111" s="204">
        <v>3.1285431471659839</v>
      </c>
      <c r="E111" s="204">
        <v>3.066852062836749</v>
      </c>
      <c r="F111" s="204">
        <v>3.0989177347873329</v>
      </c>
      <c r="G111" s="204">
        <v>2.5095273996211933</v>
      </c>
      <c r="H111" s="204"/>
      <c r="I111" s="353"/>
      <c r="J111" s="204">
        <v>4.0065406081631645</v>
      </c>
      <c r="K111" s="204">
        <v>4.1736023233687343</v>
      </c>
      <c r="L111" s="204">
        <v>3.9753247008860391</v>
      </c>
      <c r="M111" s="204">
        <v>4.0783850582586023</v>
      </c>
      <c r="N111" s="204">
        <v>2.1840608517437219</v>
      </c>
      <c r="P111" s="310">
        <f>'Revenue Allocation'!$AB109</f>
        <v>3.8268823965418801</v>
      </c>
      <c r="Q111"/>
    </row>
    <row r="112" spans="1:17">
      <c r="A112" s="89"/>
      <c r="B112" s="73"/>
      <c r="C112" s="204">
        <v>0</v>
      </c>
      <c r="D112" s="204">
        <v>0</v>
      </c>
      <c r="E112" s="204">
        <v>0</v>
      </c>
      <c r="F112" s="204">
        <v>0</v>
      </c>
      <c r="G112" s="204">
        <v>0</v>
      </c>
      <c r="H112" s="204"/>
      <c r="I112" s="355"/>
      <c r="J112" s="204">
        <v>0</v>
      </c>
      <c r="K112" s="204">
        <v>0</v>
      </c>
      <c r="L112" s="204">
        <v>0</v>
      </c>
      <c r="M112" s="204">
        <v>0</v>
      </c>
      <c r="N112" s="204">
        <v>0</v>
      </c>
      <c r="P112" s="310">
        <f>'Revenue Allocation'!$AB110</f>
        <v>0</v>
      </c>
      <c r="Q112"/>
    </row>
    <row r="113" spans="1:17">
      <c r="A113" s="190" t="s">
        <v>107</v>
      </c>
      <c r="B113" s="72" t="s">
        <v>21</v>
      </c>
      <c r="C113" s="204">
        <v>3.0764780955505646</v>
      </c>
      <c r="D113" s="204">
        <v>2.8177413268908347</v>
      </c>
      <c r="E113" s="204">
        <v>2.7416253433236411</v>
      </c>
      <c r="F113" s="204">
        <v>2.9148916630528761</v>
      </c>
      <c r="G113" s="204">
        <v>1.9559113900419602</v>
      </c>
      <c r="H113" s="204"/>
      <c r="I113" s="353"/>
      <c r="J113" s="204">
        <v>5.0724954628381784</v>
      </c>
      <c r="K113" s="204">
        <v>4.2409050977715257</v>
      </c>
      <c r="L113" s="204">
        <v>3.996265269849375</v>
      </c>
      <c r="M113" s="204">
        <v>4.5531501796508156</v>
      </c>
      <c r="N113" s="204">
        <v>1.4709490705628108</v>
      </c>
      <c r="P113" s="310">
        <f>'Revenue Allocation'!$AB111</f>
        <v>3.8268823965418921</v>
      </c>
      <c r="Q113"/>
    </row>
    <row r="114" spans="1:17">
      <c r="A114" s="190"/>
      <c r="B114" s="72" t="s">
        <v>27</v>
      </c>
      <c r="C114" s="204">
        <v>3.0764780955505557</v>
      </c>
      <c r="D114" s="204">
        <v>2.9061625348715712</v>
      </c>
      <c r="E114" s="204">
        <v>2.8370995746318712</v>
      </c>
      <c r="F114" s="204">
        <v>3.0292011400353327</v>
      </c>
      <c r="G114" s="204">
        <v>2.2886878153450847</v>
      </c>
      <c r="H114" s="204"/>
      <c r="I114" s="353"/>
      <c r="J114" s="204">
        <v>3.9331196025977642</v>
      </c>
      <c r="K114" s="204">
        <v>3.3857185508831842</v>
      </c>
      <c r="L114" s="204">
        <v>3.163747423177532</v>
      </c>
      <c r="M114" s="204">
        <v>3.7811695689794358</v>
      </c>
      <c r="N114" s="204">
        <v>1.4011300051950524</v>
      </c>
      <c r="P114" s="310">
        <f>'Revenue Allocation'!$AB112</f>
        <v>3.8268823965418801</v>
      </c>
      <c r="Q114"/>
    </row>
    <row r="115" spans="1:17">
      <c r="A115" s="190"/>
      <c r="B115" s="72" t="s">
        <v>28</v>
      </c>
      <c r="C115" s="205">
        <v>3.0764780955505557</v>
      </c>
      <c r="D115" s="205">
        <v>3.1315192419375415</v>
      </c>
      <c r="E115" s="205">
        <v>3.0699721461991953</v>
      </c>
      <c r="F115" s="205">
        <v>3.1006445631493729</v>
      </c>
      <c r="G115" s="205">
        <v>2.5149153681871477</v>
      </c>
      <c r="H115" s="205"/>
      <c r="I115" s="354"/>
      <c r="J115" s="205">
        <v>3.4571454386653788</v>
      </c>
      <c r="K115" s="205">
        <v>3.634049893547227</v>
      </c>
      <c r="L115" s="205">
        <v>3.4362350561780781</v>
      </c>
      <c r="M115" s="205">
        <v>3.5348174360276952</v>
      </c>
      <c r="N115" s="205">
        <v>1.6522602811557017</v>
      </c>
      <c r="P115" s="310">
        <f>'Revenue Allocation'!$AB113</f>
        <v>3.8268823965418801</v>
      </c>
      <c r="Q115"/>
    </row>
    <row r="116" spans="1:17">
      <c r="A116" s="190" t="s">
        <v>107</v>
      </c>
      <c r="B116" s="72"/>
      <c r="C116" s="204">
        <v>3.0764780955505557</v>
      </c>
      <c r="D116" s="204">
        <v>2.9165439028260072</v>
      </c>
      <c r="E116" s="204">
        <v>2.8461107995846042</v>
      </c>
      <c r="F116" s="204">
        <v>2.9964100169051084</v>
      </c>
      <c r="G116" s="204">
        <v>2.1970603985834001</v>
      </c>
      <c r="H116" s="204"/>
      <c r="I116" s="353"/>
      <c r="J116" s="204">
        <v>4.3095892970913763</v>
      </c>
      <c r="K116" s="204">
        <v>3.7955543788870831</v>
      </c>
      <c r="L116" s="204">
        <v>3.5691795565504685</v>
      </c>
      <c r="M116" s="204">
        <v>4.0522472768757725</v>
      </c>
      <c r="N116" s="204">
        <v>1.4831055025567081</v>
      </c>
      <c r="P116" s="310">
        <f>'Revenue Allocation'!$AB114</f>
        <v>3.8268823965418806</v>
      </c>
      <c r="Q116"/>
    </row>
    <row r="117" spans="1:17">
      <c r="A117" s="94"/>
      <c r="B117" s="73"/>
      <c r="C117" s="204">
        <v>0</v>
      </c>
      <c r="D117" s="204">
        <v>0</v>
      </c>
      <c r="E117" s="204">
        <v>0</v>
      </c>
      <c r="F117" s="204">
        <v>0</v>
      </c>
      <c r="G117" s="204">
        <v>0</v>
      </c>
      <c r="H117" s="204"/>
      <c r="I117" s="355"/>
      <c r="J117" s="204">
        <v>0</v>
      </c>
      <c r="K117" s="204">
        <v>0</v>
      </c>
      <c r="L117" s="204">
        <v>0</v>
      </c>
      <c r="M117" s="204">
        <v>0</v>
      </c>
      <c r="N117" s="204">
        <v>0</v>
      </c>
      <c r="P117" s="310">
        <f>'Revenue Allocation'!$AB115</f>
        <v>0</v>
      </c>
      <c r="Q117"/>
    </row>
    <row r="118" spans="1:17">
      <c r="A118" s="89" t="s">
        <v>85</v>
      </c>
      <c r="B118" s="77" t="s">
        <v>21</v>
      </c>
      <c r="C118" s="204">
        <v>3.0764866687811958</v>
      </c>
      <c r="D118" s="204">
        <v>2.8177491790989451</v>
      </c>
      <c r="E118" s="204">
        <v>2.7416329834191147</v>
      </c>
      <c r="F118" s="204">
        <v>2.9148997859901162</v>
      </c>
      <c r="G118" s="204">
        <v>1.9559168405860299</v>
      </c>
      <c r="H118" s="204"/>
      <c r="I118" s="353"/>
      <c r="J118" s="204">
        <v>4.854267120099272</v>
      </c>
      <c r="K118" s="204">
        <v>4.0226744376372841</v>
      </c>
      <c r="L118" s="204">
        <v>3.7780339279765998</v>
      </c>
      <c r="M118" s="204">
        <v>4.3349203896508692</v>
      </c>
      <c r="N118" s="204">
        <v>1.2527106913838939</v>
      </c>
      <c r="P118" s="310">
        <f>'Revenue Allocation'!$AB116</f>
        <v>3.8268930609264133</v>
      </c>
      <c r="Q118"/>
    </row>
    <row r="119" spans="1:17">
      <c r="A119" s="94"/>
      <c r="B119" s="77" t="s">
        <v>27</v>
      </c>
      <c r="C119" s="204">
        <v>0</v>
      </c>
      <c r="D119" s="204">
        <v>0</v>
      </c>
      <c r="E119" s="204">
        <v>0</v>
      </c>
      <c r="F119" s="204">
        <v>0</v>
      </c>
      <c r="G119" s="204">
        <v>0</v>
      </c>
      <c r="H119" s="204"/>
      <c r="I119" s="355"/>
      <c r="J119" s="204">
        <v>0</v>
      </c>
      <c r="K119" s="204">
        <v>0</v>
      </c>
      <c r="L119" s="204">
        <v>0</v>
      </c>
      <c r="M119" s="204">
        <v>0</v>
      </c>
      <c r="N119" s="204">
        <v>0</v>
      </c>
      <c r="P119" s="310">
        <f>'Revenue Allocation'!$AB117</f>
        <v>0</v>
      </c>
      <c r="Q119"/>
    </row>
    <row r="120" spans="1:17">
      <c r="A120" s="94"/>
      <c r="B120" s="77" t="s">
        <v>28</v>
      </c>
      <c r="C120" s="205">
        <v>3.0764780955505557</v>
      </c>
      <c r="D120" s="205">
        <v>3.1315192419375415</v>
      </c>
      <c r="E120" s="205">
        <v>3.0699721461991953</v>
      </c>
      <c r="F120" s="205">
        <v>3.1006445631493733</v>
      </c>
      <c r="G120" s="205">
        <v>2.5149153681871472</v>
      </c>
      <c r="H120" s="205"/>
      <c r="I120" s="354"/>
      <c r="J120" s="205">
        <v>5.39940940931859</v>
      </c>
      <c r="K120" s="205">
        <v>5.57631386420044</v>
      </c>
      <c r="L120" s="205">
        <v>5.3784990268312907</v>
      </c>
      <c r="M120" s="205">
        <v>5.4770814066809059</v>
      </c>
      <c r="N120" s="205">
        <v>3.5945242518089113</v>
      </c>
      <c r="P120" s="310">
        <f>'Revenue Allocation'!$AB118</f>
        <v>3.8268823965418801</v>
      </c>
      <c r="Q120"/>
    </row>
    <row r="121" spans="1:17">
      <c r="A121" s="105" t="s">
        <v>108</v>
      </c>
      <c r="B121" s="72"/>
      <c r="C121" s="204">
        <v>3.0764780955505557</v>
      </c>
      <c r="D121" s="204">
        <v>2.8408542617616757</v>
      </c>
      <c r="E121" s="204">
        <v>2.7658114249628869</v>
      </c>
      <c r="F121" s="204">
        <v>2.9285742534332728</v>
      </c>
      <c r="G121" s="204">
        <v>1.9970877186484215</v>
      </c>
      <c r="H121" s="204"/>
      <c r="I121" s="353"/>
      <c r="J121" s="204">
        <v>4.8944098633944115</v>
      </c>
      <c r="K121" s="204">
        <v>4.1371053991936311</v>
      </c>
      <c r="L121" s="204">
        <v>3.8959147080815666</v>
      </c>
      <c r="M121" s="204">
        <v>4.4190409751679978</v>
      </c>
      <c r="N121" s="204">
        <v>1.4252058448579388</v>
      </c>
      <c r="P121" s="310">
        <f>'Revenue Allocation'!$AB119</f>
        <v>3.8268823965418801</v>
      </c>
      <c r="Q121"/>
    </row>
    <row r="122" spans="1:17">
      <c r="A122" s="94"/>
      <c r="B122" s="73"/>
      <c r="C122" s="204">
        <v>0</v>
      </c>
      <c r="D122" s="204">
        <v>0</v>
      </c>
      <c r="E122" s="204">
        <v>0</v>
      </c>
      <c r="F122" s="204">
        <v>0</v>
      </c>
      <c r="G122" s="204">
        <v>0</v>
      </c>
      <c r="H122" s="204"/>
      <c r="I122" s="355"/>
      <c r="J122" s="204">
        <v>0</v>
      </c>
      <c r="K122" s="204">
        <v>0</v>
      </c>
      <c r="L122" s="204">
        <v>0</v>
      </c>
      <c r="M122" s="204">
        <v>0</v>
      </c>
      <c r="N122" s="204">
        <v>0</v>
      </c>
      <c r="P122" s="310">
        <f>'Revenue Allocation'!$AB120</f>
        <v>0</v>
      </c>
      <c r="Q122"/>
    </row>
    <row r="123" spans="1:17">
      <c r="A123" s="190" t="s">
        <v>109</v>
      </c>
      <c r="B123" s="72" t="s">
        <v>21</v>
      </c>
      <c r="C123" s="204">
        <v>3.0764780955505642</v>
      </c>
      <c r="D123" s="204">
        <v>2.8177413268908338</v>
      </c>
      <c r="E123" s="204">
        <v>2.7416253433236406</v>
      </c>
      <c r="F123" s="204">
        <v>2.9148916630528756</v>
      </c>
      <c r="G123" s="204">
        <v>1.95591139004196</v>
      </c>
      <c r="H123" s="204"/>
      <c r="I123" s="353"/>
      <c r="J123" s="204">
        <v>5.0619186386036992</v>
      </c>
      <c r="K123" s="204">
        <v>4.2303282735370473</v>
      </c>
      <c r="L123" s="204">
        <v>3.9856884456148953</v>
      </c>
      <c r="M123" s="204">
        <v>4.5425733554163354</v>
      </c>
      <c r="N123" s="204">
        <v>1.4603722463283317</v>
      </c>
      <c r="P123" s="310">
        <f>'Revenue Allocation'!$AB121</f>
        <v>3.8268823965418912</v>
      </c>
      <c r="Q123"/>
    </row>
    <row r="124" spans="1:17">
      <c r="A124" s="190"/>
      <c r="B124" s="72" t="s">
        <v>27</v>
      </c>
      <c r="C124" s="204">
        <v>3.0764780955505557</v>
      </c>
      <c r="D124" s="204">
        <v>2.9061625348715712</v>
      </c>
      <c r="E124" s="204">
        <v>2.8370995746318712</v>
      </c>
      <c r="F124" s="204">
        <v>3.0292011400353327</v>
      </c>
      <c r="G124" s="204">
        <v>2.2886878153450847</v>
      </c>
      <c r="H124" s="204"/>
      <c r="I124" s="353"/>
      <c r="J124" s="204">
        <v>3.9331196025977642</v>
      </c>
      <c r="K124" s="204">
        <v>3.3857185508831842</v>
      </c>
      <c r="L124" s="204">
        <v>3.163747423177532</v>
      </c>
      <c r="M124" s="204">
        <v>3.7811695689794358</v>
      </c>
      <c r="N124" s="204">
        <v>1.4011300051950524</v>
      </c>
      <c r="P124" s="310">
        <f>'Revenue Allocation'!$AB122</f>
        <v>3.8268823965418801</v>
      </c>
      <c r="Q124"/>
    </row>
    <row r="125" spans="1:17">
      <c r="A125" s="190"/>
      <c r="B125" s="72" t="s">
        <v>28</v>
      </c>
      <c r="C125" s="205">
        <v>3.0764780955505553</v>
      </c>
      <c r="D125" s="205">
        <v>3.1315192419375415</v>
      </c>
      <c r="E125" s="205">
        <v>3.0699721461991953</v>
      </c>
      <c r="F125" s="205">
        <v>3.1006445631493733</v>
      </c>
      <c r="G125" s="205">
        <v>2.5149153681871477</v>
      </c>
      <c r="H125" s="205"/>
      <c r="I125" s="354"/>
      <c r="J125" s="205">
        <v>3.47267394058062</v>
      </c>
      <c r="K125" s="205">
        <v>3.649578395462469</v>
      </c>
      <c r="L125" s="205">
        <v>3.4517635580933201</v>
      </c>
      <c r="M125" s="205">
        <v>3.5503459379429372</v>
      </c>
      <c r="N125" s="205">
        <v>1.6677887830709435</v>
      </c>
      <c r="P125" s="310">
        <f>'Revenue Allocation'!$AB123</f>
        <v>3.8268823965418801</v>
      </c>
      <c r="Q125"/>
    </row>
    <row r="126" spans="1:17">
      <c r="A126" s="190" t="s">
        <v>109</v>
      </c>
      <c r="B126" s="72"/>
      <c r="C126" s="204">
        <v>3.0764780955505557</v>
      </c>
      <c r="D126" s="204">
        <v>2.9148426091089648</v>
      </c>
      <c r="E126" s="204">
        <v>2.8443058918111577</v>
      </c>
      <c r="F126" s="204">
        <v>2.9948852566266537</v>
      </c>
      <c r="G126" s="204">
        <v>2.1925655660122638</v>
      </c>
      <c r="H126" s="204"/>
      <c r="I126" s="353"/>
      <c r="J126" s="204">
        <v>4.3227344453713501</v>
      </c>
      <c r="K126" s="204">
        <v>3.8032315008383306</v>
      </c>
      <c r="L126" s="204">
        <v>3.5765236587634037</v>
      </c>
      <c r="M126" s="204">
        <v>4.0604917843880344</v>
      </c>
      <c r="N126" s="204">
        <v>1.4818040784453412</v>
      </c>
      <c r="P126" s="310">
        <f>'Revenue Allocation'!$AB124</f>
        <v>3.8268823965418801</v>
      </c>
      <c r="Q126"/>
    </row>
    <row r="127" spans="1:17">
      <c r="A127" s="94"/>
      <c r="B127" s="73"/>
      <c r="C127" s="204">
        <v>0</v>
      </c>
      <c r="D127" s="204">
        <v>0</v>
      </c>
      <c r="E127" s="204">
        <v>0</v>
      </c>
      <c r="F127" s="204">
        <v>0</v>
      </c>
      <c r="G127" s="204">
        <v>0</v>
      </c>
      <c r="H127" s="204"/>
      <c r="I127" s="355"/>
      <c r="J127" s="204">
        <v>0</v>
      </c>
      <c r="K127" s="204">
        <v>0</v>
      </c>
      <c r="L127" s="204">
        <v>0</v>
      </c>
      <c r="M127" s="204">
        <v>0</v>
      </c>
      <c r="N127" s="204">
        <v>0</v>
      </c>
      <c r="P127" s="310">
        <f>'Revenue Allocation'!$AB125</f>
        <v>0</v>
      </c>
      <c r="Q127"/>
    </row>
    <row r="128" spans="1:17" hidden="1">
      <c r="A128" s="94" t="s">
        <v>110</v>
      </c>
      <c r="B128" s="73" t="s">
        <v>21</v>
      </c>
      <c r="C128" s="204">
        <v>0</v>
      </c>
      <c r="D128" s="204">
        <v>0</v>
      </c>
      <c r="E128" s="204">
        <v>0</v>
      </c>
      <c r="F128" s="204">
        <v>0</v>
      </c>
      <c r="G128" s="204">
        <v>0</v>
      </c>
      <c r="H128" s="204"/>
      <c r="I128" s="353"/>
      <c r="J128" s="204">
        <v>0</v>
      </c>
      <c r="K128" s="204">
        <v>0</v>
      </c>
      <c r="L128" s="204">
        <v>0</v>
      </c>
      <c r="M128" s="204">
        <v>0</v>
      </c>
      <c r="N128" s="204">
        <v>0</v>
      </c>
      <c r="P128" s="310">
        <f>'Revenue Allocation'!$AB126</f>
        <v>0</v>
      </c>
      <c r="Q128"/>
    </row>
    <row r="129" spans="1:17" hidden="1">
      <c r="A129" s="94"/>
      <c r="B129" s="73" t="s">
        <v>28</v>
      </c>
      <c r="C129" s="205">
        <v>0</v>
      </c>
      <c r="D129" s="205">
        <v>0</v>
      </c>
      <c r="E129" s="205">
        <v>0</v>
      </c>
      <c r="F129" s="205">
        <v>0</v>
      </c>
      <c r="G129" s="205">
        <v>0</v>
      </c>
      <c r="H129" s="205"/>
      <c r="I129" s="354"/>
      <c r="J129" s="205">
        <v>0</v>
      </c>
      <c r="K129" s="205">
        <v>0</v>
      </c>
      <c r="L129" s="205">
        <v>0</v>
      </c>
      <c r="M129" s="205">
        <v>0</v>
      </c>
      <c r="N129" s="205">
        <v>0</v>
      </c>
      <c r="P129" s="310">
        <f>'Revenue Allocation'!$AB127</f>
        <v>0</v>
      </c>
      <c r="Q129"/>
    </row>
    <row r="130" spans="1:17" hidden="1">
      <c r="A130" s="190" t="s">
        <v>89</v>
      </c>
      <c r="B130" s="72"/>
      <c r="C130" s="204">
        <v>0</v>
      </c>
      <c r="D130" s="204">
        <v>0</v>
      </c>
      <c r="E130" s="204">
        <v>0</v>
      </c>
      <c r="F130" s="204">
        <v>0</v>
      </c>
      <c r="G130" s="204">
        <v>0</v>
      </c>
      <c r="H130" s="204"/>
      <c r="I130" s="353"/>
      <c r="J130" s="204">
        <v>0</v>
      </c>
      <c r="K130" s="204">
        <v>0</v>
      </c>
      <c r="L130" s="204">
        <v>0</v>
      </c>
      <c r="M130" s="204">
        <v>0</v>
      </c>
      <c r="N130" s="204">
        <v>0</v>
      </c>
      <c r="P130" s="310">
        <f>'Revenue Allocation'!$AB128</f>
        <v>0</v>
      </c>
      <c r="Q130"/>
    </row>
    <row r="131" spans="1:17" hidden="1">
      <c r="A131" s="107"/>
      <c r="B131" s="62"/>
      <c r="C131" s="204">
        <v>0</v>
      </c>
      <c r="D131" s="204">
        <v>0</v>
      </c>
      <c r="E131" s="204">
        <v>0</v>
      </c>
      <c r="F131" s="204">
        <v>0</v>
      </c>
      <c r="G131" s="204">
        <v>0</v>
      </c>
      <c r="H131" s="204"/>
      <c r="I131" s="355"/>
      <c r="J131" s="204">
        <v>0</v>
      </c>
      <c r="K131" s="204">
        <v>0</v>
      </c>
      <c r="L131" s="204">
        <v>0</v>
      </c>
      <c r="M131" s="204">
        <v>0</v>
      </c>
      <c r="N131" s="204">
        <v>0</v>
      </c>
      <c r="P131" s="310">
        <f>'Revenue Allocation'!$AB129</f>
        <v>0</v>
      </c>
      <c r="Q131"/>
    </row>
    <row r="132" spans="1:17" hidden="1">
      <c r="A132" s="191" t="s">
        <v>122</v>
      </c>
      <c r="B132" s="64"/>
      <c r="C132" s="204">
        <v>3</v>
      </c>
      <c r="D132" s="204">
        <v>3</v>
      </c>
      <c r="E132" s="204">
        <v>3</v>
      </c>
      <c r="F132" s="204">
        <v>3</v>
      </c>
      <c r="G132" s="204">
        <v>3</v>
      </c>
      <c r="H132" s="204"/>
      <c r="I132" s="353"/>
      <c r="J132" s="204">
        <v>3.0008179077703305</v>
      </c>
      <c r="K132" s="204">
        <v>3.0000000005216432</v>
      </c>
      <c r="L132" s="204">
        <v>3.0000000005216441</v>
      </c>
      <c r="M132" s="204">
        <v>3.0000000005216441</v>
      </c>
      <c r="N132" s="204">
        <v>3.0000000005216418</v>
      </c>
      <c r="P132" s="310">
        <f>'Revenue Allocation'!$AB130</f>
        <v>3.7317500183829866</v>
      </c>
      <c r="Q132"/>
    </row>
    <row r="133" spans="1:17">
      <c r="A133" s="191" t="s">
        <v>91</v>
      </c>
      <c r="B133" s="64"/>
      <c r="C133" s="204">
        <v>2.9890777279842013</v>
      </c>
      <c r="D133" s="204">
        <v>2.9890777279842022</v>
      </c>
      <c r="E133" s="204">
        <v>2.9890777279842022</v>
      </c>
      <c r="F133" s="204">
        <v>2.9890777279842013</v>
      </c>
      <c r="G133" s="204">
        <v>2.9890777279842013</v>
      </c>
      <c r="H133" s="204"/>
      <c r="I133" s="353"/>
      <c r="J133" s="204">
        <v>2.9898926579508158</v>
      </c>
      <c r="K133" s="204">
        <v>2.9890777285039465</v>
      </c>
      <c r="L133" s="204">
        <v>2.9890777285039469</v>
      </c>
      <c r="M133" s="204">
        <v>2.9890777285039469</v>
      </c>
      <c r="N133" s="204">
        <v>2.9890777285039447</v>
      </c>
      <c r="P133" s="310">
        <f>'Revenue Allocation'!$AB131</f>
        <v>3.7181636221177401</v>
      </c>
      <c r="Q133"/>
    </row>
    <row r="134" spans="1:17">
      <c r="A134" s="11"/>
      <c r="B134" s="53"/>
      <c r="P134" s="309"/>
      <c r="Q134"/>
    </row>
    <row r="135" spans="1:17">
      <c r="A135" s="107"/>
      <c r="B135" s="53"/>
      <c r="P135" s="309"/>
      <c r="Q135"/>
    </row>
    <row r="136" spans="1:17">
      <c r="A136" s="11"/>
      <c r="B136" s="53"/>
      <c r="P136" s="309"/>
      <c r="Q136"/>
    </row>
    <row r="137" spans="1:17">
      <c r="A137" s="11"/>
      <c r="B137" s="53"/>
      <c r="P137" s="309"/>
      <c r="Q137"/>
    </row>
    <row r="138" spans="1:17">
      <c r="A138" s="11"/>
      <c r="B138" s="53"/>
      <c r="P138" s="309"/>
      <c r="Q138"/>
    </row>
    <row r="139" spans="1:17">
      <c r="A139" s="11"/>
      <c r="B139" s="53"/>
      <c r="P139" s="309"/>
      <c r="Q139"/>
    </row>
    <row r="140" spans="1:17">
      <c r="A140" s="11"/>
      <c r="B140" s="53"/>
      <c r="P140" s="309"/>
      <c r="Q140"/>
    </row>
    <row r="141" spans="1:17">
      <c r="A141" s="11"/>
      <c r="B141" s="53"/>
      <c r="P141" s="309"/>
      <c r="Q141"/>
    </row>
    <row r="142" spans="1:17">
      <c r="A142" s="11"/>
      <c r="B142" s="53"/>
      <c r="P142" s="309"/>
      <c r="Q142"/>
    </row>
    <row r="143" spans="1:17">
      <c r="A143" s="11"/>
      <c r="B143" s="53"/>
      <c r="P143" s="309"/>
      <c r="Q143"/>
    </row>
    <row r="144" spans="1:17">
      <c r="A144" s="11"/>
      <c r="B144" s="53"/>
      <c r="P144" s="309"/>
      <c r="Q144"/>
    </row>
    <row r="145" spans="1:2">
      <c r="A145" s="11"/>
      <c r="B145" s="53"/>
    </row>
    <row r="146" spans="1:2">
      <c r="A146" s="11"/>
      <c r="B146" s="53"/>
    </row>
    <row r="147" spans="1:2">
      <c r="A147" s="11"/>
      <c r="B147" s="53"/>
    </row>
    <row r="148" spans="1:2">
      <c r="A148" s="11"/>
      <c r="B148" s="53"/>
    </row>
    <row r="149" spans="1:2">
      <c r="A149" s="11"/>
      <c r="B149" s="53"/>
    </row>
    <row r="150" spans="1:2">
      <c r="A150" s="11"/>
      <c r="B150" s="53"/>
    </row>
    <row r="151" spans="1:2">
      <c r="A151" s="11"/>
      <c r="B151" s="53"/>
    </row>
    <row r="152" spans="1:2">
      <c r="A152" s="11"/>
      <c r="B152" s="53"/>
    </row>
    <row r="153" spans="1:2">
      <c r="A153" s="11"/>
      <c r="B153" s="53"/>
    </row>
    <row r="154" spans="1:2">
      <c r="A154" s="11"/>
      <c r="B154" s="53"/>
    </row>
    <row r="155" spans="1:2">
      <c r="A155" s="11"/>
      <c r="B155" s="53"/>
    </row>
  </sheetData>
  <mergeCells count="2">
    <mergeCell ref="C1:I1"/>
    <mergeCell ref="K1:N1"/>
  </mergeCells>
  <phoneticPr fontId="0" type="noConversion"/>
  <printOptions horizontalCentered="1"/>
  <pageMargins left="0.25" right="0.25" top="0.75" bottom="0.48" header="0.25" footer="0.22"/>
  <pageSetup scale="74" fitToHeight="3" orientation="landscape" horizontalDpi="300" verticalDpi="300" r:id="rId1"/>
  <headerFooter alignWithMargins="0">
    <oddHeader xml:space="preserve">&amp;CPacific Gas and Electric Company
Summary of  RSP Surcharge Rates
(cents per kWh)
</oddHeader>
    <oddFooter>&amp;L&amp;D
&amp;T&amp;CPage &amp;P&amp;R&amp;F
&amp;A</oddFooter>
  </headerFooter>
  <colBreaks count="1" manualBreakCount="1">
    <brk id="9" min="9" max="132" man="1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1"/>
  <sheetViews>
    <sheetView workbookViewId="0"/>
  </sheetViews>
  <sheetFormatPr defaultRowHeight="12.75"/>
  <cols>
    <col min="1" max="1" width="12.33203125" customWidth="1"/>
    <col min="2" max="2" width="6" customWidth="1"/>
    <col min="3" max="3" width="32.83203125" bestFit="1" customWidth="1"/>
    <col min="4" max="4" width="22.1640625" customWidth="1"/>
    <col min="10" max="10" width="14.83203125" bestFit="1" customWidth="1"/>
  </cols>
  <sheetData>
    <row r="1" spans="1:4">
      <c r="A1" s="152" t="s">
        <v>493</v>
      </c>
    </row>
    <row r="2" spans="1:4">
      <c r="A2" s="152"/>
    </row>
    <row r="3" spans="1:4">
      <c r="A3" s="152" t="s">
        <v>494</v>
      </c>
    </row>
    <row r="4" spans="1:4">
      <c r="A4" s="152"/>
    </row>
    <row r="5" spans="1:4">
      <c r="A5" t="s">
        <v>495</v>
      </c>
      <c r="B5" s="410"/>
      <c r="C5" s="326"/>
      <c r="D5" s="154">
        <f>'Test Year 2001 Sales and Revs.'!I132/'Test Year 2001 Sales and Revs.'!F132</f>
        <v>3.5174889141973531E-2</v>
      </c>
    </row>
    <row r="7" spans="1:4">
      <c r="C7" t="s">
        <v>496</v>
      </c>
      <c r="D7" s="414">
        <f>0.03*D18</f>
        <v>579368341.69322884</v>
      </c>
    </row>
    <row r="8" spans="1:4">
      <c r="C8" t="s">
        <v>497</v>
      </c>
      <c r="D8" s="410">
        <v>12</v>
      </c>
    </row>
    <row r="9" spans="1:4">
      <c r="C9" t="s">
        <v>498</v>
      </c>
      <c r="D9" s="415">
        <v>6.5000000000000002E-2</v>
      </c>
    </row>
    <row r="10" spans="1:4">
      <c r="C10" t="s">
        <v>499</v>
      </c>
      <c r="D10">
        <v>7</v>
      </c>
    </row>
    <row r="12" spans="1:4">
      <c r="A12" s="152" t="s">
        <v>500</v>
      </c>
    </row>
    <row r="13" spans="1:4">
      <c r="B13" s="410"/>
      <c r="C13" s="326"/>
      <c r="D13" s="326"/>
    </row>
    <row r="14" spans="1:4" ht="13.5">
      <c r="B14" s="410"/>
      <c r="C14" s="409" t="s">
        <v>489</v>
      </c>
      <c r="D14" t="s">
        <v>490</v>
      </c>
    </row>
    <row r="15" spans="1:4">
      <c r="B15" s="410"/>
      <c r="C15" s="38" t="s">
        <v>486</v>
      </c>
      <c r="D15" s="416">
        <v>6537723853.1273184</v>
      </c>
    </row>
    <row r="16" spans="1:4">
      <c r="B16" s="410"/>
      <c r="C16" t="s">
        <v>487</v>
      </c>
      <c r="D16" s="416">
        <v>6354286776.2875738</v>
      </c>
    </row>
    <row r="17" spans="1:10">
      <c r="B17" s="410"/>
      <c r="C17" t="s">
        <v>488</v>
      </c>
      <c r="D17" s="417">
        <v>6420267427.0260715</v>
      </c>
    </row>
    <row r="18" spans="1:10">
      <c r="B18" s="410"/>
      <c r="C18" t="s">
        <v>501</v>
      </c>
      <c r="D18" s="326">
        <f>SUM(D15:D17)</f>
        <v>19312278056.440964</v>
      </c>
    </row>
    <row r="19" spans="1:10">
      <c r="B19" s="410"/>
      <c r="D19" s="410"/>
    </row>
    <row r="20" spans="1:10">
      <c r="B20" s="410"/>
      <c r="C20" t="s">
        <v>502</v>
      </c>
      <c r="D20" s="416">
        <v>6845806719.7150059</v>
      </c>
    </row>
    <row r="21" spans="1:10">
      <c r="B21" s="410"/>
      <c r="C21" t="s">
        <v>503</v>
      </c>
      <c r="D21" s="416">
        <v>7271561223.295496</v>
      </c>
    </row>
    <row r="22" spans="1:10">
      <c r="B22" s="410"/>
      <c r="C22" t="s">
        <v>504</v>
      </c>
      <c r="D22" s="416">
        <v>7572236871.3226566</v>
      </c>
    </row>
    <row r="23" spans="1:10">
      <c r="B23" s="410"/>
      <c r="C23" t="s">
        <v>505</v>
      </c>
      <c r="D23" s="416">
        <v>7670251806.7383385</v>
      </c>
    </row>
    <row r="24" spans="1:10">
      <c r="B24" s="410"/>
      <c r="C24" t="s">
        <v>506</v>
      </c>
      <c r="D24" s="416">
        <v>6936339220.575099</v>
      </c>
    </row>
    <row r="25" spans="1:10">
      <c r="B25" s="410"/>
      <c r="C25" t="s">
        <v>507</v>
      </c>
      <c r="D25" s="416">
        <v>6405069530.2097292</v>
      </c>
    </row>
    <row r="26" spans="1:10">
      <c r="B26" s="410"/>
      <c r="C26" t="s">
        <v>508</v>
      </c>
      <c r="D26" s="417">
        <v>6770063924.8348331</v>
      </c>
    </row>
    <row r="27" spans="1:10">
      <c r="B27" s="410"/>
      <c r="C27" s="418" t="s">
        <v>18</v>
      </c>
      <c r="D27" s="418">
        <f>SUM(D20:D26)</f>
        <v>49471329296.691162</v>
      </c>
    </row>
    <row r="28" spans="1:10">
      <c r="D28" s="326"/>
    </row>
    <row r="29" spans="1:10">
      <c r="D29" s="326"/>
    </row>
    <row r="30" spans="1:10">
      <c r="A30" s="326"/>
      <c r="B30" s="410"/>
      <c r="D30" s="326"/>
    </row>
    <row r="31" spans="1:10" ht="12" customHeight="1">
      <c r="A31" t="s">
        <v>509</v>
      </c>
      <c r="B31" s="410"/>
      <c r="J31" s="416"/>
    </row>
    <row r="32" spans="1:10">
      <c r="A32" t="s">
        <v>510</v>
      </c>
      <c r="B32" s="410"/>
      <c r="C32" s="326"/>
      <c r="D32" s="423">
        <f>'Inputs and Assumptions'!$C$7</f>
        <v>79952759337.615753</v>
      </c>
      <c r="J32" s="416"/>
    </row>
    <row r="33" spans="1:10">
      <c r="B33" s="410"/>
      <c r="C33" s="326"/>
      <c r="D33" s="326"/>
      <c r="J33" s="417"/>
    </row>
    <row r="34" spans="1:10">
      <c r="B34" s="410"/>
      <c r="C34" s="326"/>
      <c r="D34" s="326"/>
      <c r="J34" s="410"/>
    </row>
    <row r="35" spans="1:10">
      <c r="A35" s="152" t="s">
        <v>511</v>
      </c>
      <c r="B35" s="410"/>
      <c r="C35" s="326"/>
      <c r="D35" s="326"/>
    </row>
    <row r="36" spans="1:10">
      <c r="B36" s="410"/>
      <c r="J36" s="419"/>
    </row>
    <row r="37" spans="1:10" ht="14.25" customHeight="1">
      <c r="A37" t="s">
        <v>512</v>
      </c>
      <c r="B37" s="410"/>
      <c r="D37" s="414">
        <f>-PMT(D9/12,D8,D7,1)*D8</f>
        <v>599968944.83071125</v>
      </c>
      <c r="J37" s="416"/>
    </row>
    <row r="38" spans="1:10">
      <c r="D38" s="326"/>
      <c r="J38" s="417"/>
    </row>
    <row r="39" spans="1:10" ht="13.5">
      <c r="A39" s="409" t="s">
        <v>491</v>
      </c>
      <c r="B39" s="410"/>
      <c r="D39" s="420">
        <f>D37/D32</f>
        <v>7.5040430099132431E-3</v>
      </c>
      <c r="J39" s="326"/>
    </row>
    <row r="40" spans="1:10" ht="12" customHeight="1">
      <c r="A40" s="409" t="s">
        <v>513</v>
      </c>
      <c r="D40" s="421">
        <v>3.0764780955505555E-2</v>
      </c>
      <c r="J40" s="420"/>
    </row>
    <row r="41" spans="1:10" ht="13.5">
      <c r="A41" s="409" t="s">
        <v>514</v>
      </c>
      <c r="D41" s="422">
        <f>SUM(D39:D40)</f>
        <v>3.8268823965418801E-2</v>
      </c>
    </row>
  </sheetData>
  <phoneticPr fontId="0" type="noConversion"/>
  <printOptions horizontalCentered="1"/>
  <pageMargins left="0.75" right="0.75" top="1.25" bottom="1" header="0.6" footer="0.5"/>
  <pageSetup orientation="portrait" horizontalDpi="300" verticalDpi="300" r:id="rId1"/>
  <headerFooter alignWithMargins="0">
    <oddHeader>&amp;CPacific Gas and Electric Company
Revenue Allocation Workpapers for the 3¢ Surcharge
Development of the Revenue Requirement</oddHeader>
    <oddFooter>&amp;L&amp;D
&amp;T&amp;R&amp;F
&amp;A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BF214"/>
  <sheetViews>
    <sheetView showZeros="0" topLeftCell="A115" zoomScaleNormal="100" workbookViewId="0">
      <selection activeCell="D115" sqref="D115"/>
    </sheetView>
  </sheetViews>
  <sheetFormatPr defaultRowHeight="12.75"/>
  <cols>
    <col min="1" max="1" width="4.6640625" style="117" bestFit="1" customWidth="1"/>
    <col min="2" max="2" width="17.83203125" style="117" customWidth="1"/>
    <col min="3" max="3" width="3" style="117" customWidth="1"/>
    <col min="4" max="4" width="12.83203125" style="172" customWidth="1"/>
    <col min="5" max="5" width="13.5" style="158" bestFit="1" customWidth="1"/>
    <col min="6" max="6" width="12.1640625" style="172" bestFit="1" customWidth="1"/>
    <col min="7" max="7" width="13.5" style="172" bestFit="1" customWidth="1"/>
    <col min="8" max="9" width="12.1640625" style="172" bestFit="1" customWidth="1"/>
    <col min="10" max="10" width="13.83203125" style="157" bestFit="1" customWidth="1"/>
    <col min="11" max="11" width="13.83203125" style="157" customWidth="1"/>
    <col min="12" max="12" width="12.5" style="157" hidden="1" customWidth="1"/>
    <col min="13" max="13" width="14.33203125" style="157" customWidth="1"/>
    <col min="14" max="14" width="14.1640625" style="157" customWidth="1"/>
    <col min="15" max="15" width="15.5" style="157" customWidth="1"/>
    <col min="16" max="16" width="12.6640625" style="117" hidden="1" customWidth="1"/>
    <col min="17" max="17" width="13.1640625" style="184" customWidth="1"/>
    <col min="18" max="18" width="11" style="117" bestFit="1" customWidth="1"/>
    <col min="19" max="19" width="12.1640625" style="117" customWidth="1"/>
    <col min="20" max="25" width="11" style="117" customWidth="1"/>
    <col min="26" max="26" width="11" style="117" hidden="1" customWidth="1"/>
    <col min="27" max="27" width="11" style="278" customWidth="1"/>
    <col min="28" max="29" width="11" style="117" customWidth="1"/>
    <col min="30" max="30" width="11" style="117" hidden="1" customWidth="1"/>
    <col min="31" max="31" width="6" style="117" hidden="1" customWidth="1"/>
    <col min="32" max="32" width="11.6640625" style="150" customWidth="1"/>
    <col min="33" max="33" width="11" style="117" hidden="1" customWidth="1"/>
    <col min="34" max="34" width="14.6640625" style="117" customWidth="1"/>
    <col min="35" max="39" width="15.83203125" style="146" customWidth="1"/>
    <col min="40" max="16384" width="9.33203125" style="117"/>
  </cols>
  <sheetData>
    <row r="1" spans="1:58">
      <c r="C1" s="73" t="s">
        <v>0</v>
      </c>
      <c r="D1" s="159"/>
      <c r="F1" s="185">
        <v>36892</v>
      </c>
      <c r="G1" s="159"/>
      <c r="H1" s="159"/>
      <c r="I1" s="159"/>
      <c r="K1" s="160"/>
      <c r="L1" s="160"/>
      <c r="M1" s="160"/>
      <c r="Q1" s="173"/>
      <c r="AL1" s="119"/>
    </row>
    <row r="2" spans="1:58" s="11" customFormat="1">
      <c r="A2" s="72"/>
      <c r="B2" s="73"/>
      <c r="C2" s="73" t="s">
        <v>5</v>
      </c>
      <c r="D2" s="161" t="s">
        <v>19</v>
      </c>
      <c r="E2" s="185">
        <v>37017</v>
      </c>
      <c r="F2" s="161" t="s">
        <v>115</v>
      </c>
      <c r="G2" s="429" t="s">
        <v>128</v>
      </c>
      <c r="H2" s="429"/>
      <c r="I2" s="429"/>
      <c r="J2" s="53" t="s">
        <v>226</v>
      </c>
      <c r="K2" s="185">
        <f>F1</f>
        <v>36892</v>
      </c>
      <c r="L2" s="185"/>
      <c r="M2" s="160" t="s">
        <v>148</v>
      </c>
      <c r="N2" s="146" t="str">
        <f>CHOOSE(allocation_method,"Equal ¢","99 Loads","00 Loads","¢ by volt","100 Hrs","G equal ¢","G 99 Loads","G 00 Loads","G ¢ by volt","G 100 hrs")</f>
        <v>Equal ¢</v>
      </c>
      <c r="O2" s="161" t="s">
        <v>92</v>
      </c>
      <c r="P2" s="72"/>
      <c r="Q2" s="174"/>
      <c r="R2" s="119"/>
      <c r="S2" s="119"/>
      <c r="T2" s="119" t="s">
        <v>115</v>
      </c>
      <c r="U2" s="119" t="s">
        <v>120</v>
      </c>
      <c r="V2" s="119"/>
      <c r="W2" s="119"/>
      <c r="X2" s="119" t="s">
        <v>111</v>
      </c>
      <c r="Y2" s="119"/>
      <c r="Z2" s="119"/>
      <c r="AA2" s="279" t="str">
        <f>M2</f>
        <v>Emergency</v>
      </c>
      <c r="AB2" s="146" t="str">
        <f>N2</f>
        <v>Equal ¢</v>
      </c>
      <c r="AC2" s="119" t="s">
        <v>93</v>
      </c>
      <c r="AD2" s="119"/>
      <c r="AE2" s="72"/>
      <c r="AF2" s="151" t="s">
        <v>154</v>
      </c>
      <c r="AG2" s="119"/>
      <c r="AH2" s="119"/>
      <c r="AI2" s="72"/>
      <c r="AJ2" s="72"/>
      <c r="AK2" s="119"/>
      <c r="AL2" s="119"/>
      <c r="AM2" s="72"/>
      <c r="AN2" s="72"/>
      <c r="AO2" s="72"/>
      <c r="AP2" s="72"/>
      <c r="AQ2" s="72"/>
      <c r="AR2" s="72"/>
      <c r="AS2" s="72"/>
      <c r="AT2" s="74"/>
      <c r="AU2" s="72"/>
      <c r="AV2" s="74"/>
      <c r="AW2" s="72"/>
      <c r="AX2" s="74"/>
      <c r="AY2" s="72"/>
      <c r="AZ2" s="74"/>
      <c r="BA2" s="72"/>
      <c r="BB2" s="74"/>
      <c r="BC2" s="72"/>
      <c r="BD2" s="74"/>
      <c r="BE2" s="72"/>
      <c r="BF2" s="75"/>
    </row>
    <row r="3" spans="1:58" s="11" customFormat="1">
      <c r="A3" s="72"/>
      <c r="B3" s="76"/>
      <c r="C3" s="77" t="s">
        <v>11</v>
      </c>
      <c r="D3" s="161" t="s">
        <v>94</v>
      </c>
      <c r="E3" s="114" t="s">
        <v>114</v>
      </c>
      <c r="F3" s="161" t="s">
        <v>116</v>
      </c>
      <c r="G3" s="161" t="s">
        <v>95</v>
      </c>
      <c r="H3" s="161" t="s">
        <v>4</v>
      </c>
      <c r="I3" s="161" t="s">
        <v>118</v>
      </c>
      <c r="J3" s="160" t="s">
        <v>111</v>
      </c>
      <c r="K3" s="160" t="s">
        <v>126</v>
      </c>
      <c r="L3" s="160" t="s">
        <v>160</v>
      </c>
      <c r="M3" s="160" t="s">
        <v>149</v>
      </c>
      <c r="N3" s="160" t="s">
        <v>225</v>
      </c>
      <c r="O3" s="161" t="s">
        <v>18</v>
      </c>
      <c r="P3" s="72"/>
      <c r="Q3" s="174" t="s">
        <v>97</v>
      </c>
      <c r="R3" s="119" t="s">
        <v>96</v>
      </c>
      <c r="S3" s="119" t="s">
        <v>114</v>
      </c>
      <c r="T3" s="119" t="s">
        <v>119</v>
      </c>
      <c r="U3" s="119" t="s">
        <v>121</v>
      </c>
      <c r="V3" s="119" t="s">
        <v>4</v>
      </c>
      <c r="W3" s="119" t="s">
        <v>118</v>
      </c>
      <c r="X3" s="119" t="s">
        <v>112</v>
      </c>
      <c r="Y3" s="119" t="s">
        <v>125</v>
      </c>
      <c r="Z3" s="160" t="str">
        <f>L3</f>
        <v>Generation</v>
      </c>
      <c r="AA3" s="279" t="str">
        <f>M3</f>
        <v>Procurement</v>
      </c>
      <c r="AB3" s="160" t="s">
        <v>214</v>
      </c>
      <c r="AC3" s="119" t="s">
        <v>18</v>
      </c>
      <c r="AD3" s="119"/>
      <c r="AE3" s="72"/>
      <c r="AF3" s="74" t="s">
        <v>124</v>
      </c>
      <c r="AG3" s="413">
        <v>36895</v>
      </c>
      <c r="AH3" s="119"/>
      <c r="AI3" s="72"/>
      <c r="AJ3" s="72"/>
      <c r="AK3" s="119"/>
      <c r="AL3" s="119"/>
      <c r="AM3" s="72"/>
      <c r="AN3" s="72"/>
      <c r="AO3" s="72"/>
      <c r="AP3" s="72"/>
      <c r="AQ3" s="72"/>
      <c r="AR3" s="72"/>
      <c r="AS3" s="74"/>
      <c r="AT3" s="74"/>
      <c r="AU3" s="72"/>
      <c r="AV3" s="74"/>
      <c r="AW3" s="72"/>
      <c r="AX3" s="74"/>
      <c r="AY3" s="72"/>
      <c r="AZ3" s="74"/>
      <c r="BA3" s="72"/>
      <c r="BB3" s="74"/>
      <c r="BC3" s="72"/>
      <c r="BD3" s="74"/>
      <c r="BE3" s="72"/>
      <c r="BF3" s="75"/>
    </row>
    <row r="4" spans="1:58" s="11" customFormat="1">
      <c r="A4" s="72"/>
      <c r="B4" s="77" t="s">
        <v>20</v>
      </c>
      <c r="C4" s="77" t="s">
        <v>21</v>
      </c>
      <c r="D4" s="162" t="s">
        <v>123</v>
      </c>
      <c r="E4" s="163" t="s">
        <v>19</v>
      </c>
      <c r="F4" s="162" t="s">
        <v>19</v>
      </c>
      <c r="G4" s="162" t="s">
        <v>19</v>
      </c>
      <c r="H4" s="162" t="s">
        <v>19</v>
      </c>
      <c r="I4" s="162" t="s">
        <v>19</v>
      </c>
      <c r="J4" s="164" t="s">
        <v>113</v>
      </c>
      <c r="K4" s="164" t="s">
        <v>113</v>
      </c>
      <c r="L4" s="164" t="s">
        <v>483</v>
      </c>
      <c r="M4" s="164" t="s">
        <v>150</v>
      </c>
      <c r="N4" s="164" t="str">
        <f>M4</f>
        <v>Surcharge Rev</v>
      </c>
      <c r="O4" s="162" t="s">
        <v>19</v>
      </c>
      <c r="P4" s="78" t="s">
        <v>98</v>
      </c>
      <c r="Q4" s="175" t="s">
        <v>129</v>
      </c>
      <c r="R4" s="78" t="s">
        <v>24</v>
      </c>
      <c r="S4" s="78" t="s">
        <v>24</v>
      </c>
      <c r="T4" s="78" t="s">
        <v>24</v>
      </c>
      <c r="U4" s="78" t="s">
        <v>24</v>
      </c>
      <c r="V4" s="78" t="s">
        <v>24</v>
      </c>
      <c r="W4" s="78" t="s">
        <v>24</v>
      </c>
      <c r="X4" s="78" t="s">
        <v>24</v>
      </c>
      <c r="Y4" s="78" t="s">
        <v>117</v>
      </c>
      <c r="Z4" s="78" t="s">
        <v>484</v>
      </c>
      <c r="AA4" s="280" t="s">
        <v>24</v>
      </c>
      <c r="AB4" s="78" t="s">
        <v>24</v>
      </c>
      <c r="AC4" s="78" t="s">
        <v>24</v>
      </c>
      <c r="AD4" s="78"/>
      <c r="AE4" s="72"/>
      <c r="AF4" s="79" t="s">
        <v>492</v>
      </c>
      <c r="AG4" s="78" t="s">
        <v>24</v>
      </c>
      <c r="AH4" s="92"/>
      <c r="AI4" s="78"/>
      <c r="AJ4" s="78"/>
      <c r="AK4" s="78"/>
      <c r="AL4" s="78"/>
      <c r="AM4" s="78"/>
      <c r="AN4" s="78"/>
      <c r="AO4" s="78"/>
      <c r="AP4" s="78"/>
      <c r="AQ4" s="72"/>
      <c r="AR4" s="72"/>
      <c r="AS4" s="79"/>
      <c r="AT4" s="79"/>
      <c r="AU4" s="78"/>
      <c r="AV4" s="79"/>
      <c r="AW4" s="78"/>
      <c r="AX4" s="79"/>
      <c r="AY4" s="78"/>
      <c r="AZ4" s="79"/>
      <c r="BA4" s="78"/>
      <c r="BB4" s="79"/>
      <c r="BC4" s="78"/>
      <c r="BD4" s="79"/>
      <c r="BE4" s="78"/>
      <c r="BF4" s="80"/>
    </row>
    <row r="5" spans="1:58" s="11" customFormat="1">
      <c r="A5" s="72"/>
      <c r="B5" s="81" t="s">
        <v>99</v>
      </c>
      <c r="D5" s="161"/>
      <c r="E5" s="114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72"/>
      <c r="Q5" s="174"/>
      <c r="R5" s="72"/>
      <c r="S5" s="72"/>
      <c r="T5" s="72"/>
      <c r="U5" s="72"/>
      <c r="V5" s="72"/>
      <c r="W5" s="72"/>
      <c r="X5" s="72"/>
      <c r="Y5" s="72"/>
      <c r="Z5" s="72"/>
      <c r="AA5" s="281"/>
      <c r="AB5" s="72"/>
      <c r="AC5" s="72"/>
      <c r="AD5" s="72"/>
      <c r="AE5" s="72"/>
      <c r="AF5" s="74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</row>
    <row r="6" spans="1:58" s="11" customFormat="1" ht="6" hidden="1" customHeight="1">
      <c r="A6" s="72"/>
      <c r="B6" s="72"/>
      <c r="C6" s="72"/>
      <c r="D6" s="161"/>
      <c r="E6" s="114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72"/>
      <c r="Q6" s="174"/>
      <c r="R6" s="72"/>
      <c r="S6" s="72"/>
      <c r="T6" s="72"/>
      <c r="U6" s="72"/>
      <c r="V6" s="72"/>
      <c r="W6" s="72"/>
      <c r="X6" s="72"/>
      <c r="Y6" s="72"/>
      <c r="Z6" s="72"/>
      <c r="AA6" s="281"/>
      <c r="AB6" s="72"/>
      <c r="AC6" s="72"/>
      <c r="AD6" s="72"/>
      <c r="AE6" s="72"/>
      <c r="AF6" s="74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  <c r="BA6" s="72"/>
      <c r="BB6" s="72"/>
      <c r="BC6" s="72"/>
      <c r="BD6" s="72"/>
      <c r="BE6" s="72"/>
      <c r="BF6" s="72"/>
    </row>
    <row r="7" spans="1:58" s="11" customFormat="1" ht="7.5" hidden="1" customHeight="1">
      <c r="A7" s="72"/>
      <c r="C7" s="73"/>
      <c r="D7" s="91"/>
      <c r="E7" s="144"/>
      <c r="F7" s="91"/>
      <c r="G7" s="91"/>
      <c r="H7" s="91"/>
      <c r="I7" s="91"/>
      <c r="J7" s="91"/>
      <c r="K7" s="91"/>
      <c r="L7" s="93"/>
      <c r="M7" s="91"/>
      <c r="N7" s="91"/>
      <c r="O7" s="91"/>
      <c r="P7" s="82"/>
      <c r="Q7" s="176"/>
      <c r="R7" s="84"/>
      <c r="S7" s="84"/>
      <c r="T7" s="84"/>
      <c r="U7" s="84"/>
      <c r="V7" s="84"/>
      <c r="W7" s="84"/>
      <c r="X7" s="84"/>
      <c r="Y7" s="84"/>
      <c r="Z7" s="84"/>
      <c r="AA7" s="282"/>
      <c r="AB7" s="84"/>
      <c r="AC7" s="84"/>
      <c r="AD7" s="84"/>
      <c r="AE7" s="85"/>
      <c r="AF7" s="74"/>
      <c r="AG7" s="84"/>
      <c r="AH7" s="84"/>
      <c r="AI7" s="72"/>
      <c r="AJ7" s="147"/>
      <c r="AK7" s="147"/>
      <c r="AL7" s="147"/>
      <c r="AM7" s="147"/>
      <c r="AN7" s="82"/>
      <c r="AO7" s="82"/>
      <c r="AP7" s="86"/>
      <c r="AQ7" s="82"/>
      <c r="AR7" s="86"/>
      <c r="AS7" s="86"/>
      <c r="AT7" s="87"/>
      <c r="AU7" s="86"/>
      <c r="AV7" s="87"/>
      <c r="AW7" s="86"/>
      <c r="AX7" s="87"/>
      <c r="AY7" s="86"/>
      <c r="AZ7" s="87"/>
      <c r="BA7" s="86"/>
      <c r="BB7" s="87"/>
      <c r="BC7" s="86"/>
      <c r="BD7" s="87"/>
      <c r="BE7" s="82"/>
      <c r="BF7" s="88"/>
    </row>
    <row r="8" spans="1:58" s="11" customFormat="1">
      <c r="A8" s="72"/>
      <c r="B8" s="2" t="s">
        <v>130</v>
      </c>
      <c r="C8" s="73" t="s">
        <v>28</v>
      </c>
      <c r="D8" s="387">
        <f>'Test Year 2001 Sales and Revs.'!G7</f>
        <v>2581981586.0153246</v>
      </c>
      <c r="E8" s="186">
        <v>114113238.131473</v>
      </c>
      <c r="F8" s="106">
        <v>64266365.682351738</v>
      </c>
      <c r="G8" s="106">
        <v>81787122.470954299</v>
      </c>
      <c r="H8" s="106">
        <v>944306358.04196811</v>
      </c>
      <c r="I8" s="106">
        <v>11917321.147569399</v>
      </c>
      <c r="J8" s="91">
        <f>D8-SUM(E8:I8,K8)</f>
        <v>1129619656.3089674</v>
      </c>
      <c r="K8" s="90">
        <f>'Test Year 2001 Sales and Revs.'!N7</f>
        <v>235971524.23204058</v>
      </c>
      <c r="L8" s="90">
        <f>IF(allocation_method&gt;=6,CHOOSE(gen_choice,'Generation Calculations'!H7-'Generation Calculations'!I7+'Generation Calculations'!J7,'Generation Calculations'!G7+'Generation Calculations'!H7-'Generation Calculations'!I7+'Generation Calculations'!J7),0)</f>
        <v>0</v>
      </c>
      <c r="M8" s="90">
        <f>'Test Year 2001 Sales and Revs.'!K7</f>
        <v>233674503.85910562</v>
      </c>
      <c r="N8" s="90">
        <f>CHOOSE(allocation_method,'RSP Surch Allocations'!E9,'RSP Surch Allocations'!J9,'RSP Surch Allocations'!N9,'RSP Surch Allocations'!Q9,'RSP Surch Allocations'!AA9,'RSP Surch Allocations'!AH9,'RSP Surch Allocations'!AS9,'RSP Surch Allocations'!BD9,'RSP Surch Allocations'!BO9,'RSP Surch Allocations'!BZ9,)</f>
        <v>894244845.33906889</v>
      </c>
      <c r="O8" s="91">
        <f>SUM(E8:N8)</f>
        <v>3709900935.2134991</v>
      </c>
      <c r="P8" s="145">
        <f>ROUND(O8-D8,0)</f>
        <v>1127919349</v>
      </c>
      <c r="Q8" s="177">
        <f>'Test Year 2001 Sales and Revs.'!F7</f>
        <v>23367450385.910561</v>
      </c>
      <c r="R8" s="92">
        <f t="shared" ref="R8:AC13" si="0">D8/$Q8*100</f>
        <v>11.049479268701621</v>
      </c>
      <c r="S8" s="92">
        <f t="shared" si="0"/>
        <v>0.48834269998184204</v>
      </c>
      <c r="T8" s="92">
        <f t="shared" si="0"/>
        <v>0.27502515088724117</v>
      </c>
      <c r="U8" s="92">
        <f t="shared" si="0"/>
        <v>0.35000447682674002</v>
      </c>
      <c r="V8" s="92">
        <f t="shared" si="0"/>
        <v>4.0411184893810193</v>
      </c>
      <c r="W8" s="92">
        <f t="shared" si="0"/>
        <v>5.0999663851880754E-2</v>
      </c>
      <c r="X8" s="92">
        <f t="shared" si="0"/>
        <v>4.834158787772898</v>
      </c>
      <c r="Y8" s="92">
        <f t="shared" si="0"/>
        <v>1.00983</v>
      </c>
      <c r="Z8" s="92">
        <f t="shared" si="0"/>
        <v>0</v>
      </c>
      <c r="AA8" s="281">
        <f t="shared" si="0"/>
        <v>1</v>
      </c>
      <c r="AB8" s="92">
        <f t="shared" si="0"/>
        <v>3.8268823965418801</v>
      </c>
      <c r="AC8" s="92">
        <f t="shared" si="0"/>
        <v>15.876361665243502</v>
      </c>
      <c r="AD8" s="92"/>
      <c r="AE8" s="93"/>
      <c r="AF8" s="74">
        <f t="shared" ref="AF8:AF13" si="1">(AC8-AG8)/AG8</f>
        <v>0.3175973260921045</v>
      </c>
      <c r="AG8" s="92">
        <f>AA8+R8</f>
        <v>12.049479268701621</v>
      </c>
      <c r="AH8" s="92"/>
      <c r="AI8" s="74"/>
      <c r="AJ8" s="74"/>
      <c r="AK8" s="74"/>
      <c r="AL8" s="74"/>
      <c r="AM8" s="74"/>
      <c r="AN8" s="86"/>
      <c r="AO8" s="86"/>
      <c r="AP8" s="86"/>
      <c r="AQ8" s="82"/>
      <c r="AR8" s="86"/>
      <c r="AS8" s="87"/>
      <c r="AT8" s="87"/>
      <c r="AU8" s="86"/>
      <c r="AV8" s="87"/>
      <c r="AW8" s="86"/>
      <c r="AX8" s="87"/>
      <c r="AY8" s="86"/>
      <c r="AZ8" s="87"/>
      <c r="BA8" s="86"/>
      <c r="BB8" s="87"/>
      <c r="BC8" s="86"/>
      <c r="BD8" s="87"/>
      <c r="BE8" s="86"/>
      <c r="BF8" s="88"/>
    </row>
    <row r="9" spans="1:58" s="11" customFormat="1">
      <c r="A9" s="72"/>
      <c r="B9" s="2" t="s">
        <v>131</v>
      </c>
      <c r="C9" s="73" t="s">
        <v>28</v>
      </c>
      <c r="D9" s="387">
        <f>'Test Year 2001 Sales and Revs.'!G8</f>
        <v>168120011.16367021</v>
      </c>
      <c r="E9" s="186">
        <v>9387877.603040332</v>
      </c>
      <c r="F9" s="106">
        <v>5287070.8508244092</v>
      </c>
      <c r="G9" s="106">
        <v>5997470.8587782672</v>
      </c>
      <c r="H9" s="106">
        <v>41116397.337440841</v>
      </c>
      <c r="I9" s="106">
        <v>980442.72461933421</v>
      </c>
      <c r="J9" s="91">
        <f>D9-SUM(E9:I9,K9)</f>
        <v>85937826.316281825</v>
      </c>
      <c r="K9" s="90">
        <f>'Test Year 2001 Sales and Revs.'!N8</f>
        <v>19412925.472685192</v>
      </c>
      <c r="L9" s="90">
        <f>IF(allocation_method&gt;=6,CHOOSE(gen_choice,'Generation Calculations'!H8-'Generation Calculations'!I8+'Generation Calculations'!J8,'Generation Calculations'!G8+'Generation Calculations'!H8-'Generation Calculations'!I8+'Generation Calculations'!J8),0)</f>
        <v>0</v>
      </c>
      <c r="M9" s="90">
        <f>'Test Year 2001 Sales and Revs.'!K8</f>
        <v>0</v>
      </c>
      <c r="N9" s="90">
        <f>CHOOSE(allocation_method,'RSP Surch Allocations'!E10,'RSP Surch Allocations'!J10,'RSP Surch Allocations'!N10,'RSP Surch Allocations'!Q10,'RSP Surch Allocations'!AA10,'RSP Surch Allocations'!AH10,'RSP Surch Allocations'!AS10,'RSP Surch Allocations'!BD10,'RSP Surch Allocations'!BO10,'RSP Surch Allocations'!BZ10,)</f>
        <v>0</v>
      </c>
      <c r="O9" s="91">
        <f>SUM(E9:N9)</f>
        <v>168120011.16367021</v>
      </c>
      <c r="P9" s="145"/>
      <c r="Q9" s="177">
        <f>'Test Year 2001 Sales and Revs.'!F8</f>
        <v>1922395400.4817834</v>
      </c>
      <c r="R9" s="92">
        <f t="shared" si="0"/>
        <v>8.7453398568024365</v>
      </c>
      <c r="S9" s="92">
        <f t="shared" si="0"/>
        <v>0.48834269998188601</v>
      </c>
      <c r="T9" s="92">
        <f t="shared" si="0"/>
        <v>0.27502515088724117</v>
      </c>
      <c r="U9" s="92">
        <f t="shared" si="0"/>
        <v>0.31197904745689697</v>
      </c>
      <c r="V9" s="92">
        <f t="shared" si="0"/>
        <v>2.1388106383908538</v>
      </c>
      <c r="W9" s="92">
        <f t="shared" si="0"/>
        <v>5.1001096047858803E-2</v>
      </c>
      <c r="X9" s="92">
        <f t="shared" si="0"/>
        <v>4.4703512240376986</v>
      </c>
      <c r="Y9" s="92">
        <f t="shared" si="0"/>
        <v>1.00983</v>
      </c>
      <c r="Z9" s="92">
        <f t="shared" si="0"/>
        <v>0</v>
      </c>
      <c r="AA9" s="281">
        <f t="shared" si="0"/>
        <v>0</v>
      </c>
      <c r="AB9" s="92">
        <f t="shared" si="0"/>
        <v>0</v>
      </c>
      <c r="AC9" s="92">
        <f t="shared" si="0"/>
        <v>8.7453398568024365</v>
      </c>
      <c r="AD9" s="92"/>
      <c r="AE9" s="93"/>
      <c r="AF9" s="74">
        <f t="shared" si="1"/>
        <v>0</v>
      </c>
      <c r="AG9" s="92">
        <f t="shared" ref="AG9:AG72" si="2">AA9+R9</f>
        <v>8.7453398568024365</v>
      </c>
      <c r="AH9" s="92"/>
      <c r="AI9" s="74"/>
      <c r="AJ9" s="74"/>
      <c r="AK9" s="74"/>
      <c r="AL9" s="74"/>
      <c r="AM9" s="74"/>
      <c r="AN9" s="86"/>
      <c r="AO9" s="86"/>
      <c r="AP9" s="86"/>
      <c r="AQ9" s="82"/>
      <c r="AR9" s="86"/>
      <c r="AS9" s="87"/>
      <c r="AT9" s="87"/>
      <c r="AU9" s="86"/>
      <c r="AV9" s="87"/>
      <c r="AW9" s="86"/>
      <c r="AX9" s="87"/>
      <c r="AY9" s="86"/>
      <c r="AZ9" s="87"/>
      <c r="BA9" s="86"/>
      <c r="BB9" s="87"/>
      <c r="BC9" s="86"/>
      <c r="BD9" s="87"/>
      <c r="BE9" s="86"/>
      <c r="BF9" s="88"/>
    </row>
    <row r="10" spans="1:58" s="11" customFormat="1">
      <c r="A10" s="72"/>
      <c r="B10" s="2" t="s">
        <v>29</v>
      </c>
      <c r="C10" s="73" t="s">
        <v>28</v>
      </c>
      <c r="D10" s="387">
        <f>'Test Year 2001 Sales and Revs.'!G9</f>
        <v>110620380.01585585</v>
      </c>
      <c r="E10" s="186">
        <v>5922898.1639569001</v>
      </c>
      <c r="F10" s="106">
        <v>3335356.47278322</v>
      </c>
      <c r="G10" s="106">
        <v>3662827.8575292104</v>
      </c>
      <c r="H10" s="106">
        <v>38434227.78364256</v>
      </c>
      <c r="I10" s="106">
        <v>521528.46978064702</v>
      </c>
      <c r="J10" s="91">
        <f>D10-SUM(E10:I10,K10)</f>
        <v>46495748.369591385</v>
      </c>
      <c r="K10" s="90">
        <f>'Test Year 2001 Sales and Revs.'!N9</f>
        <v>12247792.898571927</v>
      </c>
      <c r="L10" s="90">
        <f>IF(allocation_method&gt;=6,CHOOSE(gen_choice,'Generation Calculations'!H9-'Generation Calculations'!I9+'Generation Calculations'!J9,'Generation Calculations'!G9+'Generation Calculations'!H9-'Generation Calculations'!I9+'Generation Calculations'!J9),0)</f>
        <v>0</v>
      </c>
      <c r="M10" s="90">
        <f>'Test Year 2001 Sales and Revs.'!K9</f>
        <v>11990110.594666259</v>
      </c>
      <c r="N10" s="90">
        <f>CHOOSE(allocation_method,'RSP Surch Allocations'!E11,'RSP Surch Allocations'!J11,'RSP Surch Allocations'!N11,'RSP Surch Allocations'!Q11,'RSP Surch Allocations'!AA11,'RSP Surch Allocations'!AH11,'RSP Surch Allocations'!AS11,'RSP Surch Allocations'!BD11,'RSP Surch Allocations'!BO11,'RSP Surch Allocations'!BZ11,)</f>
        <v>45884743.167318605</v>
      </c>
      <c r="O10" s="91">
        <f>SUM(E10:N10)</f>
        <v>168495233.7778407</v>
      </c>
      <c r="P10" s="145">
        <f>ROUND(O10-D10,0)</f>
        <v>57874854</v>
      </c>
      <c r="Q10" s="177">
        <f>'Test Year 2001 Sales and Revs.'!F9</f>
        <v>1212856906.4666259</v>
      </c>
      <c r="R10" s="92">
        <f t="shared" si="0"/>
        <v>9.1206455952105987</v>
      </c>
      <c r="S10" s="92">
        <f t="shared" si="0"/>
        <v>0.48834269998196861</v>
      </c>
      <c r="T10" s="92">
        <f t="shared" si="0"/>
        <v>0.27499999835100075</v>
      </c>
      <c r="U10" s="92">
        <f t="shared" si="0"/>
        <v>0.30199999999999999</v>
      </c>
      <c r="V10" s="92">
        <f t="shared" si="0"/>
        <v>3.1689004348923291</v>
      </c>
      <c r="W10" s="92">
        <f t="shared" si="0"/>
        <v>4.2999999999999823E-2</v>
      </c>
      <c r="X10" s="92">
        <f t="shared" si="0"/>
        <v>3.8335724619853004</v>
      </c>
      <c r="Y10" s="92">
        <f t="shared" si="0"/>
        <v>1.00983</v>
      </c>
      <c r="Z10" s="92">
        <f t="shared" si="0"/>
        <v>0</v>
      </c>
      <c r="AA10" s="281">
        <f t="shared" si="0"/>
        <v>0.98858410507770733</v>
      </c>
      <c r="AB10" s="92">
        <f t="shared" si="0"/>
        <v>3.7831951092229863</v>
      </c>
      <c r="AC10" s="92">
        <f t="shared" si="0"/>
        <v>13.892424809511292</v>
      </c>
      <c r="AD10" s="92"/>
      <c r="AE10" s="93"/>
      <c r="AF10" s="74">
        <f t="shared" si="1"/>
        <v>0.37423178831470139</v>
      </c>
      <c r="AG10" s="92">
        <f t="shared" si="2"/>
        <v>10.109229700288306</v>
      </c>
      <c r="AH10" s="92"/>
      <c r="AI10" s="74"/>
      <c r="AJ10" s="74"/>
      <c r="AK10" s="74"/>
      <c r="AL10" s="74"/>
      <c r="AM10" s="74"/>
      <c r="AN10" s="86"/>
      <c r="AO10" s="86"/>
      <c r="AP10" s="86"/>
      <c r="AQ10" s="82"/>
      <c r="AR10" s="86"/>
      <c r="AS10" s="87"/>
      <c r="AT10" s="87"/>
      <c r="AU10" s="86"/>
      <c r="AV10" s="87"/>
      <c r="AW10" s="86"/>
      <c r="AX10" s="87"/>
      <c r="AY10" s="86"/>
      <c r="AZ10" s="87"/>
      <c r="BA10" s="86"/>
      <c r="BB10" s="87"/>
      <c r="BC10" s="86"/>
      <c r="BD10" s="87"/>
      <c r="BE10" s="86"/>
      <c r="BF10" s="88"/>
    </row>
    <row r="11" spans="1:58" s="113" customFormat="1">
      <c r="A11" s="72"/>
      <c r="B11" s="2" t="s">
        <v>132</v>
      </c>
      <c r="C11" s="73" t="s">
        <v>28</v>
      </c>
      <c r="D11" s="387">
        <f>'Test Year 2001 Sales and Revs.'!G10</f>
        <v>211472700.49981663</v>
      </c>
      <c r="E11" s="186">
        <v>10978477.183477901</v>
      </c>
      <c r="F11" s="106">
        <v>6182305.9412343055</v>
      </c>
      <c r="G11" s="106">
        <v>6856739.3166416856</v>
      </c>
      <c r="H11" s="106">
        <v>67402501.525203958</v>
      </c>
      <c r="I11" s="106">
        <v>966687.83808390959</v>
      </c>
      <c r="J11" s="91">
        <f>D11-SUM(E11:I11,K11)</f>
        <v>96383886.845587105</v>
      </c>
      <c r="K11" s="90">
        <f>'Test Year 2001 Sales and Revs.'!N10</f>
        <v>22702101.849587776</v>
      </c>
      <c r="L11" s="90">
        <f>IF(allocation_method&gt;=6,CHOOSE(gen_choice,'Generation Calculations'!H10-'Generation Calculations'!I10+'Generation Calculations'!J10,'Generation Calculations'!G10+'Generation Calculations'!H10-'Generation Calculations'!I10+'Generation Calculations'!J10),0)</f>
        <v>0</v>
      </c>
      <c r="M11" s="90">
        <f>'Test Year 2001 Sales and Revs.'!K10</f>
        <v>22481112.513579294</v>
      </c>
      <c r="N11" s="90">
        <f>CHOOSE(allocation_method,'RSP Surch Allocations'!E12,'RSP Surch Allocations'!J12,'RSP Surch Allocations'!N12,'RSP Surch Allocations'!Q12,'RSP Surch Allocations'!AA12,'RSP Surch Allocations'!AH12,'RSP Surch Allocations'!AS12,'RSP Surch Allocations'!BD12,'RSP Surch Allocations'!BO12,'RSP Surch Allocations'!BZ12,)</f>
        <v>86032573.732893974</v>
      </c>
      <c r="O11" s="91">
        <f>SUM(E11:N11)</f>
        <v>319986386.74628985</v>
      </c>
      <c r="P11" s="145">
        <f>ROUND(O11-D11,0)</f>
        <v>108513686</v>
      </c>
      <c r="Q11" s="177">
        <f>'Test Year 2001 Sales and Revs.'!F10</f>
        <v>2248111251.3579292</v>
      </c>
      <c r="R11" s="92">
        <f t="shared" si="0"/>
        <v>9.4066830710482208</v>
      </c>
      <c r="S11" s="92">
        <f t="shared" si="0"/>
        <v>0.48834225516404306</v>
      </c>
      <c r="T11" s="92">
        <f t="shared" si="0"/>
        <v>0.27499999999999997</v>
      </c>
      <c r="U11" s="92">
        <f t="shared" si="0"/>
        <v>0.30500000000000005</v>
      </c>
      <c r="V11" s="92">
        <f t="shared" si="0"/>
        <v>2.9981835411610858</v>
      </c>
      <c r="W11" s="92">
        <f t="shared" si="0"/>
        <v>4.2999999999999997E-2</v>
      </c>
      <c r="X11" s="92">
        <f t="shared" si="0"/>
        <v>4.2873272747230917</v>
      </c>
      <c r="Y11" s="92">
        <f t="shared" si="0"/>
        <v>1.00983</v>
      </c>
      <c r="Z11" s="92">
        <f t="shared" si="0"/>
        <v>0</v>
      </c>
      <c r="AA11" s="281">
        <f t="shared" si="0"/>
        <v>1</v>
      </c>
      <c r="AB11" s="92">
        <f t="shared" si="0"/>
        <v>3.8268823965418801</v>
      </c>
      <c r="AC11" s="92">
        <f t="shared" si="0"/>
        <v>14.233565467590099</v>
      </c>
      <c r="AD11" s="92"/>
      <c r="AE11" s="93"/>
      <c r="AF11" s="74">
        <f t="shared" si="1"/>
        <v>0.36773315478285362</v>
      </c>
      <c r="AG11" s="92">
        <f t="shared" si="2"/>
        <v>10.406683071048221</v>
      </c>
      <c r="AH11" s="92"/>
      <c r="AI11" s="74"/>
      <c r="AJ11" s="74"/>
      <c r="AK11" s="74"/>
      <c r="AL11" s="74"/>
      <c r="AM11" s="74"/>
      <c r="AN11" s="86"/>
      <c r="AO11" s="86"/>
      <c r="AP11" s="86"/>
      <c r="AQ11" s="82"/>
      <c r="AR11" s="86"/>
      <c r="AS11" s="87"/>
      <c r="AT11" s="87"/>
      <c r="AU11" s="86"/>
      <c r="AV11" s="87"/>
      <c r="AW11" s="86"/>
      <c r="AX11" s="87"/>
      <c r="AY11" s="86"/>
      <c r="AZ11" s="87"/>
      <c r="BA11" s="86"/>
      <c r="BB11" s="87"/>
      <c r="BC11" s="86"/>
      <c r="BD11" s="87"/>
      <c r="BE11" s="86"/>
      <c r="BF11" s="88"/>
    </row>
    <row r="12" spans="1:58" s="11" customFormat="1">
      <c r="A12" s="72"/>
      <c r="B12" s="2" t="s">
        <v>133</v>
      </c>
      <c r="C12" s="73" t="s">
        <v>28</v>
      </c>
      <c r="D12" s="388">
        <f>'Test Year 2001 Sales and Revs.'!G11</f>
        <v>7831339.5977828437</v>
      </c>
      <c r="E12" s="187">
        <v>472776.1522659646</v>
      </c>
      <c r="F12" s="156">
        <v>266234.02352070139</v>
      </c>
      <c r="G12" s="156">
        <v>258479.03374565399</v>
      </c>
      <c r="H12" s="156">
        <v>1528342.1630620204</v>
      </c>
      <c r="I12" s="156">
        <v>41629.32004141876</v>
      </c>
      <c r="J12" s="96">
        <f>D12-SUM(E12:I12,K12)</f>
        <v>4286238.5270674117</v>
      </c>
      <c r="K12" s="95">
        <f>'Test Year 2001 Sales and Revs.'!N11</f>
        <v>977640.37807967223</v>
      </c>
      <c r="L12" s="95">
        <f>IF(allocation_method&gt;=6,CHOOSE(gen_choice,'Generation Calculations'!H11-'Generation Calculations'!I11+'Generation Calculations'!J11,'Generation Calculations'!G11+'Generation Calculations'!H11-'Generation Calculations'!I11+'Generation Calculations'!J11),0)</f>
        <v>0</v>
      </c>
      <c r="M12" s="95">
        <f>'Test Year 2001 Sales and Revs.'!K11</f>
        <v>0</v>
      </c>
      <c r="N12" s="95">
        <f>CHOOSE(allocation_method,'RSP Surch Allocations'!E13,'RSP Surch Allocations'!J13,'RSP Surch Allocations'!N13,'RSP Surch Allocations'!Q13,'RSP Surch Allocations'!AA13,'RSP Surch Allocations'!AH13,'RSP Surch Allocations'!AS13,'RSP Surch Allocations'!BD13,'RSP Surch Allocations'!BO13,'RSP Surch Allocations'!BZ13,)</f>
        <v>0</v>
      </c>
      <c r="O12" s="91">
        <f>SUM(E12:N12)</f>
        <v>7831339.5977828437</v>
      </c>
      <c r="P12" s="145"/>
      <c r="Q12" s="178">
        <f>'Test Year 2001 Sales and Revs.'!F11</f>
        <v>96812372.189345956</v>
      </c>
      <c r="R12" s="92">
        <f t="shared" si="0"/>
        <v>8.0891929623068055</v>
      </c>
      <c r="S12" s="92">
        <f t="shared" si="0"/>
        <v>0.48834269998188601</v>
      </c>
      <c r="T12" s="92">
        <f t="shared" si="0"/>
        <v>0.27500000000000002</v>
      </c>
      <c r="U12" s="92">
        <f t="shared" si="0"/>
        <v>0.26698967074179303</v>
      </c>
      <c r="V12" s="92">
        <f t="shared" si="0"/>
        <v>1.5786640989158738</v>
      </c>
      <c r="W12" s="92">
        <f t="shared" si="0"/>
        <v>4.2999999999999997E-2</v>
      </c>
      <c r="X12" s="92">
        <f t="shared" si="0"/>
        <v>4.4273664926672511</v>
      </c>
      <c r="Y12" s="92">
        <f t="shared" si="0"/>
        <v>1.00983</v>
      </c>
      <c r="Z12" s="92">
        <f t="shared" si="0"/>
        <v>0</v>
      </c>
      <c r="AA12" s="281">
        <f t="shared" si="0"/>
        <v>0</v>
      </c>
      <c r="AB12" s="92">
        <f t="shared" si="0"/>
        <v>0</v>
      </c>
      <c r="AC12" s="92">
        <f t="shared" si="0"/>
        <v>8.0891929623068055</v>
      </c>
      <c r="AD12" s="97"/>
      <c r="AE12" s="93"/>
      <c r="AF12" s="79">
        <f t="shared" si="1"/>
        <v>0</v>
      </c>
      <c r="AG12" s="92">
        <f t="shared" si="2"/>
        <v>8.0891929623068055</v>
      </c>
      <c r="AH12" s="92"/>
      <c r="AI12" s="79"/>
      <c r="AJ12" s="79"/>
      <c r="AK12" s="79"/>
      <c r="AL12" s="79"/>
      <c r="AM12" s="79"/>
      <c r="AN12" s="99"/>
      <c r="AO12" s="99"/>
      <c r="AP12" s="99"/>
      <c r="AQ12" s="100"/>
      <c r="AR12" s="99"/>
      <c r="AS12" s="98"/>
      <c r="AT12" s="98"/>
      <c r="AU12" s="99"/>
      <c r="AV12" s="98"/>
      <c r="AW12" s="99"/>
      <c r="AX12" s="98"/>
      <c r="AY12" s="99"/>
      <c r="AZ12" s="98"/>
      <c r="BA12" s="99"/>
      <c r="BB12" s="98"/>
      <c r="BC12" s="99"/>
      <c r="BD12" s="98"/>
      <c r="BE12" s="99"/>
      <c r="BF12" s="101"/>
    </row>
    <row r="13" spans="1:58" s="11" customFormat="1">
      <c r="A13" s="72"/>
      <c r="B13" s="81" t="s">
        <v>30</v>
      </c>
      <c r="C13" s="73"/>
      <c r="D13" s="91">
        <f t="shared" ref="D13:O13" si="3">SUM(D8:D12)</f>
        <v>3080026017.2924495</v>
      </c>
      <c r="E13" s="91">
        <f t="shared" si="3"/>
        <v>140875267.2342141</v>
      </c>
      <c r="F13" s="91">
        <f t="shared" si="3"/>
        <v>79337332.97071439</v>
      </c>
      <c r="G13" s="91">
        <f t="shared" si="3"/>
        <v>98562639.537649125</v>
      </c>
      <c r="H13" s="91">
        <f t="shared" si="3"/>
        <v>1092787826.8513176</v>
      </c>
      <c r="I13" s="91">
        <f t="shared" si="3"/>
        <v>14427609.500094708</v>
      </c>
      <c r="J13" s="91">
        <f t="shared" si="3"/>
        <v>1362723356.3674951</v>
      </c>
      <c r="K13" s="91">
        <f t="shared" si="3"/>
        <v>291311984.83096516</v>
      </c>
      <c r="L13" s="91">
        <f t="shared" si="3"/>
        <v>0</v>
      </c>
      <c r="M13" s="91">
        <f t="shared" si="3"/>
        <v>268145726.9673512</v>
      </c>
      <c r="N13" s="91">
        <f>SUM(N8:N12)</f>
        <v>1026162162.2392814</v>
      </c>
      <c r="O13" s="91">
        <f t="shared" si="3"/>
        <v>4374333906.4990826</v>
      </c>
      <c r="P13" s="145">
        <f>ROUND(O13-D13,0)</f>
        <v>1294307889</v>
      </c>
      <c r="Q13" s="176">
        <f>SUM(Q8:Q12)</f>
        <v>28847626316.406246</v>
      </c>
      <c r="R13" s="92">
        <f t="shared" si="0"/>
        <v>10.67687851856558</v>
      </c>
      <c r="S13" s="92">
        <f t="shared" si="0"/>
        <v>0.48834266531695675</v>
      </c>
      <c r="T13" s="92">
        <f t="shared" si="0"/>
        <v>0.27502204895656734</v>
      </c>
      <c r="U13" s="92">
        <f t="shared" si="0"/>
        <v>0.34166637648656206</v>
      </c>
      <c r="V13" s="92">
        <f t="shared" si="0"/>
        <v>3.788137765185299</v>
      </c>
      <c r="W13" s="92">
        <f t="shared" si="0"/>
        <v>5.0013159980131283E-2</v>
      </c>
      <c r="X13" s="92">
        <f t="shared" si="0"/>
        <v>4.7238665026400657</v>
      </c>
      <c r="Y13" s="92">
        <f t="shared" si="0"/>
        <v>1.00983</v>
      </c>
      <c r="Z13" s="92">
        <f t="shared" si="0"/>
        <v>0</v>
      </c>
      <c r="AA13" s="281">
        <f t="shared" si="0"/>
        <v>0.92952440532291258</v>
      </c>
      <c r="AB13" s="92">
        <f t="shared" si="0"/>
        <v>3.5571805838863129</v>
      </c>
      <c r="AC13" s="92">
        <f t="shared" si="0"/>
        <v>15.163583507774808</v>
      </c>
      <c r="AD13" s="92"/>
      <c r="AE13" s="93"/>
      <c r="AF13" s="74">
        <f t="shared" si="1"/>
        <v>0.30648432655778884</v>
      </c>
      <c r="AG13" s="92">
        <f t="shared" si="2"/>
        <v>11.606402923888492</v>
      </c>
      <c r="AH13" s="92"/>
      <c r="AI13" s="74"/>
      <c r="AJ13" s="74"/>
      <c r="AK13" s="74"/>
      <c r="AL13" s="74"/>
      <c r="AM13" s="74"/>
      <c r="AN13" s="86"/>
      <c r="AO13" s="86"/>
      <c r="AP13" s="86"/>
      <c r="AQ13" s="82"/>
      <c r="AR13" s="86"/>
      <c r="AS13" s="87"/>
      <c r="AT13" s="87"/>
      <c r="AU13" s="86"/>
      <c r="AV13" s="87"/>
      <c r="AW13" s="86"/>
      <c r="AX13" s="87"/>
      <c r="AY13" s="86"/>
      <c r="AZ13" s="87"/>
      <c r="BA13" s="86"/>
      <c r="BB13" s="87"/>
      <c r="BC13" s="86"/>
      <c r="BD13" s="87"/>
      <c r="BE13" s="86"/>
      <c r="BF13" s="88"/>
    </row>
    <row r="14" spans="1:58" s="11" customFormat="1" ht="9" customHeight="1">
      <c r="A14" s="72"/>
      <c r="B14" s="94"/>
      <c r="C14" s="73"/>
      <c r="D14" s="106"/>
      <c r="E14" s="144"/>
      <c r="F14" s="106"/>
      <c r="G14" s="106"/>
      <c r="H14" s="106"/>
      <c r="I14" s="106"/>
      <c r="J14" s="91"/>
      <c r="K14" s="91"/>
      <c r="L14" s="91"/>
      <c r="M14" s="91"/>
      <c r="N14" s="91"/>
      <c r="O14" s="91"/>
      <c r="P14" s="145"/>
      <c r="Q14" s="176"/>
      <c r="R14" s="92"/>
      <c r="S14" s="92"/>
      <c r="T14" s="92"/>
      <c r="U14" s="92"/>
      <c r="V14" s="92"/>
      <c r="W14" s="92"/>
      <c r="X14" s="92"/>
      <c r="Y14" s="92"/>
      <c r="Z14" s="92"/>
      <c r="AA14" s="281"/>
      <c r="AB14" s="92"/>
      <c r="AC14" s="92"/>
      <c r="AD14" s="92"/>
      <c r="AE14" s="93"/>
      <c r="AF14" s="74"/>
      <c r="AG14" s="92">
        <f t="shared" si="2"/>
        <v>0</v>
      </c>
      <c r="AH14" s="92"/>
      <c r="AI14" s="74"/>
      <c r="AJ14" s="74"/>
      <c r="AK14" s="74"/>
      <c r="AL14" s="74"/>
      <c r="AM14" s="74"/>
      <c r="AN14" s="82"/>
      <c r="AO14" s="82"/>
      <c r="AP14" s="86"/>
      <c r="AQ14" s="82"/>
      <c r="AR14" s="86"/>
      <c r="AS14" s="87"/>
      <c r="AT14" s="87"/>
      <c r="AU14" s="86"/>
      <c r="AV14" s="87"/>
      <c r="AW14" s="86"/>
      <c r="AX14" s="87"/>
      <c r="AY14" s="86"/>
      <c r="AZ14" s="87"/>
      <c r="BA14" s="86"/>
      <c r="BB14" s="87"/>
      <c r="BC14" s="86"/>
      <c r="BD14" s="87"/>
      <c r="BE14" s="82"/>
      <c r="BF14" s="88"/>
    </row>
    <row r="15" spans="1:58" s="11" customFormat="1">
      <c r="A15" s="72"/>
      <c r="B15" s="81" t="s">
        <v>31</v>
      </c>
      <c r="C15" s="73"/>
      <c r="D15" s="106"/>
      <c r="E15" s="144"/>
      <c r="F15" s="106"/>
      <c r="G15" s="106"/>
      <c r="H15" s="106"/>
      <c r="I15" s="106"/>
      <c r="J15" s="91"/>
      <c r="K15" s="91"/>
      <c r="L15" s="91"/>
      <c r="M15" s="91"/>
      <c r="N15" s="91"/>
      <c r="O15" s="91"/>
      <c r="P15" s="145"/>
      <c r="Q15" s="176"/>
      <c r="R15" s="92"/>
      <c r="S15" s="92"/>
      <c r="T15" s="92"/>
      <c r="U15" s="92"/>
      <c r="V15" s="92"/>
      <c r="W15" s="92"/>
      <c r="X15" s="92"/>
      <c r="Y15" s="92"/>
      <c r="Z15" s="92"/>
      <c r="AA15" s="281"/>
      <c r="AB15" s="92"/>
      <c r="AC15" s="92"/>
      <c r="AD15" s="92"/>
      <c r="AE15" s="93"/>
      <c r="AF15" s="74"/>
      <c r="AG15" s="92">
        <f t="shared" si="2"/>
        <v>0</v>
      </c>
      <c r="AH15" s="92"/>
      <c r="AI15" s="74"/>
      <c r="AJ15" s="74"/>
      <c r="AK15" s="74"/>
      <c r="AL15" s="74"/>
      <c r="AM15" s="74"/>
      <c r="AN15" s="82"/>
      <c r="AO15" s="82"/>
      <c r="AP15" s="86"/>
      <c r="AQ15" s="82"/>
      <c r="AR15" s="86"/>
      <c r="AS15" s="87"/>
      <c r="AT15" s="87"/>
      <c r="AU15" s="86"/>
      <c r="AV15" s="87"/>
      <c r="AW15" s="86"/>
      <c r="AX15" s="87"/>
      <c r="AY15" s="86"/>
      <c r="AZ15" s="87"/>
      <c r="BA15" s="86"/>
      <c r="BB15" s="87"/>
      <c r="BC15" s="86"/>
      <c r="BD15" s="87"/>
      <c r="BE15" s="82"/>
      <c r="BF15" s="88"/>
    </row>
    <row r="16" spans="1:58" s="11" customFormat="1">
      <c r="A16" s="72"/>
      <c r="B16" s="89" t="s">
        <v>32</v>
      </c>
      <c r="C16" s="77" t="s">
        <v>28</v>
      </c>
      <c r="D16" s="106">
        <v>710376092.78347301</v>
      </c>
      <c r="E16" s="186">
        <v>40899263.519535288</v>
      </c>
      <c r="F16" s="106">
        <v>15950473.7624758</v>
      </c>
      <c r="G16" s="106">
        <v>22562411.105146535</v>
      </c>
      <c r="H16" s="106">
        <v>253129393.35326302</v>
      </c>
      <c r="I16" s="106">
        <v>3307578.5913303811</v>
      </c>
      <c r="J16" s="91">
        <f>D16-SUM(E16:I16,K16)</f>
        <v>312180297.2832126</v>
      </c>
      <c r="K16" s="90">
        <f>'Test Year 2001 Sales and Revs.'!N16</f>
        <v>62346675.168509364</v>
      </c>
      <c r="L16" s="90">
        <f>IF(allocation_method&gt;=6,CHOOSE(gen_choice,'Generation Calculations'!H15-'Generation Calculations'!I15+'Generation Calculations'!J15,'Generation Calculations'!G15+'Generation Calculations'!H15-'Generation Calculations'!I15+'Generation Calculations'!J15),0)</f>
        <v>0</v>
      </c>
      <c r="M16" s="90">
        <f>'Test Year 2001 Sales and Revs.'!K16</f>
        <v>59018016.326613963</v>
      </c>
      <c r="N16" s="90">
        <f>CHOOSE(allocation_method,'RSP Surch Allocations'!E17,'RSP Surch Allocations'!J17,'RSP Surch Allocations'!N17,'RSP Surch Allocations'!Q17,'RSP Surch Allocations'!AA17,'RSP Surch Allocations'!AH17,'RSP Surch Allocations'!AS17,'RSP Surch Allocations'!BD17,'RSP Surch Allocations'!BO17,'RSP Surch Allocations'!BZ17,)</f>
        <v>225855007.75914025</v>
      </c>
      <c r="O16" s="91">
        <f>SUM(E16:N16)</f>
        <v>995249116.86922717</v>
      </c>
      <c r="P16" s="145">
        <f>ROUND(O16-D16,0)</f>
        <v>284873024</v>
      </c>
      <c r="Q16" s="177">
        <v>5906390341.661396</v>
      </c>
      <c r="R16" s="92">
        <f t="shared" ref="R16:AC20" si="4">D16/$Q16*100</f>
        <v>12.027245943647754</v>
      </c>
      <c r="S16" s="92">
        <f t="shared" si="4"/>
        <v>0.69245784910366803</v>
      </c>
      <c r="T16" s="92">
        <f t="shared" si="4"/>
        <v>0.27005451451400564</v>
      </c>
      <c r="U16" s="92">
        <f t="shared" si="4"/>
        <v>0.38200000000000006</v>
      </c>
      <c r="V16" s="92">
        <f t="shared" si="4"/>
        <v>4.2856868359645324</v>
      </c>
      <c r="W16" s="92">
        <f t="shared" si="4"/>
        <v>5.5999999999999987E-2</v>
      </c>
      <c r="X16" s="92">
        <f t="shared" si="4"/>
        <v>5.2854667440655483</v>
      </c>
      <c r="Y16" s="92">
        <f t="shared" si="4"/>
        <v>1.05558</v>
      </c>
      <c r="Z16" s="92">
        <f t="shared" si="4"/>
        <v>0</v>
      </c>
      <c r="AA16" s="281">
        <f t="shared" si="4"/>
        <v>0.99922309418535493</v>
      </c>
      <c r="AB16" s="92">
        <f t="shared" si="4"/>
        <v>3.8239092693560441</v>
      </c>
      <c r="AC16" s="92">
        <f t="shared" si="4"/>
        <v>16.850378307189153</v>
      </c>
      <c r="AD16" s="92"/>
      <c r="AE16" s="93"/>
      <c r="AF16" s="74">
        <f>(AC16-AG16)/AG16</f>
        <v>0.2935491773135272</v>
      </c>
      <c r="AG16" s="92">
        <f t="shared" si="2"/>
        <v>13.02646903783311</v>
      </c>
      <c r="AH16" s="92"/>
      <c r="AI16" s="74"/>
      <c r="AJ16" s="74"/>
      <c r="AK16" s="74"/>
      <c r="AL16" s="74"/>
      <c r="AM16" s="74"/>
      <c r="AN16" s="86"/>
      <c r="AO16" s="86"/>
      <c r="AP16" s="86"/>
      <c r="AQ16" s="82"/>
      <c r="AR16" s="86"/>
      <c r="AS16" s="87"/>
      <c r="AT16" s="87"/>
      <c r="AU16" s="86"/>
      <c r="AV16" s="87"/>
      <c r="AW16" s="86"/>
      <c r="AX16" s="87"/>
      <c r="AY16" s="86"/>
      <c r="AZ16" s="87"/>
      <c r="BA16" s="86"/>
      <c r="BB16" s="87"/>
      <c r="BC16" s="86"/>
      <c r="BD16" s="87"/>
      <c r="BE16" s="86"/>
      <c r="BF16" s="88"/>
    </row>
    <row r="17" spans="1:58" s="11" customFormat="1">
      <c r="A17" s="72"/>
      <c r="B17" s="89" t="s">
        <v>33</v>
      </c>
      <c r="C17" s="77" t="s">
        <v>28</v>
      </c>
      <c r="D17" s="106">
        <v>175710435.72964513</v>
      </c>
      <c r="E17" s="186">
        <v>13665243.972710524</v>
      </c>
      <c r="F17" s="106">
        <v>5331360.1998690749</v>
      </c>
      <c r="G17" s="106">
        <v>5801915.2114129923</v>
      </c>
      <c r="H17" s="106">
        <v>39016945.175131239</v>
      </c>
      <c r="I17" s="106">
        <v>809110.62472085957</v>
      </c>
      <c r="J17" s="91">
        <f>D17-SUM(E17:I17,K17)</f>
        <v>90254616.80817008</v>
      </c>
      <c r="K17" s="90">
        <f>'Test Year 2001 Sales and Revs.'!N17</f>
        <v>20831243.737630367</v>
      </c>
      <c r="L17" s="90">
        <f>IF(allocation_method&gt;=6,CHOOSE(gen_choice,'Generation Calculations'!H16-'Generation Calculations'!I16+'Generation Calculations'!J16,'Generation Calculations'!G16+'Generation Calculations'!H16-'Generation Calculations'!I16+'Generation Calculations'!J16),0)</f>
        <v>0</v>
      </c>
      <c r="M17" s="90">
        <f>'Test Year 2001 Sales and Revs.'!K17</f>
        <v>19728712.870996576</v>
      </c>
      <c r="N17" s="90">
        <f>CHOOSE(allocation_method,'RSP Surch Allocations'!E18,'RSP Surch Allocations'!J18,'RSP Surch Allocations'!N18,'RSP Surch Allocations'!Q18,'RSP Surch Allocations'!AA18,'RSP Surch Allocations'!AH18,'RSP Surch Allocations'!AS18,'RSP Surch Allocations'!BD18,'RSP Surch Allocations'!BO18,'RSP Surch Allocations'!BZ18,)</f>
        <v>75499463.992446005</v>
      </c>
      <c r="O17" s="91">
        <f>SUM(E17:N17)</f>
        <v>270938612.59308767</v>
      </c>
      <c r="P17" s="145">
        <f>ROUND(O17-D17,0)</f>
        <v>95228177</v>
      </c>
      <c r="Q17" s="177">
        <v>1973440547.0996599</v>
      </c>
      <c r="R17" s="92">
        <f t="shared" si="4"/>
        <v>8.903761300936301</v>
      </c>
      <c r="S17" s="92">
        <f t="shared" si="4"/>
        <v>0.69245784945455569</v>
      </c>
      <c r="T17" s="92">
        <f t="shared" si="4"/>
        <v>0.27015560249354892</v>
      </c>
      <c r="U17" s="92">
        <f t="shared" si="4"/>
        <v>0.29400000014897798</v>
      </c>
      <c r="V17" s="92">
        <f t="shared" si="4"/>
        <v>1.9771026409928556</v>
      </c>
      <c r="W17" s="92">
        <f t="shared" si="4"/>
        <v>4.1000000020775848E-2</v>
      </c>
      <c r="X17" s="92">
        <f t="shared" si="4"/>
        <v>4.5734652072906945</v>
      </c>
      <c r="Y17" s="92">
        <f t="shared" si="4"/>
        <v>1.0555800005348921</v>
      </c>
      <c r="Z17" s="92">
        <f t="shared" si="4"/>
        <v>0</v>
      </c>
      <c r="AA17" s="281">
        <f t="shared" si="4"/>
        <v>0.99971153932109125</v>
      </c>
      <c r="AB17" s="92">
        <f t="shared" si="4"/>
        <v>3.8257784914476693</v>
      </c>
      <c r="AC17" s="92">
        <f t="shared" si="4"/>
        <v>13.729251331705058</v>
      </c>
      <c r="AD17" s="92"/>
      <c r="AE17" s="93"/>
      <c r="AF17" s="74">
        <f>(AC17-AG17)/AG17</f>
        <v>0.38630675856412344</v>
      </c>
      <c r="AG17" s="92">
        <f t="shared" si="2"/>
        <v>9.9034728402573915</v>
      </c>
      <c r="AH17" s="92"/>
      <c r="AI17" s="74"/>
      <c r="AJ17" s="74"/>
      <c r="AK17" s="74"/>
      <c r="AL17" s="74"/>
      <c r="AM17" s="74"/>
      <c r="AN17" s="86"/>
      <c r="AO17" s="86"/>
      <c r="AP17" s="86"/>
      <c r="AQ17" s="82"/>
      <c r="AR17" s="86"/>
      <c r="AS17" s="87"/>
      <c r="AT17" s="87"/>
      <c r="AU17" s="86"/>
      <c r="AV17" s="87"/>
      <c r="AW17" s="86"/>
      <c r="AX17" s="87"/>
      <c r="AY17" s="86"/>
      <c r="AZ17" s="87"/>
      <c r="BA17" s="86"/>
      <c r="BB17" s="87"/>
      <c r="BC17" s="86"/>
      <c r="BD17" s="87"/>
      <c r="BE17" s="86"/>
      <c r="BF17" s="88"/>
    </row>
    <row r="18" spans="1:58" s="11" customFormat="1">
      <c r="A18" s="72"/>
      <c r="B18" s="89" t="s">
        <v>35</v>
      </c>
      <c r="C18" s="77" t="s">
        <v>28</v>
      </c>
      <c r="D18" s="106">
        <v>378012.21337516094</v>
      </c>
      <c r="E18" s="186">
        <v>9166.0368502712881</v>
      </c>
      <c r="F18" s="106">
        <v>3573.9792000000002</v>
      </c>
      <c r="G18" s="106">
        <v>10007.14176</v>
      </c>
      <c r="H18" s="106">
        <v>297282.83519999997</v>
      </c>
      <c r="I18" s="106">
        <v>1547.72432</v>
      </c>
      <c r="J18" s="91">
        <f>D18-SUM(E18:I18,K18)</f>
        <v>56434.496044889675</v>
      </c>
      <c r="K18" s="90"/>
      <c r="L18" s="90">
        <f>IF(allocation_method&gt;=6,CHOOSE(gen_choice,'Generation Calculations'!H19-'Generation Calculations'!I19+'Generation Calculations'!J19,'Generation Calculations'!G19+'Generation Calculations'!H19-'Generation Calculations'!I19+'Generation Calculations'!J19),0)</f>
        <v>0</v>
      </c>
      <c r="M18" s="90">
        <f>'Test Year 2001 Sales and Revs.'!K19</f>
        <v>13236.960000000001</v>
      </c>
      <c r="N18" s="90">
        <f>CHOOSE(allocation_method,'RSP Surch Allocations'!E19,'RSP Surch Allocations'!J19,'RSP Surch Allocations'!N19,'RSP Surch Allocations'!Q19,'RSP Surch Allocations'!AA19,'RSP Surch Allocations'!AH19,'RSP Surch Allocations'!AS19,'RSP Surch Allocations'!BD19,'RSP Surch Allocations'!BO19,'RSP Surch Allocations'!BZ19,)</f>
        <v>50656.289207729002</v>
      </c>
      <c r="O18" s="91">
        <f>SUM(E18:N18)</f>
        <v>441905.46258288994</v>
      </c>
      <c r="P18" s="145">
        <f>ROUND(O18-D18,0)</f>
        <v>63893</v>
      </c>
      <c r="Q18" s="177">
        <v>1323696</v>
      </c>
      <c r="R18" s="92">
        <f t="shared" si="4"/>
        <v>28.557328372614325</v>
      </c>
      <c r="S18" s="92">
        <f t="shared" si="4"/>
        <v>0.69245784910366792</v>
      </c>
      <c r="T18" s="92">
        <f t="shared" si="4"/>
        <v>0.27</v>
      </c>
      <c r="U18" s="92">
        <f t="shared" si="4"/>
        <v>0.75600000000000012</v>
      </c>
      <c r="V18" s="92">
        <f t="shared" si="4"/>
        <v>22.458542988722485</v>
      </c>
      <c r="W18" s="92">
        <f t="shared" si="4"/>
        <v>0.11692445395317354</v>
      </c>
      <c r="X18" s="92">
        <f t="shared" si="4"/>
        <v>4.2634030808350012</v>
      </c>
      <c r="Y18" s="92">
        <f t="shared" si="4"/>
        <v>0</v>
      </c>
      <c r="Z18" s="92">
        <f t="shared" si="4"/>
        <v>0</v>
      </c>
      <c r="AA18" s="281">
        <f t="shared" si="4"/>
        <v>1</v>
      </c>
      <c r="AB18" s="92">
        <f t="shared" si="4"/>
        <v>3.8268823965418801</v>
      </c>
      <c r="AC18" s="92">
        <f t="shared" si="4"/>
        <v>33.384210769156212</v>
      </c>
      <c r="AD18" s="92"/>
      <c r="AE18" s="93"/>
      <c r="AF18" s="74">
        <f>(AC18-AG18)/AG18</f>
        <v>0.12947321721024008</v>
      </c>
      <c r="AG18" s="92">
        <f t="shared" si="2"/>
        <v>29.557328372614325</v>
      </c>
      <c r="AH18" s="92"/>
      <c r="AI18" s="74"/>
      <c r="AJ18" s="74"/>
      <c r="AK18" s="74"/>
      <c r="AL18" s="74"/>
      <c r="AM18" s="74"/>
      <c r="AN18" s="86"/>
      <c r="AO18" s="86"/>
      <c r="AP18" s="86"/>
      <c r="AQ18" s="82"/>
      <c r="AR18" s="86"/>
      <c r="AS18" s="87"/>
      <c r="AT18" s="87"/>
      <c r="AU18" s="86"/>
      <c r="AV18" s="87"/>
      <c r="AW18" s="86"/>
      <c r="AX18" s="87"/>
      <c r="AY18" s="86"/>
      <c r="AZ18" s="87"/>
      <c r="BA18" s="86"/>
      <c r="BB18" s="87"/>
      <c r="BC18" s="86"/>
      <c r="BD18" s="87"/>
      <c r="BE18" s="86"/>
      <c r="BF18" s="88"/>
    </row>
    <row r="19" spans="1:58" s="11" customFormat="1">
      <c r="A19" s="72"/>
      <c r="B19" s="89" t="s">
        <v>36</v>
      </c>
      <c r="C19" s="77" t="s">
        <v>28</v>
      </c>
      <c r="D19" s="156">
        <v>13370632.61537138</v>
      </c>
      <c r="E19" s="187">
        <v>840187.71001432708</v>
      </c>
      <c r="F19" s="156">
        <v>327602.15224292513</v>
      </c>
      <c r="G19" s="156">
        <v>339735.56528895942</v>
      </c>
      <c r="H19" s="156">
        <v>5684423.0909511177</v>
      </c>
      <c r="I19" s="156">
        <v>56813.700011757603</v>
      </c>
      <c r="J19" s="96">
        <f>D19-SUM(E19:I19,K19)</f>
        <v>6121870.3968622936</v>
      </c>
      <c r="K19" s="95"/>
      <c r="L19" s="95">
        <f>IF(allocation_method&gt;=6,CHOOSE(gen_choice,'Generation Calculations'!H20-'Generation Calculations'!I20+'Generation Calculations'!J20,'Generation Calculations'!G20+'Generation Calculations'!H20-'Generation Calculations'!I20+'Generation Calculations'!J20),0)</f>
        <v>0</v>
      </c>
      <c r="M19" s="95">
        <f>'Test Year 2001 Sales and Revs.'!K20</f>
        <v>1213341.3046034265</v>
      </c>
      <c r="N19" s="95">
        <f>CHOOSE(allocation_method,'RSP Surch Allocations'!E20,'RSP Surch Allocations'!J20,'RSP Surch Allocations'!N20,'RSP Surch Allocations'!Q20,'RSP Surch Allocations'!AA20,'RSP Surch Allocations'!AH20,'RSP Surch Allocations'!AS20,'RSP Surch Allocations'!BD20,'RSP Surch Allocations'!BO20,'RSP Surch Allocations'!BZ20,)</f>
        <v>4643314.4795840122</v>
      </c>
      <c r="O19" s="91">
        <f>SUM(E19:N19)</f>
        <v>19227288.39955882</v>
      </c>
      <c r="P19" s="145">
        <f>ROUND(O19-D19,0)</f>
        <v>5856656</v>
      </c>
      <c r="Q19" s="178">
        <v>121334130.46034265</v>
      </c>
      <c r="R19" s="97">
        <f t="shared" si="4"/>
        <v>11.01967975922611</v>
      </c>
      <c r="S19" s="97">
        <f t="shared" si="4"/>
        <v>0.69245784910366792</v>
      </c>
      <c r="T19" s="97">
        <f t="shared" si="4"/>
        <v>0.27</v>
      </c>
      <c r="U19" s="97">
        <f t="shared" si="4"/>
        <v>0.27999999999999997</v>
      </c>
      <c r="V19" s="97">
        <f t="shared" si="4"/>
        <v>4.6849333072107342</v>
      </c>
      <c r="W19" s="97">
        <f t="shared" si="4"/>
        <v>4.682417040960031E-2</v>
      </c>
      <c r="X19" s="97">
        <f t="shared" si="4"/>
        <v>5.045464432502107</v>
      </c>
      <c r="Y19" s="97">
        <f t="shared" si="4"/>
        <v>0</v>
      </c>
      <c r="Z19" s="97">
        <f t="shared" si="4"/>
        <v>0</v>
      </c>
      <c r="AA19" s="280">
        <f t="shared" si="4"/>
        <v>1</v>
      </c>
      <c r="AB19" s="97">
        <f t="shared" si="4"/>
        <v>3.8268823965418801</v>
      </c>
      <c r="AC19" s="97">
        <f t="shared" si="4"/>
        <v>15.846562155767991</v>
      </c>
      <c r="AD19" s="97"/>
      <c r="AE19" s="93"/>
      <c r="AF19" s="79">
        <f>(AC19-AG19)/AG19</f>
        <v>0.31838472182292787</v>
      </c>
      <c r="AG19" s="92">
        <f t="shared" si="2"/>
        <v>12.01967975922611</v>
      </c>
      <c r="AH19" s="92"/>
      <c r="AI19" s="79"/>
      <c r="AJ19" s="79"/>
      <c r="AK19" s="79"/>
      <c r="AL19" s="79"/>
      <c r="AM19" s="79"/>
      <c r="AN19" s="99"/>
      <c r="AO19" s="99"/>
      <c r="AP19" s="99"/>
      <c r="AQ19" s="100"/>
      <c r="AR19" s="99"/>
      <c r="AS19" s="98"/>
      <c r="AT19" s="98"/>
      <c r="AU19" s="99"/>
      <c r="AV19" s="98"/>
      <c r="AW19" s="99"/>
      <c r="AX19" s="98"/>
      <c r="AY19" s="99"/>
      <c r="AZ19" s="98"/>
      <c r="BA19" s="99"/>
      <c r="BB19" s="98"/>
      <c r="BC19" s="99"/>
      <c r="BD19" s="98"/>
      <c r="BE19" s="99"/>
      <c r="BF19" s="101"/>
    </row>
    <row r="20" spans="1:58" s="11" customFormat="1">
      <c r="A20" s="72"/>
      <c r="B20" s="81" t="s">
        <v>37</v>
      </c>
      <c r="C20" s="73"/>
      <c r="D20" s="91">
        <f t="shared" ref="D20:O20" si="5">SUM(D16:D19)</f>
        <v>899835173.34186471</v>
      </c>
      <c r="E20" s="91">
        <f t="shared" si="5"/>
        <v>55413861.23911041</v>
      </c>
      <c r="F20" s="91">
        <f t="shared" si="5"/>
        <v>21613010.093787801</v>
      </c>
      <c r="G20" s="91">
        <f t="shared" si="5"/>
        <v>28714069.023608487</v>
      </c>
      <c r="H20" s="91">
        <f t="shared" si="5"/>
        <v>298128044.45454544</v>
      </c>
      <c r="I20" s="91">
        <f t="shared" si="5"/>
        <v>4175050.6403829982</v>
      </c>
      <c r="J20" s="91">
        <f t="shared" si="5"/>
        <v>408613218.98428982</v>
      </c>
      <c r="K20" s="91">
        <f t="shared" si="5"/>
        <v>83177918.906139731</v>
      </c>
      <c r="L20" s="91">
        <f t="shared" si="5"/>
        <v>0</v>
      </c>
      <c r="M20" s="91">
        <f t="shared" si="5"/>
        <v>79973307.462213963</v>
      </c>
      <c r="N20" s="91">
        <f t="shared" si="5"/>
        <v>306048442.52037805</v>
      </c>
      <c r="O20" s="91">
        <f t="shared" si="5"/>
        <v>1285856923.3244565</v>
      </c>
      <c r="P20" s="145">
        <f>ROUND(O20-D20,0)</f>
        <v>386021750</v>
      </c>
      <c r="Q20" s="176">
        <f>SUM(Q16:Q19)</f>
        <v>8002488715.2213984</v>
      </c>
      <c r="R20" s="92">
        <f t="shared" si="4"/>
        <v>11.244441640140066</v>
      </c>
      <c r="S20" s="92">
        <f t="shared" si="4"/>
        <v>0.69245784919019804</v>
      </c>
      <c r="T20" s="92">
        <f t="shared" si="4"/>
        <v>0.27007860757964031</v>
      </c>
      <c r="U20" s="92">
        <f t="shared" si="4"/>
        <v>0.35881423948767266</v>
      </c>
      <c r="V20" s="92">
        <f t="shared" si="4"/>
        <v>3.7254416102765773</v>
      </c>
      <c r="W20" s="92">
        <f t="shared" si="4"/>
        <v>5.2171902878684541E-2</v>
      </c>
      <c r="X20" s="92">
        <f t="shared" si="4"/>
        <v>5.1060767909247229</v>
      </c>
      <c r="Y20" s="92">
        <f t="shared" si="4"/>
        <v>1.0394006398025706</v>
      </c>
      <c r="Z20" s="92">
        <f t="shared" si="4"/>
        <v>0</v>
      </c>
      <c r="AA20" s="281">
        <f t="shared" si="4"/>
        <v>0.99935545438630968</v>
      </c>
      <c r="AB20" s="92">
        <f t="shared" si="4"/>
        <v>3.8244157962790815</v>
      </c>
      <c r="AC20" s="92">
        <f t="shared" si="4"/>
        <v>16.068212890805452</v>
      </c>
      <c r="AD20" s="92"/>
      <c r="AE20" s="93"/>
      <c r="AF20" s="74">
        <f>(AC20-AG20)/AG20</f>
        <v>0.31235537201027225</v>
      </c>
      <c r="AG20" s="92">
        <f t="shared" si="2"/>
        <v>12.243797094526375</v>
      </c>
      <c r="AH20" s="92"/>
      <c r="AI20" s="74"/>
      <c r="AJ20" s="74"/>
      <c r="AK20" s="74"/>
      <c r="AL20" s="74"/>
      <c r="AM20" s="74"/>
      <c r="AN20" s="86"/>
      <c r="AO20" s="86"/>
      <c r="AP20" s="86"/>
      <c r="AQ20" s="82"/>
      <c r="AR20" s="86"/>
      <c r="AS20" s="87"/>
      <c r="AT20" s="87"/>
      <c r="AU20" s="86"/>
      <c r="AV20" s="87"/>
      <c r="AW20" s="86"/>
      <c r="AX20" s="87"/>
      <c r="AY20" s="86"/>
      <c r="AZ20" s="87"/>
      <c r="BA20" s="86"/>
      <c r="BB20" s="87"/>
      <c r="BC20" s="86"/>
      <c r="BD20" s="87"/>
      <c r="BE20" s="86"/>
      <c r="BF20" s="88"/>
    </row>
    <row r="21" spans="1:58" s="11" customFormat="1" ht="9" customHeight="1">
      <c r="A21" s="72"/>
      <c r="B21" s="94"/>
      <c r="C21" s="73"/>
      <c r="D21" s="106"/>
      <c r="E21" s="144"/>
      <c r="F21" s="106"/>
      <c r="G21" s="106"/>
      <c r="H21" s="106"/>
      <c r="I21" s="106"/>
      <c r="J21" s="91"/>
      <c r="K21" s="91"/>
      <c r="L21" s="91"/>
      <c r="M21" s="91"/>
      <c r="N21" s="91"/>
      <c r="O21" s="91"/>
      <c r="P21" s="145"/>
      <c r="Q21" s="176"/>
      <c r="R21" s="92"/>
      <c r="S21" s="92"/>
      <c r="T21" s="92"/>
      <c r="U21" s="92"/>
      <c r="V21" s="92"/>
      <c r="W21" s="92"/>
      <c r="X21" s="92"/>
      <c r="Y21" s="92"/>
      <c r="Z21" s="92"/>
      <c r="AA21" s="281"/>
      <c r="AB21" s="92"/>
      <c r="AC21" s="92"/>
      <c r="AD21" s="92"/>
      <c r="AE21" s="93"/>
      <c r="AF21" s="74"/>
      <c r="AG21" s="92">
        <f t="shared" si="2"/>
        <v>0</v>
      </c>
      <c r="AH21" s="92"/>
      <c r="AI21" s="74"/>
      <c r="AJ21" s="74"/>
      <c r="AK21" s="74"/>
      <c r="AL21" s="74"/>
      <c r="AM21" s="74"/>
      <c r="AN21" s="82"/>
      <c r="AO21" s="82"/>
      <c r="AP21" s="86"/>
      <c r="AQ21" s="82"/>
      <c r="AR21" s="86"/>
      <c r="AS21" s="87"/>
      <c r="AT21" s="87"/>
      <c r="AU21" s="86"/>
      <c r="AV21" s="87"/>
      <c r="AW21" s="86"/>
      <c r="AX21" s="87"/>
      <c r="AY21" s="86"/>
      <c r="AZ21" s="87"/>
      <c r="BA21" s="86"/>
      <c r="BB21" s="87"/>
      <c r="BC21" s="86"/>
      <c r="BD21" s="87"/>
      <c r="BE21" s="82"/>
      <c r="BF21" s="88"/>
    </row>
    <row r="22" spans="1:58" s="11" customFormat="1">
      <c r="A22" s="72"/>
      <c r="B22" s="81" t="s">
        <v>38</v>
      </c>
      <c r="C22" s="73"/>
      <c r="D22" s="106"/>
      <c r="E22" s="144"/>
      <c r="F22" s="106"/>
      <c r="G22" s="106"/>
      <c r="H22" s="106"/>
      <c r="I22" s="106"/>
      <c r="J22" s="91"/>
      <c r="K22" s="91"/>
      <c r="L22" s="91"/>
      <c r="M22" s="91"/>
      <c r="N22" s="91"/>
      <c r="O22" s="91"/>
      <c r="P22" s="145"/>
      <c r="Q22" s="176"/>
      <c r="R22" s="92"/>
      <c r="S22" s="92"/>
      <c r="T22" s="92"/>
      <c r="U22" s="92"/>
      <c r="V22" s="92"/>
      <c r="W22" s="92"/>
      <c r="X22" s="92"/>
      <c r="Y22" s="92"/>
      <c r="Z22" s="92"/>
      <c r="AA22" s="281"/>
      <c r="AB22" s="92"/>
      <c r="AC22" s="92"/>
      <c r="AD22" s="92"/>
      <c r="AE22" s="93"/>
      <c r="AF22" s="74"/>
      <c r="AG22" s="92">
        <f t="shared" si="2"/>
        <v>0</v>
      </c>
      <c r="AH22" s="92"/>
      <c r="AI22" s="74"/>
      <c r="AJ22" s="74"/>
      <c r="AK22" s="74"/>
      <c r="AL22" s="74"/>
      <c r="AM22" s="74"/>
      <c r="AN22" s="82"/>
      <c r="AO22" s="82"/>
      <c r="AP22" s="86"/>
      <c r="AQ22" s="82"/>
      <c r="AR22" s="86"/>
      <c r="AS22" s="87"/>
      <c r="AT22" s="87"/>
      <c r="AU22" s="86"/>
      <c r="AV22" s="87"/>
      <c r="AW22" s="86"/>
      <c r="AX22" s="87"/>
      <c r="AY22" s="86"/>
      <c r="AZ22" s="87"/>
      <c r="BA22" s="86"/>
      <c r="BB22" s="87"/>
      <c r="BC22" s="86"/>
      <c r="BD22" s="87"/>
      <c r="BE22" s="82"/>
      <c r="BF22" s="88"/>
    </row>
    <row r="23" spans="1:58" s="11" customFormat="1">
      <c r="A23" s="72"/>
      <c r="B23" s="89" t="s">
        <v>39</v>
      </c>
      <c r="C23" s="77" t="s">
        <v>27</v>
      </c>
      <c r="D23" s="387">
        <f>'Test Year 2001 Sales and Revs.'!G25+'Test Year 2001 Sales and Revs.'!G26</f>
        <v>8480988.7304155733</v>
      </c>
      <c r="E23" s="186">
        <v>426329.56210262998</v>
      </c>
      <c r="F23" s="106">
        <f>2776.47971254393+245474.915937787</f>
        <v>248251.39565033093</v>
      </c>
      <c r="G23" s="106">
        <v>256424.06563867404</v>
      </c>
      <c r="H23" s="106">
        <v>1689747.7747458699</v>
      </c>
      <c r="I23" s="106">
        <v>36239.3124797614</v>
      </c>
      <c r="J23" s="91">
        <f>D23-SUM(E23:I23,K23)</f>
        <v>5812707.811471507</v>
      </c>
      <c r="K23" s="90">
        <f>'Test Year 2001 Sales and Revs.'!N26</f>
        <v>11288.808326799879</v>
      </c>
      <c r="L23" s="90">
        <f>IF(allocation_method&gt;=6,CHOOSE(gen_choice,'Generation Calculations'!H26-'Generation Calculations'!I26+'Generation Calculations'!J26,'Generation Calculations'!G26+'Generation Calculations'!H26-'Generation Calculations'!I26+'Generation Calculations'!J26),0)</f>
        <v>0</v>
      </c>
      <c r="M23" s="90">
        <f>'Test Year 2001 Sales and Revs.'!K26+'Test Year 2001 Sales and Revs.'!K25</f>
        <v>906473.76</v>
      </c>
      <c r="N23" s="90">
        <f>CHOOSE(allocation_method,'RSP Surch Allocations'!E24,'RSP Surch Allocations'!J24,'RSP Surch Allocations'!N24,'RSP Surch Allocations'!Q24,'RSP Surch Allocations'!AA24,'RSP Surch Allocations'!AH24,'RSP Surch Allocations'!AS24,'RSP Surch Allocations'!BD24,'RSP Surch Allocations'!BO24,'RSP Surch Allocations'!BZ24,)</f>
        <v>3468968.4750711289</v>
      </c>
      <c r="O23" s="91">
        <f>SUM(E23:N23)</f>
        <v>12856430.965486702</v>
      </c>
      <c r="P23" s="145">
        <f>ROUND(O23-D23,0)</f>
        <v>4375442</v>
      </c>
      <c r="Q23" s="177">
        <f>'Test Year 2001 Sales and Revs.'!F25+'Test Year 2001 Sales and Revs.'!F26</f>
        <v>90647376</v>
      </c>
      <c r="R23" s="92">
        <f t="shared" ref="R23:AC25" si="6">D23/$Q23*100</f>
        <v>9.3560223192953469</v>
      </c>
      <c r="S23" s="92">
        <f t="shared" si="6"/>
        <v>0.47031649554051069</v>
      </c>
      <c r="T23" s="92">
        <f t="shared" si="6"/>
        <v>0.27386495517568094</v>
      </c>
      <c r="U23" s="92">
        <f t="shared" si="6"/>
        <v>0.28288084769124927</v>
      </c>
      <c r="V23" s="92">
        <f t="shared" si="6"/>
        <v>1.8640890109669253</v>
      </c>
      <c r="W23" s="92">
        <f t="shared" si="6"/>
        <v>3.9978335919796951E-2</v>
      </c>
      <c r="X23" s="92">
        <f t="shared" si="6"/>
        <v>6.4124391327902392</v>
      </c>
      <c r="Y23" s="92">
        <f t="shared" si="6"/>
        <v>1.2453541210944571E-2</v>
      </c>
      <c r="Z23" s="92">
        <f t="shared" si="6"/>
        <v>0</v>
      </c>
      <c r="AA23" s="281">
        <f t="shared" si="6"/>
        <v>1</v>
      </c>
      <c r="AB23" s="92">
        <f t="shared" si="6"/>
        <v>3.8268823965418801</v>
      </c>
      <c r="AC23" s="92">
        <f t="shared" si="6"/>
        <v>14.182904715837225</v>
      </c>
      <c r="AD23" s="92"/>
      <c r="AE23" s="93"/>
      <c r="AF23" s="74">
        <f>(AC23-AG23)/AG23</f>
        <v>0.36953207308288899</v>
      </c>
      <c r="AG23" s="92">
        <f t="shared" si="2"/>
        <v>10.356022319295347</v>
      </c>
      <c r="AH23" s="92"/>
      <c r="AI23" s="74"/>
      <c r="AJ23" s="74"/>
      <c r="AK23" s="74"/>
      <c r="AL23" s="74"/>
      <c r="AM23" s="74"/>
      <c r="AN23" s="86"/>
      <c r="AO23" s="86"/>
      <c r="AP23" s="86"/>
      <c r="AQ23" s="82"/>
      <c r="AR23" s="86"/>
      <c r="AS23" s="87"/>
      <c r="AT23" s="87"/>
      <c r="AU23" s="86"/>
      <c r="AV23" s="87"/>
      <c r="AW23" s="86"/>
      <c r="AX23" s="87"/>
      <c r="AY23" s="86"/>
      <c r="AZ23" s="87"/>
      <c r="BA23" s="86"/>
      <c r="BB23" s="87"/>
      <c r="BC23" s="86"/>
      <c r="BD23" s="87"/>
      <c r="BE23" s="86"/>
      <c r="BF23" s="88"/>
    </row>
    <row r="24" spans="1:58" s="11" customFormat="1">
      <c r="A24" s="72"/>
      <c r="B24" s="94" t="s">
        <v>39</v>
      </c>
      <c r="C24" s="77" t="s">
        <v>28</v>
      </c>
      <c r="D24" s="156">
        <v>1272618916.9840841</v>
      </c>
      <c r="E24" s="187">
        <v>60472000.324200101</v>
      </c>
      <c r="F24" s="156">
        <v>37242088.189057454</v>
      </c>
      <c r="G24" s="156">
        <v>38065159.707643829</v>
      </c>
      <c r="H24" s="156">
        <v>295247868.65895367</v>
      </c>
      <c r="I24" s="156">
        <v>5401137.5260845982</v>
      </c>
      <c r="J24" s="96">
        <f>D24-SUM(E24:I24,K24)</f>
        <v>827939277.2060883</v>
      </c>
      <c r="K24" s="95">
        <f>'Test Year 2001 Sales and Revs.'!N27</f>
        <v>8251385.3720562421</v>
      </c>
      <c r="L24" s="95">
        <f>IF(allocation_method&gt;=6,CHOOSE(gen_choice,'Generation Calculations'!H27-'Generation Calculations'!I27+'Generation Calculations'!J27,'Generation Calculations'!G27+'Generation Calculations'!H27-'Generation Calculations'!I27+'Generation Calculations'!J27),0)</f>
        <v>0</v>
      </c>
      <c r="M24" s="95">
        <f>'Test Year 2001 Sales and Revs.'!K27</f>
        <v>128598512.52582374</v>
      </c>
      <c r="N24" s="95">
        <f>CHOOSE(allocation_method,'RSP Surch Allocations'!E25,'RSP Surch Allocations'!J25,'RSP Surch Allocations'!N25,'RSP Surch Allocations'!Q25,'RSP Surch Allocations'!AA25,'RSP Surch Allocations'!AH25,'RSP Surch Allocations'!AS25,'RSP Surch Allocations'!BD25,'RSP Surch Allocations'!BO25,'RSP Surch Allocations'!BZ25,)</f>
        <v>492131383.80654538</v>
      </c>
      <c r="O24" s="91">
        <f>SUM(E24:N24)</f>
        <v>1893348813.3164535</v>
      </c>
      <c r="P24" s="145">
        <f>ROUND(O24-D24,0)</f>
        <v>620729896</v>
      </c>
      <c r="Q24" s="178">
        <v>12859851252.582375</v>
      </c>
      <c r="R24" s="97">
        <f t="shared" si="6"/>
        <v>9.896062497056727</v>
      </c>
      <c r="S24" s="97">
        <f t="shared" si="6"/>
        <v>0.47023872311164389</v>
      </c>
      <c r="T24" s="97">
        <f t="shared" si="6"/>
        <v>0.289599680879504</v>
      </c>
      <c r="U24" s="97">
        <f t="shared" si="6"/>
        <v>0.29599999999999999</v>
      </c>
      <c r="V24" s="97">
        <f t="shared" si="6"/>
        <v>2.2958886760036608</v>
      </c>
      <c r="W24" s="97">
        <f t="shared" si="6"/>
        <v>4.200000000000001E-2</v>
      </c>
      <c r="X24" s="97">
        <f t="shared" si="6"/>
        <v>6.4381714916012784</v>
      </c>
      <c r="Y24" s="97">
        <f t="shared" si="6"/>
        <v>6.4163925460640842E-2</v>
      </c>
      <c r="Z24" s="97">
        <f t="shared" si="6"/>
        <v>0</v>
      </c>
      <c r="AA24" s="280">
        <f t="shared" si="6"/>
        <v>1</v>
      </c>
      <c r="AB24" s="97">
        <f t="shared" si="6"/>
        <v>3.8268823965418801</v>
      </c>
      <c r="AC24" s="97">
        <f t="shared" si="6"/>
        <v>14.722944893598608</v>
      </c>
      <c r="AD24" s="97"/>
      <c r="AE24" s="93"/>
      <c r="AF24" s="79">
        <f>(AC24-AG24)/AG24</f>
        <v>0.35121700133195904</v>
      </c>
      <c r="AG24" s="92">
        <f t="shared" si="2"/>
        <v>10.896062497056727</v>
      </c>
      <c r="AH24" s="92"/>
      <c r="AI24" s="79"/>
      <c r="AJ24" s="79"/>
      <c r="AK24" s="79"/>
      <c r="AL24" s="79"/>
      <c r="AM24" s="79"/>
      <c r="AN24" s="99"/>
      <c r="AO24" s="99"/>
      <c r="AP24" s="99"/>
      <c r="AQ24" s="100"/>
      <c r="AR24" s="99"/>
      <c r="AS24" s="98"/>
      <c r="AT24" s="98"/>
      <c r="AU24" s="99"/>
      <c r="AV24" s="98"/>
      <c r="AW24" s="99"/>
      <c r="AX24" s="98"/>
      <c r="AY24" s="99"/>
      <c r="AZ24" s="98"/>
      <c r="BA24" s="99"/>
      <c r="BB24" s="98"/>
      <c r="BC24" s="99"/>
      <c r="BD24" s="98"/>
      <c r="BE24" s="99"/>
      <c r="BF24" s="101"/>
    </row>
    <row r="25" spans="1:58" s="113" customFormat="1">
      <c r="A25" s="72"/>
      <c r="B25" s="188" t="s">
        <v>40</v>
      </c>
      <c r="C25" s="72"/>
      <c r="D25" s="144">
        <f t="shared" ref="D25:O25" si="7">SUM(D23:D24)</f>
        <v>1281099905.7144997</v>
      </c>
      <c r="E25" s="144">
        <f t="shared" si="7"/>
        <v>60898329.886302732</v>
      </c>
      <c r="F25" s="144">
        <f t="shared" si="7"/>
        <v>37490339.584707782</v>
      </c>
      <c r="G25" s="144">
        <f t="shared" si="7"/>
        <v>38321583.773282506</v>
      </c>
      <c r="H25" s="144">
        <f t="shared" si="7"/>
        <v>296937616.43369955</v>
      </c>
      <c r="I25" s="144">
        <f t="shared" si="7"/>
        <v>5437376.8385643596</v>
      </c>
      <c r="J25" s="144">
        <f t="shared" si="7"/>
        <v>833751985.01755977</v>
      </c>
      <c r="K25" s="144">
        <f t="shared" si="7"/>
        <v>8262674.1803830415</v>
      </c>
      <c r="L25" s="144">
        <f t="shared" si="7"/>
        <v>0</v>
      </c>
      <c r="M25" s="144">
        <f t="shared" si="7"/>
        <v>129504986.28582375</v>
      </c>
      <c r="N25" s="144">
        <f>SUM(N23:N24)</f>
        <v>495600352.28161651</v>
      </c>
      <c r="O25" s="144">
        <f t="shared" si="7"/>
        <v>1906205244.2819402</v>
      </c>
      <c r="P25" s="145">
        <f>ROUND(O25-D25,0)</f>
        <v>625105339</v>
      </c>
      <c r="Q25" s="176">
        <f>SUM(Q23:Q24)</f>
        <v>12950498628.582375</v>
      </c>
      <c r="R25" s="92">
        <f t="shared" si="6"/>
        <v>9.8922824707849504</v>
      </c>
      <c r="S25" s="92">
        <f t="shared" si="6"/>
        <v>0.47023926748192679</v>
      </c>
      <c r="T25" s="92">
        <f t="shared" si="6"/>
        <v>0.28948954522851184</v>
      </c>
      <c r="U25" s="92">
        <f t="shared" si="6"/>
        <v>0.29590817212786635</v>
      </c>
      <c r="V25" s="92">
        <f t="shared" si="6"/>
        <v>2.2928662822166856</v>
      </c>
      <c r="W25" s="92">
        <f t="shared" si="6"/>
        <v>4.1985849305939515E-2</v>
      </c>
      <c r="X25" s="92">
        <f t="shared" si="6"/>
        <v>6.43799137723878</v>
      </c>
      <c r="Y25" s="92">
        <f t="shared" si="6"/>
        <v>6.3801977185240735E-2</v>
      </c>
      <c r="Z25" s="92">
        <f t="shared" si="6"/>
        <v>0</v>
      </c>
      <c r="AA25" s="281">
        <f t="shared" si="6"/>
        <v>1</v>
      </c>
      <c r="AB25" s="92">
        <f t="shared" si="6"/>
        <v>3.8268823965418801</v>
      </c>
      <c r="AC25" s="92">
        <f t="shared" si="6"/>
        <v>14.719164867326834</v>
      </c>
      <c r="AD25" s="92"/>
      <c r="AE25" s="93"/>
      <c r="AF25" s="74">
        <f>(AC25-AG25)/AG25</f>
        <v>0.35133888666643254</v>
      </c>
      <c r="AG25" s="92">
        <f t="shared" si="2"/>
        <v>10.89228247078495</v>
      </c>
      <c r="AH25" s="92"/>
      <c r="AI25" s="74"/>
      <c r="AJ25" s="74"/>
      <c r="AK25" s="74"/>
      <c r="AL25" s="74"/>
      <c r="AM25" s="74"/>
      <c r="AN25" s="86"/>
      <c r="AO25" s="86"/>
      <c r="AP25" s="86"/>
      <c r="AQ25" s="82"/>
      <c r="AR25" s="86"/>
      <c r="AS25" s="87"/>
      <c r="AT25" s="87"/>
      <c r="AU25" s="86"/>
      <c r="AV25" s="87"/>
      <c r="AW25" s="86"/>
      <c r="AX25" s="87"/>
      <c r="AY25" s="86"/>
      <c r="AZ25" s="87"/>
      <c r="BA25" s="86"/>
      <c r="BB25" s="87"/>
      <c r="BC25" s="86"/>
      <c r="BD25" s="87"/>
      <c r="BE25" s="86"/>
      <c r="BF25" s="88"/>
    </row>
    <row r="26" spans="1:58" s="11" customFormat="1" ht="9.75" customHeight="1">
      <c r="A26" s="72"/>
      <c r="B26" s="94"/>
      <c r="C26" s="73"/>
      <c r="D26" s="106"/>
      <c r="E26" s="144"/>
      <c r="F26" s="106"/>
      <c r="G26" s="106"/>
      <c r="H26" s="106"/>
      <c r="I26" s="106"/>
      <c r="J26" s="91"/>
      <c r="K26" s="91"/>
      <c r="L26" s="91"/>
      <c r="M26" s="91"/>
      <c r="N26" s="91"/>
      <c r="O26" s="91"/>
      <c r="P26" s="145"/>
      <c r="Q26" s="176"/>
      <c r="R26" s="92"/>
      <c r="S26" s="92"/>
      <c r="T26" s="92"/>
      <c r="U26" s="92"/>
      <c r="V26" s="92"/>
      <c r="W26" s="92"/>
      <c r="X26" s="92"/>
      <c r="Y26" s="92"/>
      <c r="Z26" s="92"/>
      <c r="AA26" s="281"/>
      <c r="AB26" s="92"/>
      <c r="AC26" s="92"/>
      <c r="AD26" s="92"/>
      <c r="AE26" s="93"/>
      <c r="AF26" s="74"/>
      <c r="AG26" s="92">
        <f t="shared" si="2"/>
        <v>0</v>
      </c>
      <c r="AH26" s="92"/>
      <c r="AI26" s="74"/>
      <c r="AJ26" s="74"/>
      <c r="AK26" s="74"/>
      <c r="AL26" s="74"/>
      <c r="AM26" s="74"/>
      <c r="AN26" s="82"/>
      <c r="AO26" s="82"/>
      <c r="AP26" s="86"/>
      <c r="AQ26" s="82"/>
      <c r="AR26" s="86"/>
      <c r="AS26" s="87"/>
      <c r="AT26" s="87"/>
      <c r="AU26" s="86"/>
      <c r="AV26" s="87"/>
      <c r="AW26" s="86"/>
      <c r="AX26" s="87"/>
      <c r="AY26" s="86"/>
      <c r="AZ26" s="87"/>
      <c r="BA26" s="86"/>
      <c r="BB26" s="87"/>
      <c r="BC26" s="86"/>
      <c r="BD26" s="87"/>
      <c r="BE26" s="82"/>
      <c r="BF26" s="88"/>
    </row>
    <row r="27" spans="1:58" s="11" customFormat="1">
      <c r="A27" s="72"/>
      <c r="B27" s="102" t="s">
        <v>41</v>
      </c>
      <c r="C27" s="73"/>
      <c r="D27" s="106"/>
      <c r="E27" s="144"/>
      <c r="F27" s="106"/>
      <c r="G27" s="106"/>
      <c r="H27" s="106"/>
      <c r="I27" s="106"/>
      <c r="J27" s="91"/>
      <c r="K27" s="91"/>
      <c r="L27" s="91"/>
      <c r="M27" s="91"/>
      <c r="N27" s="91"/>
      <c r="O27" s="91"/>
      <c r="P27" s="145"/>
      <c r="Q27" s="176"/>
      <c r="R27" s="92"/>
      <c r="S27" s="92"/>
      <c r="T27" s="92"/>
      <c r="U27" s="92"/>
      <c r="V27" s="92"/>
      <c r="W27" s="92"/>
      <c r="X27" s="92"/>
      <c r="Y27" s="92"/>
      <c r="Z27" s="92"/>
      <c r="AA27" s="281"/>
      <c r="AB27" s="92"/>
      <c r="AC27" s="92"/>
      <c r="AD27" s="92"/>
      <c r="AE27" s="93"/>
      <c r="AF27" s="74"/>
      <c r="AG27" s="92">
        <f t="shared" si="2"/>
        <v>0</v>
      </c>
      <c r="AH27" s="92"/>
      <c r="AI27" s="74"/>
      <c r="AJ27" s="74"/>
      <c r="AK27" s="74"/>
      <c r="AL27" s="74"/>
      <c r="AM27" s="74"/>
      <c r="AN27" s="82"/>
      <c r="AO27" s="82"/>
      <c r="AP27" s="86"/>
      <c r="AQ27" s="82"/>
      <c r="AR27" s="86"/>
      <c r="AS27" s="87"/>
      <c r="AT27" s="87"/>
      <c r="AU27" s="86"/>
      <c r="AV27" s="87"/>
      <c r="AW27" s="86"/>
      <c r="AX27" s="87"/>
      <c r="AY27" s="86"/>
      <c r="AZ27" s="87"/>
      <c r="BA27" s="86"/>
      <c r="BB27" s="87"/>
      <c r="BC27" s="86"/>
      <c r="BD27" s="87"/>
      <c r="BE27" s="82"/>
      <c r="BF27" s="88"/>
    </row>
    <row r="28" spans="1:58" s="11" customFormat="1">
      <c r="A28" s="72"/>
      <c r="B28" s="89" t="s">
        <v>42</v>
      </c>
      <c r="C28" s="77" t="s">
        <v>21</v>
      </c>
      <c r="D28" s="186">
        <v>740267.47738546343</v>
      </c>
      <c r="E28" s="186">
        <v>40964.527087357172</v>
      </c>
      <c r="F28" s="186">
        <v>23860.126206662444</v>
      </c>
      <c r="G28" s="186">
        <v>21426.579750900361</v>
      </c>
      <c r="H28" s="186">
        <v>61178.086476247103</v>
      </c>
      <c r="I28" s="186">
        <v>2961.3972013439525</v>
      </c>
      <c r="J28" s="91">
        <f>D28-SUM(E28:I28,K28)</f>
        <v>589876.76066295244</v>
      </c>
      <c r="K28" s="90"/>
      <c r="L28" s="90">
        <f>IF(allocation_method&gt;=6,CHOOSE(gen_choice,'Generation Calculations'!H32-'Generation Calculations'!I32+'Generation Calculations'!J32,'Generation Calculations'!G32+'Generation Calculations'!H32-'Generation Calculations'!I32+'Generation Calculations'!J32),0)</f>
        <v>0</v>
      </c>
      <c r="M28" s="90">
        <f>'Test Year 2001 Sales and Revs.'!K32</f>
        <v>87099.91768658685</v>
      </c>
      <c r="N28" s="90">
        <f>CHOOSE(allocation_method,'RSP Surch Allocations'!E29,'RSP Surch Allocations'!J29,'RSP Surch Allocations'!N29,'RSP Surch Allocations'!Q29,'RSP Surch Allocations'!AA29,'RSP Surch Allocations'!AH29,'RSP Surch Allocations'!AS29,'RSP Surch Allocations'!BD29,'RSP Surch Allocations'!BO29,'RSP Surch Allocations'!BZ29,)</f>
        <v>333321.14173504594</v>
      </c>
      <c r="O28" s="91">
        <f>SUM(E28:N28)</f>
        <v>1160688.5368070961</v>
      </c>
      <c r="P28" s="145">
        <f>ROUND(O28-D28,0)</f>
        <v>420421</v>
      </c>
      <c r="Q28" s="177">
        <v>8709991.7686586846</v>
      </c>
      <c r="R28" s="92">
        <f t="shared" ref="R28:AC29" si="8">D28/$Q28*100</f>
        <v>8.4990605852141083</v>
      </c>
      <c r="S28" s="92">
        <f t="shared" si="8"/>
        <v>0.47031648450875174</v>
      </c>
      <c r="T28" s="92">
        <f t="shared" si="8"/>
        <v>0.2739397101673362</v>
      </c>
      <c r="U28" s="92">
        <f t="shared" si="8"/>
        <v>0.24599999999999994</v>
      </c>
      <c r="V28" s="92">
        <f t="shared" si="8"/>
        <v>0.7023897163299887</v>
      </c>
      <c r="W28" s="92">
        <f t="shared" si="8"/>
        <v>3.3999999999999996E-2</v>
      </c>
      <c r="X28" s="92">
        <f t="shared" si="8"/>
        <v>6.7724146742080311</v>
      </c>
      <c r="Y28" s="92">
        <f t="shared" si="8"/>
        <v>0</v>
      </c>
      <c r="Z28" s="92">
        <f t="shared" si="8"/>
        <v>0</v>
      </c>
      <c r="AA28" s="281">
        <f t="shared" si="8"/>
        <v>1</v>
      </c>
      <c r="AB28" s="92">
        <f t="shared" si="8"/>
        <v>3.8268823965418801</v>
      </c>
      <c r="AC28" s="92">
        <f t="shared" si="8"/>
        <v>13.325942981755986</v>
      </c>
      <c r="AD28" s="92"/>
      <c r="AE28" s="93"/>
      <c r="AF28" s="74">
        <f>(AC28-AG28)/AG28</f>
        <v>0.40286956401758967</v>
      </c>
      <c r="AG28" s="92">
        <f t="shared" si="2"/>
        <v>9.4990605852141083</v>
      </c>
      <c r="AH28" s="92"/>
      <c r="AI28" s="74"/>
      <c r="AJ28" s="74"/>
      <c r="AK28" s="74"/>
      <c r="AL28" s="74"/>
      <c r="AM28" s="74"/>
      <c r="AN28" s="86"/>
      <c r="AO28" s="86"/>
      <c r="AP28" s="86"/>
      <c r="AQ28" s="82"/>
      <c r="AR28" s="86"/>
      <c r="AS28" s="87"/>
      <c r="AT28" s="87"/>
      <c r="AU28" s="86"/>
      <c r="AV28" s="87"/>
      <c r="AW28" s="86"/>
      <c r="AX28" s="87"/>
      <c r="AY28" s="86"/>
      <c r="AZ28" s="87"/>
      <c r="BA28" s="86"/>
      <c r="BB28" s="87"/>
      <c r="BC28" s="86"/>
      <c r="BD28" s="87"/>
      <c r="BE28" s="86"/>
      <c r="BF28" s="88"/>
    </row>
    <row r="29" spans="1:58" s="11" customFormat="1">
      <c r="A29" s="72"/>
      <c r="B29" s="89" t="s">
        <v>43</v>
      </c>
      <c r="C29" s="77" t="s">
        <v>21</v>
      </c>
      <c r="D29" s="186">
        <v>175856.7168138049</v>
      </c>
      <c r="E29" s="186">
        <v>10056.6758656358</v>
      </c>
      <c r="F29" s="186">
        <v>4425.5163620139156</v>
      </c>
      <c r="G29" s="186">
        <v>5260.16479833619</v>
      </c>
      <c r="H29" s="186">
        <v>13370.9847532651</v>
      </c>
      <c r="I29" s="186">
        <v>727.01466074565178</v>
      </c>
      <c r="J29" s="91">
        <f>D29-SUM(E29:I29,K29)</f>
        <v>142016.36037380825</v>
      </c>
      <c r="K29" s="90"/>
      <c r="L29" s="90">
        <f>IF(allocation_method&gt;=6,CHOOSE(gen_choice,'Generation Calculations'!H33-'Generation Calculations'!I33+'Generation Calculations'!J33,'Generation Calculations'!G33+'Generation Calculations'!H33-'Generation Calculations'!I33+'Generation Calculations'!J33),0)</f>
        <v>0</v>
      </c>
      <c r="M29" s="90">
        <f>'Test Year 2001 Sales and Revs.'!K33</f>
        <v>21382.784139577991</v>
      </c>
      <c r="N29" s="90">
        <f>CHOOSE(allocation_method,'RSP Surch Allocations'!E30,'RSP Surch Allocations'!J30,'RSP Surch Allocations'!N30,'RSP Surch Allocations'!Q30,'RSP Surch Allocations'!AA30,'RSP Surch Allocations'!AH30,'RSP Surch Allocations'!AS30,'RSP Surch Allocations'!BD30,'RSP Surch Allocations'!BO30,'RSP Surch Allocations'!BZ30,)</f>
        <v>81829.400212805922</v>
      </c>
      <c r="O29" s="91">
        <f>SUM(E29:N29)</f>
        <v>279068.90116618882</v>
      </c>
      <c r="P29" s="145">
        <f>ROUND(O29-D29,0)</f>
        <v>103212</v>
      </c>
      <c r="Q29" s="177">
        <v>2138278.4139577989</v>
      </c>
      <c r="R29" s="92">
        <f t="shared" si="8"/>
        <v>8.2242198053295983</v>
      </c>
      <c r="S29" s="92">
        <f t="shared" si="8"/>
        <v>0.47031648451342778</v>
      </c>
      <c r="T29" s="92">
        <f t="shared" si="8"/>
        <v>0.20696633016196447</v>
      </c>
      <c r="U29" s="92">
        <f t="shared" si="8"/>
        <v>0.24599999532334077</v>
      </c>
      <c r="V29" s="92">
        <f t="shared" si="8"/>
        <v>0.62531542506274351</v>
      </c>
      <c r="W29" s="92">
        <f t="shared" si="8"/>
        <v>3.4000000000000009E-2</v>
      </c>
      <c r="X29" s="92">
        <f t="shared" si="8"/>
        <v>6.6416215702681223</v>
      </c>
      <c r="Y29" s="92">
        <f t="shared" si="8"/>
        <v>0</v>
      </c>
      <c r="Z29" s="92">
        <f t="shared" si="8"/>
        <v>0</v>
      </c>
      <c r="AA29" s="281">
        <f t="shared" si="8"/>
        <v>1</v>
      </c>
      <c r="AB29" s="92">
        <f t="shared" si="8"/>
        <v>3.8268823965418801</v>
      </c>
      <c r="AC29" s="92">
        <f t="shared" si="8"/>
        <v>13.051102201871478</v>
      </c>
      <c r="AD29" s="92"/>
      <c r="AE29" s="93"/>
      <c r="AF29" s="74">
        <f>(AC29-AG29)/AG29</f>
        <v>0.41487328763900139</v>
      </c>
      <c r="AG29" s="92">
        <f t="shared" si="2"/>
        <v>9.2242198053295983</v>
      </c>
      <c r="AH29" s="92"/>
      <c r="AI29" s="74"/>
      <c r="AJ29" s="74"/>
      <c r="AK29" s="74"/>
      <c r="AL29" s="74"/>
      <c r="AM29" s="74"/>
      <c r="AN29" s="86"/>
      <c r="AO29" s="86"/>
      <c r="AP29" s="86"/>
      <c r="AQ29" s="82"/>
      <c r="AR29" s="86"/>
      <c r="AS29" s="87"/>
      <c r="AT29" s="87"/>
      <c r="AU29" s="86"/>
      <c r="AV29" s="87"/>
      <c r="AW29" s="86"/>
      <c r="AX29" s="87"/>
      <c r="AY29" s="86"/>
      <c r="AZ29" s="87"/>
      <c r="BA29" s="86"/>
      <c r="BB29" s="87"/>
      <c r="BC29" s="86"/>
      <c r="BD29" s="87"/>
      <c r="BE29" s="86"/>
      <c r="BF29" s="88"/>
    </row>
    <row r="30" spans="1:58" s="11" customFormat="1">
      <c r="A30" s="72"/>
      <c r="B30" s="89" t="s">
        <v>44</v>
      </c>
      <c r="C30" s="77" t="s">
        <v>21</v>
      </c>
      <c r="D30" s="187">
        <v>0</v>
      </c>
      <c r="E30" s="187">
        <v>0</v>
      </c>
      <c r="F30" s="187">
        <v>0</v>
      </c>
      <c r="G30" s="187">
        <v>0</v>
      </c>
      <c r="H30" s="187">
        <v>0</v>
      </c>
      <c r="I30" s="187">
        <v>0</v>
      </c>
      <c r="J30" s="91">
        <f>D30-SUM(E30:I30,K30)</f>
        <v>0</v>
      </c>
      <c r="K30" s="90"/>
      <c r="L30" s="95">
        <f>IF(allocation_method&gt;=6,CHOOSE(gen_choice,'Generation Calculations'!H34-'Generation Calculations'!I34+'Generation Calculations'!J34,'Generation Calculations'!G34+'Generation Calculations'!H34-'Generation Calculations'!I34+'Generation Calculations'!J34),0)</f>
        <v>0</v>
      </c>
      <c r="M30" s="90"/>
      <c r="N30" s="95">
        <f>CHOOSE(allocation_method,'RSP Surch Allocations'!E31,'RSP Surch Allocations'!J31,'RSP Surch Allocations'!N31,'RSP Surch Allocations'!Q31,'RSP Surch Allocations'!AA31,'RSP Surch Allocations'!AH31,'RSP Surch Allocations'!AS31,'RSP Surch Allocations'!BD31,'RSP Surch Allocations'!BO31,'RSP Surch Allocations'!BZ31,)</f>
        <v>0</v>
      </c>
      <c r="O30" s="91">
        <f>SUM(E30:N30)</f>
        <v>0</v>
      </c>
      <c r="P30" s="145"/>
      <c r="Q30" s="177">
        <v>0</v>
      </c>
      <c r="R30" s="97"/>
      <c r="S30" s="97"/>
      <c r="T30" s="97"/>
      <c r="U30" s="97"/>
      <c r="V30" s="97"/>
      <c r="W30" s="97"/>
      <c r="X30" s="97"/>
      <c r="Y30" s="97"/>
      <c r="Z30" s="97"/>
      <c r="AA30" s="280"/>
      <c r="AB30" s="97"/>
      <c r="AC30" s="97"/>
      <c r="AD30" s="97"/>
      <c r="AE30" s="103"/>
      <c r="AF30" s="79"/>
      <c r="AG30" s="92">
        <f t="shared" si="2"/>
        <v>0</v>
      </c>
      <c r="AH30" s="92"/>
      <c r="AI30" s="79"/>
      <c r="AJ30" s="79"/>
      <c r="AK30" s="79"/>
      <c r="AL30" s="79"/>
      <c r="AM30" s="74"/>
      <c r="AN30" s="104"/>
      <c r="AO30" s="99"/>
      <c r="AP30" s="104"/>
      <c r="AQ30" s="100"/>
      <c r="AR30" s="99"/>
      <c r="AS30" s="98"/>
      <c r="AT30" s="98"/>
      <c r="AU30" s="99"/>
      <c r="AV30" s="98"/>
      <c r="AW30" s="99"/>
      <c r="AX30" s="98"/>
      <c r="AY30" s="99"/>
      <c r="AZ30" s="98"/>
      <c r="BA30" s="99"/>
      <c r="BB30" s="98"/>
      <c r="BC30" s="99"/>
      <c r="BD30" s="98"/>
      <c r="BE30" s="99"/>
      <c r="BF30" s="101"/>
    </row>
    <row r="31" spans="1:58" s="113" customFormat="1">
      <c r="A31" s="72"/>
      <c r="B31" s="105" t="s">
        <v>45</v>
      </c>
      <c r="C31" s="189" t="s">
        <v>21</v>
      </c>
      <c r="D31" s="144">
        <f t="shared" ref="D31:O31" si="9">SUM(D28:D30)</f>
        <v>916124.19419926836</v>
      </c>
      <c r="E31" s="144">
        <f t="shared" si="9"/>
        <v>51021.202952992971</v>
      </c>
      <c r="F31" s="144">
        <f t="shared" si="9"/>
        <v>28285.642568676361</v>
      </c>
      <c r="G31" s="144">
        <f t="shared" si="9"/>
        <v>26686.744549236551</v>
      </c>
      <c r="H31" s="144">
        <f t="shared" si="9"/>
        <v>74549.071229512207</v>
      </c>
      <c r="I31" s="144">
        <f t="shared" si="9"/>
        <v>3688.4118620896043</v>
      </c>
      <c r="J31" s="144">
        <f t="shared" si="9"/>
        <v>731893.12103676074</v>
      </c>
      <c r="K31" s="144">
        <f t="shared" si="9"/>
        <v>0</v>
      </c>
      <c r="L31" s="144">
        <f t="shared" si="9"/>
        <v>0</v>
      </c>
      <c r="M31" s="144">
        <f t="shared" si="9"/>
        <v>108482.70182616485</v>
      </c>
      <c r="N31" s="144">
        <f>SUM(N28:N30)</f>
        <v>415150.54194785189</v>
      </c>
      <c r="O31" s="144">
        <f t="shared" si="9"/>
        <v>1439757.4379732849</v>
      </c>
      <c r="P31" s="145">
        <f>ROUND(O31-D31,0)</f>
        <v>523633</v>
      </c>
      <c r="Q31" s="176">
        <f>SUM(Q28:Q30)</f>
        <v>10848270.182616483</v>
      </c>
      <c r="R31" s="92">
        <f>D31/$Q31*100</f>
        <v>8.444887330214975</v>
      </c>
      <c r="S31" s="92">
        <f>F31/$Q31*100</f>
        <v>0.26073873615354753</v>
      </c>
      <c r="T31" s="92">
        <f>G31/$Q31*100</f>
        <v>0.24599999907819409</v>
      </c>
      <c r="U31" s="92">
        <f t="shared" ref="U31:AC31" si="10">G31/$Q31*100</f>
        <v>0.24599999907819409</v>
      </c>
      <c r="V31" s="92">
        <f t="shared" si="10"/>
        <v>0.68719777415731542</v>
      </c>
      <c r="W31" s="92">
        <f t="shared" si="10"/>
        <v>3.3999999999999996E-2</v>
      </c>
      <c r="X31" s="92">
        <f t="shared" si="10"/>
        <v>6.7466343363162453</v>
      </c>
      <c r="Y31" s="92">
        <f t="shared" si="10"/>
        <v>0</v>
      </c>
      <c r="Z31" s="92">
        <f t="shared" si="10"/>
        <v>0</v>
      </c>
      <c r="AA31" s="281">
        <f t="shared" si="10"/>
        <v>1.0000000000000002</v>
      </c>
      <c r="AB31" s="92">
        <f t="shared" si="10"/>
        <v>3.8268823965418801</v>
      </c>
      <c r="AC31" s="92">
        <f t="shared" si="10"/>
        <v>13.271769726756855</v>
      </c>
      <c r="AD31" s="92"/>
      <c r="AE31" s="93"/>
      <c r="AF31" s="74">
        <f>(AC31-AG31)/AG31</f>
        <v>0.40518031213557909</v>
      </c>
      <c r="AG31" s="92">
        <f t="shared" si="2"/>
        <v>9.444887330214975</v>
      </c>
      <c r="AH31" s="92"/>
      <c r="AI31" s="74"/>
      <c r="AJ31" s="74"/>
      <c r="AK31" s="74"/>
      <c r="AL31" s="74"/>
      <c r="AM31" s="74"/>
      <c r="AN31" s="86"/>
      <c r="AO31" s="86"/>
      <c r="AP31" s="86"/>
      <c r="AQ31" s="82"/>
      <c r="AR31" s="86"/>
      <c r="AS31" s="87"/>
      <c r="AT31" s="87"/>
      <c r="AU31" s="86"/>
      <c r="AV31" s="87"/>
      <c r="AW31" s="86"/>
      <c r="AX31" s="87"/>
      <c r="AY31" s="86"/>
      <c r="AZ31" s="87"/>
      <c r="BA31" s="86"/>
      <c r="BB31" s="87"/>
      <c r="BC31" s="86"/>
      <c r="BD31" s="87"/>
      <c r="BE31" s="86"/>
      <c r="BF31" s="88"/>
    </row>
    <row r="32" spans="1:58" s="11" customFormat="1" ht="9.75" customHeight="1">
      <c r="A32" s="72"/>
      <c r="B32" s="94"/>
      <c r="C32" s="73"/>
      <c r="D32" s="106"/>
      <c r="E32" s="144"/>
      <c r="F32" s="106"/>
      <c r="G32" s="106"/>
      <c r="H32" s="106"/>
      <c r="I32" s="106"/>
      <c r="J32" s="91"/>
      <c r="K32" s="91"/>
      <c r="L32" s="91"/>
      <c r="M32" s="91"/>
      <c r="N32" s="91"/>
      <c r="O32" s="91"/>
      <c r="P32" s="145"/>
      <c r="Q32" s="176"/>
      <c r="R32" s="92"/>
      <c r="S32" s="92"/>
      <c r="T32" s="92"/>
      <c r="U32" s="92"/>
      <c r="V32" s="92"/>
      <c r="W32" s="92"/>
      <c r="X32" s="92"/>
      <c r="Y32" s="92"/>
      <c r="Z32" s="92"/>
      <c r="AA32" s="281"/>
      <c r="AB32" s="92"/>
      <c r="AC32" s="92"/>
      <c r="AD32" s="92"/>
      <c r="AE32" s="93"/>
      <c r="AF32" s="74"/>
      <c r="AG32" s="92">
        <f t="shared" si="2"/>
        <v>0</v>
      </c>
      <c r="AH32" s="92"/>
      <c r="AI32" s="74"/>
      <c r="AJ32" s="74"/>
      <c r="AK32" s="74"/>
      <c r="AL32" s="74"/>
      <c r="AM32" s="74"/>
      <c r="AN32" s="82"/>
      <c r="AO32" s="82"/>
      <c r="AP32" s="86"/>
      <c r="AQ32" s="82"/>
      <c r="AR32" s="86"/>
      <c r="AS32" s="87"/>
      <c r="AT32" s="87"/>
      <c r="AU32" s="86"/>
      <c r="AV32" s="87"/>
      <c r="AW32" s="86"/>
      <c r="AX32" s="87"/>
      <c r="AY32" s="86"/>
      <c r="AZ32" s="87"/>
      <c r="BA32" s="86"/>
      <c r="BB32" s="87"/>
      <c r="BC32" s="86"/>
      <c r="BD32" s="87"/>
      <c r="BE32" s="82"/>
      <c r="BF32" s="88"/>
    </row>
    <row r="33" spans="1:58" s="11" customFormat="1">
      <c r="A33" s="72"/>
      <c r="B33" s="89" t="s">
        <v>42</v>
      </c>
      <c r="C33" s="77" t="s">
        <v>27</v>
      </c>
      <c r="D33" s="387">
        <f>'Test Year 2001 Sales and Revs.'!G37</f>
        <v>49241569.412864253</v>
      </c>
      <c r="E33" s="186">
        <v>2972424.6902287644</v>
      </c>
      <c r="F33" s="106">
        <v>1343586.0964513356</v>
      </c>
      <c r="G33" s="106">
        <v>1477852.35004047</v>
      </c>
      <c r="H33" s="106">
        <v>7565472.2604656704</v>
      </c>
      <c r="I33" s="106">
        <v>202241.66751601602</v>
      </c>
      <c r="J33" s="91">
        <f>D33-SUM(E33:I33,K33)</f>
        <v>35679992.348161995</v>
      </c>
      <c r="K33" s="90"/>
      <c r="L33" s="90">
        <f>IF(allocation_method&gt;=6,CHOOSE(gen_choice,'Generation Calculations'!H37-'Generation Calculations'!I37+'Generation Calculations'!J37,'Generation Calculations'!G37+'Generation Calculations'!H37-'Generation Calculations'!I37+'Generation Calculations'!J37),0)</f>
        <v>0</v>
      </c>
      <c r="M33" s="90">
        <f>'Test Year 2001 Sales and Revs.'!K37</f>
        <v>6320052.1098755002</v>
      </c>
      <c r="N33" s="90">
        <f>CHOOSE(allocation_method,'RSP Surch Allocations'!E34,'RSP Surch Allocations'!J34,'RSP Surch Allocations'!N34,'RSP Surch Allocations'!Q34,'RSP Surch Allocations'!AA34,'RSP Surch Allocations'!AH34,'RSP Surch Allocations'!AS34,'RSP Surch Allocations'!BD34,'RSP Surch Allocations'!BO34,'RSP Surch Allocations'!BZ34,)</f>
        <v>24186096.164509919</v>
      </c>
      <c r="O33" s="91">
        <f>SUM(E33:N33)</f>
        <v>79747717.687249675</v>
      </c>
      <c r="P33" s="145">
        <f>ROUND(O33-D33,0)</f>
        <v>30506148</v>
      </c>
      <c r="Q33" s="177">
        <v>632005210.98756003</v>
      </c>
      <c r="R33" s="92">
        <f t="shared" ref="R33:AC36" si="11">D33/$Q33*100</f>
        <v>7.7913233240466893</v>
      </c>
      <c r="S33" s="92">
        <f t="shared" si="11"/>
        <v>0.4703164845087443</v>
      </c>
      <c r="T33" s="92">
        <f t="shared" si="11"/>
        <v>0.21259098391797626</v>
      </c>
      <c r="U33" s="92">
        <f t="shared" si="11"/>
        <v>0.2338354691302631</v>
      </c>
      <c r="V33" s="92">
        <f t="shared" si="11"/>
        <v>1.197058525616268</v>
      </c>
      <c r="W33" s="92">
        <f t="shared" si="11"/>
        <v>3.1999999999999494E-2</v>
      </c>
      <c r="X33" s="92">
        <f t="shared" si="11"/>
        <v>5.6455218608734379</v>
      </c>
      <c r="Y33" s="92">
        <f t="shared" si="11"/>
        <v>0</v>
      </c>
      <c r="Z33" s="92">
        <f t="shared" si="11"/>
        <v>0</v>
      </c>
      <c r="AA33" s="281">
        <f t="shared" si="11"/>
        <v>0.99999999999998423</v>
      </c>
      <c r="AB33" s="92">
        <f t="shared" si="11"/>
        <v>3.8268823965418188</v>
      </c>
      <c r="AC33" s="92">
        <f t="shared" si="11"/>
        <v>12.618205720588493</v>
      </c>
      <c r="AD33" s="92"/>
      <c r="AE33" s="93"/>
      <c r="AF33" s="74">
        <f>(AC33-AG33)/AG33</f>
        <v>0.43530220144153375</v>
      </c>
      <c r="AG33" s="92">
        <f t="shared" si="2"/>
        <v>8.7913233240466742</v>
      </c>
      <c r="AH33" s="92"/>
      <c r="AI33" s="74"/>
      <c r="AJ33" s="74"/>
      <c r="AK33" s="74"/>
      <c r="AL33" s="74"/>
      <c r="AM33" s="74"/>
      <c r="AN33" s="86"/>
      <c r="AO33" s="86"/>
      <c r="AP33" s="86"/>
      <c r="AQ33" s="82"/>
      <c r="AR33" s="86"/>
      <c r="AS33" s="87"/>
      <c r="AT33" s="87"/>
      <c r="AU33" s="86"/>
      <c r="AV33" s="87"/>
      <c r="AW33" s="86"/>
      <c r="AX33" s="87"/>
      <c r="AY33" s="86"/>
      <c r="AZ33" s="87"/>
      <c r="BA33" s="86"/>
      <c r="BB33" s="87"/>
      <c r="BC33" s="86"/>
      <c r="BD33" s="87"/>
      <c r="BE33" s="86"/>
      <c r="BF33" s="88"/>
    </row>
    <row r="34" spans="1:58" s="11" customFormat="1">
      <c r="A34" s="72"/>
      <c r="B34" s="89" t="s">
        <v>43</v>
      </c>
      <c r="C34" s="77" t="s">
        <v>27</v>
      </c>
      <c r="D34" s="106">
        <v>8600971.5347572397</v>
      </c>
      <c r="E34" s="186">
        <v>514345.745156847</v>
      </c>
      <c r="F34" s="106">
        <v>253613.29822672083</v>
      </c>
      <c r="G34" s="106">
        <v>259187.047758239</v>
      </c>
      <c r="H34" s="106">
        <v>1401403.3992290411</v>
      </c>
      <c r="I34" s="106">
        <v>34795.719663569602</v>
      </c>
      <c r="J34" s="91">
        <f>D34-SUM(E34:I34,K34)</f>
        <v>6136721.1601915145</v>
      </c>
      <c r="K34" s="90">
        <f>'Test Year 2001 Sales and Revs.'!N38</f>
        <v>905.16453130756884</v>
      </c>
      <c r="L34" s="90">
        <f>IF(allocation_method&gt;=6,CHOOSE(gen_choice,'Generation Calculations'!H38-'Generation Calculations'!I38+'Generation Calculations'!J38,'Generation Calculations'!G38+'Generation Calculations'!H38-'Generation Calculations'!I38+'Generation Calculations'!J38),0)</f>
        <v>0</v>
      </c>
      <c r="M34" s="90">
        <f>'Test Year 2001 Sales and Revs.'!K38</f>
        <v>1093616.2394862389</v>
      </c>
      <c r="N34" s="90">
        <f>CHOOSE(allocation_method,'RSP Surch Allocations'!E35,'RSP Surch Allocations'!J35,'RSP Surch Allocations'!N35,'RSP Surch Allocations'!Q35,'RSP Surch Allocations'!AA35,'RSP Surch Allocations'!AH35,'RSP Surch Allocations'!AS35,'RSP Surch Allocations'!BD35,'RSP Surch Allocations'!BO35,'RSP Surch Allocations'!BZ35,)</f>
        <v>4185140.7354622167</v>
      </c>
      <c r="O34" s="91">
        <f>SUM(E34:N34)</f>
        <v>13879728.509705694</v>
      </c>
      <c r="P34" s="145">
        <f>ROUND(O34-D34,0)</f>
        <v>5278757</v>
      </c>
      <c r="Q34" s="177">
        <v>109361623.947624</v>
      </c>
      <c r="R34" s="92">
        <f t="shared" si="11"/>
        <v>7.8647072202187296</v>
      </c>
      <c r="S34" s="92">
        <f t="shared" si="11"/>
        <v>0.47031648451304997</v>
      </c>
      <c r="T34" s="92">
        <f t="shared" si="11"/>
        <v>0.23190337622289017</v>
      </c>
      <c r="U34" s="92">
        <f t="shared" si="11"/>
        <v>0.2369999990877697</v>
      </c>
      <c r="V34" s="92">
        <f t="shared" si="11"/>
        <v>1.2814398219801564</v>
      </c>
      <c r="W34" s="92">
        <f t="shared" si="11"/>
        <v>3.1817120492133637E-2</v>
      </c>
      <c r="X34" s="92">
        <f t="shared" si="11"/>
        <v>5.6114027377012459</v>
      </c>
      <c r="Y34" s="92">
        <f t="shared" si="11"/>
        <v>8.2768022148342884E-4</v>
      </c>
      <c r="Z34" s="92">
        <f t="shared" si="11"/>
        <v>0</v>
      </c>
      <c r="AA34" s="281">
        <f t="shared" si="11"/>
        <v>1.0000000000091431</v>
      </c>
      <c r="AB34" s="92">
        <f t="shared" si="11"/>
        <v>3.8268823965768695</v>
      </c>
      <c r="AC34" s="92">
        <f t="shared" si="11"/>
        <v>12.691589616804741</v>
      </c>
      <c r="AD34" s="92"/>
      <c r="AE34" s="93"/>
      <c r="AF34" s="74">
        <f>(AC34-AG34)/AG34</f>
        <v>0.43169867898677156</v>
      </c>
      <c r="AG34" s="92">
        <f t="shared" si="2"/>
        <v>8.8647072202278725</v>
      </c>
      <c r="AH34" s="92"/>
      <c r="AI34" s="74"/>
      <c r="AJ34" s="74"/>
      <c r="AK34" s="74"/>
      <c r="AL34" s="74"/>
      <c r="AM34" s="74"/>
      <c r="AN34" s="86"/>
      <c r="AO34" s="86"/>
      <c r="AP34" s="86"/>
      <c r="AQ34" s="82"/>
      <c r="AR34" s="86"/>
      <c r="AS34" s="87"/>
      <c r="AT34" s="87"/>
      <c r="AU34" s="86"/>
      <c r="AV34" s="87"/>
      <c r="AW34" s="86"/>
      <c r="AX34" s="87"/>
      <c r="AY34" s="86"/>
      <c r="AZ34" s="87"/>
      <c r="BA34" s="86"/>
      <c r="BB34" s="87"/>
      <c r="BC34" s="86"/>
      <c r="BD34" s="87"/>
      <c r="BE34" s="86"/>
      <c r="BF34" s="88"/>
    </row>
    <row r="35" spans="1:58" s="11" customFormat="1">
      <c r="A35" s="72"/>
      <c r="B35" s="89" t="s">
        <v>44</v>
      </c>
      <c r="C35" s="77" t="s">
        <v>27</v>
      </c>
      <c r="D35" s="156">
        <v>2712151.1932578329</v>
      </c>
      <c r="E35" s="187">
        <v>200291.18662751393</v>
      </c>
      <c r="F35" s="156">
        <v>78472.080221478303</v>
      </c>
      <c r="G35" s="156">
        <v>100929.93291592246</v>
      </c>
      <c r="H35" s="156">
        <v>458197.50075739255</v>
      </c>
      <c r="I35" s="156">
        <v>13627.670267128771</v>
      </c>
      <c r="J35" s="96">
        <f>D35-SUM(E35:I35,K35)</f>
        <v>1860632.8224683967</v>
      </c>
      <c r="K35" s="95"/>
      <c r="L35" s="95">
        <f>IF(allocation_method&gt;=6,CHOOSE(gen_choice,'Generation Calculations'!H39-'Generation Calculations'!I39+'Generation Calculations'!J39,'Generation Calculations'!G39+'Generation Calculations'!H39-'Generation Calculations'!I39+'Generation Calculations'!J39),0)</f>
        <v>0</v>
      </c>
      <c r="M35" s="95">
        <f>'Test Year 2001 Sales and Revs.'!K39</f>
        <v>425864.69584777416</v>
      </c>
      <c r="N35" s="95">
        <f>CHOOSE(allocation_method,'RSP Surch Allocations'!E36,'RSP Surch Allocations'!J36,'RSP Surch Allocations'!N36,'RSP Surch Allocations'!Q36,'RSP Surch Allocations'!AA36,'RSP Surch Allocations'!AH36,'RSP Surch Allocations'!AS36,'RSP Surch Allocations'!BD36,'RSP Surch Allocations'!BO36,'RSP Surch Allocations'!BZ36,)</f>
        <v>1629734.1078485087</v>
      </c>
      <c r="O35" s="91">
        <f>SUM(E35:N35)</f>
        <v>4767749.9969541151</v>
      </c>
      <c r="P35" s="145">
        <f>ROUND(O35-D35,0)</f>
        <v>2055599</v>
      </c>
      <c r="Q35" s="178">
        <v>42586469.584777415</v>
      </c>
      <c r="R35" s="97">
        <f t="shared" si="11"/>
        <v>6.3685748541769112</v>
      </c>
      <c r="S35" s="97">
        <f t="shared" si="11"/>
        <v>0.47031648450875174</v>
      </c>
      <c r="T35" s="97">
        <f t="shared" si="11"/>
        <v>0.18426528657244751</v>
      </c>
      <c r="U35" s="97">
        <f t="shared" si="11"/>
        <v>0.23699999999999996</v>
      </c>
      <c r="V35" s="97">
        <f t="shared" si="11"/>
        <v>1.0759227172969881</v>
      </c>
      <c r="W35" s="97">
        <f t="shared" si="11"/>
        <v>3.2000000000000001E-2</v>
      </c>
      <c r="X35" s="97">
        <f t="shared" si="11"/>
        <v>4.3690703657987235</v>
      </c>
      <c r="Y35" s="97">
        <f t="shared" si="11"/>
        <v>0</v>
      </c>
      <c r="Z35" s="97">
        <f t="shared" si="11"/>
        <v>0</v>
      </c>
      <c r="AA35" s="280">
        <f t="shared" si="11"/>
        <v>1</v>
      </c>
      <c r="AB35" s="97">
        <f t="shared" si="11"/>
        <v>3.8268823965418801</v>
      </c>
      <c r="AC35" s="97">
        <f t="shared" si="11"/>
        <v>11.195457250718789</v>
      </c>
      <c r="AD35" s="97"/>
      <c r="AE35" s="93"/>
      <c r="AF35" s="79">
        <f>(AC35-AG35)/AG35</f>
        <v>0.51935177049502212</v>
      </c>
      <c r="AG35" s="92">
        <f t="shared" si="2"/>
        <v>7.3685748541769112</v>
      </c>
      <c r="AH35" s="92"/>
      <c r="AI35" s="79"/>
      <c r="AJ35" s="79"/>
      <c r="AK35" s="79"/>
      <c r="AL35" s="79"/>
      <c r="AM35" s="79"/>
      <c r="AN35" s="99"/>
      <c r="AO35" s="99"/>
      <c r="AP35" s="99"/>
      <c r="AQ35" s="100"/>
      <c r="AR35" s="99"/>
      <c r="AS35" s="98"/>
      <c r="AT35" s="98"/>
      <c r="AU35" s="99"/>
      <c r="AV35" s="98"/>
      <c r="AW35" s="99"/>
      <c r="AX35" s="98"/>
      <c r="AY35" s="99"/>
      <c r="AZ35" s="98"/>
      <c r="BA35" s="99"/>
      <c r="BB35" s="98"/>
      <c r="BC35" s="99"/>
      <c r="BD35" s="98"/>
      <c r="BE35" s="99"/>
      <c r="BF35" s="101"/>
    </row>
    <row r="36" spans="1:58" s="113" customFormat="1">
      <c r="A36" s="72"/>
      <c r="B36" s="105" t="s">
        <v>45</v>
      </c>
      <c r="C36" s="189" t="s">
        <v>27</v>
      </c>
      <c r="D36" s="91">
        <f t="shared" ref="D36:O36" si="12">SUM(D33:D35)</f>
        <v>60554692.140879326</v>
      </c>
      <c r="E36" s="91">
        <f t="shared" si="12"/>
        <v>3687061.6220131251</v>
      </c>
      <c r="F36" s="91">
        <f t="shared" si="12"/>
        <v>1675671.4748995348</v>
      </c>
      <c r="G36" s="91">
        <f t="shared" si="12"/>
        <v>1837969.3307146316</v>
      </c>
      <c r="H36" s="91">
        <f t="shared" si="12"/>
        <v>9425073.1604521032</v>
      </c>
      <c r="I36" s="91">
        <f t="shared" si="12"/>
        <v>250665.0574467144</v>
      </c>
      <c r="J36" s="91">
        <f t="shared" si="12"/>
        <v>43677346.330821909</v>
      </c>
      <c r="K36" s="91">
        <f t="shared" si="12"/>
        <v>905.16453130756884</v>
      </c>
      <c r="L36" s="144">
        <f t="shared" si="12"/>
        <v>0</v>
      </c>
      <c r="M36" s="91">
        <f t="shared" si="12"/>
        <v>7839533.045209513</v>
      </c>
      <c r="N36" s="91">
        <f t="shared" si="12"/>
        <v>30000971.007820643</v>
      </c>
      <c r="O36" s="91">
        <f t="shared" si="12"/>
        <v>98395196.193909481</v>
      </c>
      <c r="P36" s="145">
        <f>ROUND(O36-D36,0)</f>
        <v>37840504</v>
      </c>
      <c r="Q36" s="176">
        <f>SUM(Q33:Q35)</f>
        <v>783953304.51996136</v>
      </c>
      <c r="R36" s="92">
        <f t="shared" si="11"/>
        <v>7.7242728350968317</v>
      </c>
      <c r="S36" s="92">
        <f t="shared" si="11"/>
        <v>0.47031648450934538</v>
      </c>
      <c r="T36" s="92">
        <f t="shared" si="11"/>
        <v>0.21374633734411005</v>
      </c>
      <c r="U36" s="92">
        <f t="shared" si="11"/>
        <v>0.23444882751531693</v>
      </c>
      <c r="V36" s="92">
        <f t="shared" si="11"/>
        <v>1.2022493056806953</v>
      </c>
      <c r="W36" s="92">
        <f t="shared" si="11"/>
        <v>3.1974488276467476E-2</v>
      </c>
      <c r="X36" s="92">
        <f t="shared" si="11"/>
        <v>5.5714219302343384</v>
      </c>
      <c r="Y36" s="92">
        <f t="shared" si="11"/>
        <v>1.1546153655948028E-4</v>
      </c>
      <c r="Z36" s="92">
        <f t="shared" si="11"/>
        <v>0</v>
      </c>
      <c r="AA36" s="281">
        <f t="shared" si="11"/>
        <v>1.0000000000012628</v>
      </c>
      <c r="AB36" s="92">
        <f t="shared" si="11"/>
        <v>3.8268823965467123</v>
      </c>
      <c r="AC36" s="92">
        <f t="shared" si="11"/>
        <v>12.55115523164481</v>
      </c>
      <c r="AD36" s="92"/>
      <c r="AE36" s="93"/>
      <c r="AF36" s="74">
        <f>(AC36-AG36)/AG36</f>
        <v>0.43864772100558519</v>
      </c>
      <c r="AG36" s="92">
        <f t="shared" si="2"/>
        <v>8.7242728350980947</v>
      </c>
      <c r="AH36" s="92"/>
      <c r="AI36" s="74"/>
      <c r="AJ36" s="74"/>
      <c r="AK36" s="74"/>
      <c r="AL36" s="74"/>
      <c r="AM36" s="74"/>
      <c r="AN36" s="86"/>
      <c r="AO36" s="86"/>
      <c r="AP36" s="86"/>
      <c r="AQ36" s="82"/>
      <c r="AR36" s="86"/>
      <c r="AS36" s="87"/>
      <c r="AT36" s="87"/>
      <c r="AU36" s="86"/>
      <c r="AV36" s="87"/>
      <c r="AW36" s="86"/>
      <c r="AX36" s="87"/>
      <c r="AY36" s="86"/>
      <c r="AZ36" s="87"/>
      <c r="BA36" s="86"/>
      <c r="BB36" s="87"/>
      <c r="BC36" s="86"/>
      <c r="BD36" s="87"/>
      <c r="BE36" s="86"/>
      <c r="BF36" s="88"/>
    </row>
    <row r="37" spans="1:58" s="11" customFormat="1" ht="10.5" customHeight="1">
      <c r="A37" s="72"/>
      <c r="B37" s="94"/>
      <c r="C37" s="73"/>
      <c r="D37" s="106"/>
      <c r="E37" s="144"/>
      <c r="F37" s="106"/>
      <c r="G37" s="106"/>
      <c r="H37" s="106"/>
      <c r="I37" s="106"/>
      <c r="J37" s="91"/>
      <c r="K37" s="91"/>
      <c r="L37" s="144"/>
      <c r="M37" s="91"/>
      <c r="N37" s="91"/>
      <c r="O37" s="91"/>
      <c r="P37" s="145"/>
      <c r="Q37" s="176"/>
      <c r="R37" s="92"/>
      <c r="S37" s="92"/>
      <c r="T37" s="92"/>
      <c r="U37" s="92"/>
      <c r="V37" s="92"/>
      <c r="W37" s="92"/>
      <c r="X37" s="92"/>
      <c r="Y37" s="92"/>
      <c r="Z37" s="92"/>
      <c r="AA37" s="281"/>
      <c r="AB37" s="92"/>
      <c r="AC37" s="92"/>
      <c r="AD37" s="92"/>
      <c r="AE37" s="93"/>
      <c r="AF37" s="74"/>
      <c r="AG37" s="92">
        <f t="shared" si="2"/>
        <v>0</v>
      </c>
      <c r="AH37" s="92"/>
      <c r="AI37" s="74"/>
      <c r="AJ37" s="74"/>
      <c r="AK37" s="74"/>
      <c r="AL37" s="74"/>
      <c r="AM37" s="74"/>
      <c r="AN37" s="82"/>
      <c r="AO37" s="82"/>
      <c r="AP37" s="86"/>
      <c r="AQ37" s="82"/>
      <c r="AR37" s="86"/>
      <c r="AS37" s="87"/>
      <c r="AT37" s="87"/>
      <c r="AU37" s="86"/>
      <c r="AV37" s="87"/>
      <c r="AW37" s="86"/>
      <c r="AX37" s="87"/>
      <c r="AY37" s="86"/>
      <c r="AZ37" s="87"/>
      <c r="BA37" s="86"/>
      <c r="BB37" s="87"/>
      <c r="BC37" s="86"/>
      <c r="BD37" s="87"/>
      <c r="BE37" s="82"/>
      <c r="BF37" s="88"/>
    </row>
    <row r="38" spans="1:58" s="11" customFormat="1">
      <c r="A38" s="72"/>
      <c r="B38" s="89" t="s">
        <v>42</v>
      </c>
      <c r="C38" s="77" t="s">
        <v>28</v>
      </c>
      <c r="D38" s="106">
        <v>431805371.23850113</v>
      </c>
      <c r="E38" s="186">
        <v>22361710.066222027</v>
      </c>
      <c r="F38" s="106">
        <v>10218323.039874744</v>
      </c>
      <c r="G38" s="106">
        <v>12647260.033471501</v>
      </c>
      <c r="H38" s="106">
        <v>91174520.563025296</v>
      </c>
      <c r="I38" s="106">
        <v>1759205.3430030672</v>
      </c>
      <c r="J38" s="91">
        <f>D38-SUM(E38:I38,K38)</f>
        <v>293644352.19290447</v>
      </c>
      <c r="K38" s="90"/>
      <c r="L38" s="90">
        <f>IF(allocation_method&gt;=6,CHOOSE(gen_choice,'Generation Calculations'!H42-'Generation Calculations'!I42+'Generation Calculations'!J42,'Generation Calculations'!G42+'Generation Calculations'!H42-'Generation Calculations'!I42+'Generation Calculations'!J42),0)</f>
        <v>0</v>
      </c>
      <c r="M38" s="90">
        <f>'Test Year 2001 Sales and Revs.'!K42</f>
        <v>47546090.351434253</v>
      </c>
      <c r="N38" s="90">
        <f>CHOOSE(allocation_method,'RSP Surch Allocations'!E39,'RSP Surch Allocations'!J39,'RSP Surch Allocations'!N39,'RSP Surch Allocations'!Q39,'RSP Surch Allocations'!AA39,'RSP Surch Allocations'!AH39,'RSP Surch Allocations'!AS39,'RSP Surch Allocations'!BD39,'RSP Surch Allocations'!BO39,'RSP Surch Allocations'!BZ39,)</f>
        <v>181953296.19029346</v>
      </c>
      <c r="O38" s="91">
        <f>SUM(E38:N38)</f>
        <v>661304757.78022873</v>
      </c>
      <c r="P38" s="145">
        <f>ROUND(O38-D38,0)</f>
        <v>229499387</v>
      </c>
      <c r="Q38" s="177">
        <v>4754609035.1434231</v>
      </c>
      <c r="R38" s="92">
        <f t="shared" ref="R38:AC41" si="13">D38/$Q38*100</f>
        <v>9.0818270870819493</v>
      </c>
      <c r="S38" s="92">
        <f t="shared" si="13"/>
        <v>0.47031648450875174</v>
      </c>
      <c r="T38" s="92">
        <f t="shared" si="13"/>
        <v>0.21491405422289378</v>
      </c>
      <c r="U38" s="92">
        <f t="shared" si="13"/>
        <v>0.26599999999978957</v>
      </c>
      <c r="V38" s="92">
        <f t="shared" si="13"/>
        <v>1.9176028962447595</v>
      </c>
      <c r="W38" s="92">
        <f t="shared" si="13"/>
        <v>3.7000000000000019E-2</v>
      </c>
      <c r="X38" s="92">
        <f t="shared" si="13"/>
        <v>6.1759936521057544</v>
      </c>
      <c r="Y38" s="92">
        <f t="shared" si="13"/>
        <v>0</v>
      </c>
      <c r="Z38" s="92">
        <f t="shared" si="13"/>
        <v>0</v>
      </c>
      <c r="AA38" s="281">
        <f t="shared" si="13"/>
        <v>1.0000000000000004</v>
      </c>
      <c r="AB38" s="92">
        <f t="shared" si="13"/>
        <v>3.8268823965418814</v>
      </c>
      <c r="AC38" s="92">
        <f t="shared" si="13"/>
        <v>13.908709483623829</v>
      </c>
      <c r="AD38" s="92"/>
      <c r="AE38" s="93"/>
      <c r="AF38" s="74">
        <f>(AC38-AG38)/AG38</f>
        <v>0.37958222884474402</v>
      </c>
      <c r="AG38" s="92">
        <f t="shared" si="2"/>
        <v>10.081827087081949</v>
      </c>
      <c r="AH38" s="92"/>
      <c r="AI38" s="74"/>
      <c r="AJ38" s="74"/>
      <c r="AK38" s="74"/>
      <c r="AL38" s="74"/>
      <c r="AM38" s="74"/>
      <c r="AN38" s="86"/>
      <c r="AO38" s="86"/>
      <c r="AP38" s="86"/>
      <c r="AQ38" s="82"/>
      <c r="AR38" s="86"/>
      <c r="AS38" s="87"/>
      <c r="AT38" s="87"/>
      <c r="AU38" s="86"/>
      <c r="AV38" s="87"/>
      <c r="AW38" s="86"/>
      <c r="AX38" s="87"/>
      <c r="AY38" s="86"/>
      <c r="AZ38" s="87"/>
      <c r="BA38" s="86"/>
      <c r="BB38" s="87"/>
      <c r="BC38" s="86"/>
      <c r="BD38" s="87"/>
      <c r="BE38" s="86"/>
      <c r="BF38" s="88"/>
    </row>
    <row r="39" spans="1:58" s="11" customFormat="1">
      <c r="A39" s="72"/>
      <c r="B39" s="89" t="s">
        <v>43</v>
      </c>
      <c r="C39" s="77" t="s">
        <v>28</v>
      </c>
      <c r="D39" s="106">
        <v>462134547.10820401</v>
      </c>
      <c r="E39" s="186">
        <v>25375134.047813669</v>
      </c>
      <c r="F39" s="106">
        <v>9954374.6191417649</v>
      </c>
      <c r="G39" s="106">
        <v>14351582.134673901</v>
      </c>
      <c r="H39" s="106">
        <v>95793190.458680496</v>
      </c>
      <c r="I39" s="106">
        <v>1996272.7029433623</v>
      </c>
      <c r="J39" s="91">
        <f>D39-SUM(E39:I39,K39)</f>
        <v>313450445.72882652</v>
      </c>
      <c r="K39" s="90">
        <f>'Test Year 2001 Sales and Revs.'!N43</f>
        <v>1213547.4161243076</v>
      </c>
      <c r="L39" s="90">
        <f>IF(allocation_method&gt;=6,CHOOSE(gen_choice,'Generation Calculations'!H43-'Generation Calculations'!I43+'Generation Calculations'!J43,'Generation Calculations'!G43+'Generation Calculations'!H43-'Generation Calculations'!I43+'Generation Calculations'!J43),0)</f>
        <v>0</v>
      </c>
      <c r="M39" s="90">
        <f>'Test Year 2001 Sales and Revs.'!K43</f>
        <v>53953316.295766547</v>
      </c>
      <c r="N39" s="90">
        <f>CHOOSE(allocation_method,'RSP Surch Allocations'!E40,'RSP Surch Allocations'!J40,'RSP Surch Allocations'!N40,'RSP Surch Allocations'!Q40,'RSP Surch Allocations'!AA40,'RSP Surch Allocations'!AH40,'RSP Surch Allocations'!AS40,'RSP Surch Allocations'!BD40,'RSP Surch Allocations'!BO40,'RSP Surch Allocations'!BZ40,)</f>
        <v>206472996.36732516</v>
      </c>
      <c r="O39" s="91">
        <f>SUM(E39:N39)</f>
        <v>722560859.77129567</v>
      </c>
      <c r="P39" s="145">
        <f>ROUND(O39-D39,0)</f>
        <v>260426313</v>
      </c>
      <c r="Q39" s="177">
        <v>5395331629.5766544</v>
      </c>
      <c r="R39" s="92">
        <f t="shared" si="13"/>
        <v>8.5654521137279094</v>
      </c>
      <c r="S39" s="92">
        <f t="shared" si="13"/>
        <v>0.47031648450875174</v>
      </c>
      <c r="T39" s="92">
        <f t="shared" si="13"/>
        <v>0.18449977318489386</v>
      </c>
      <c r="U39" s="92">
        <f t="shared" si="13"/>
        <v>0.26600000000000001</v>
      </c>
      <c r="V39" s="92">
        <f t="shared" si="13"/>
        <v>1.7754828995784442</v>
      </c>
      <c r="W39" s="92">
        <f t="shared" si="13"/>
        <v>3.7000000000000005E-2</v>
      </c>
      <c r="X39" s="92">
        <f t="shared" si="13"/>
        <v>5.8096604110583927</v>
      </c>
      <c r="Y39" s="92">
        <f t="shared" si="13"/>
        <v>2.2492545397427753E-2</v>
      </c>
      <c r="Z39" s="92">
        <f t="shared" si="13"/>
        <v>0</v>
      </c>
      <c r="AA39" s="281">
        <f t="shared" si="13"/>
        <v>1</v>
      </c>
      <c r="AB39" s="92">
        <f t="shared" si="13"/>
        <v>3.8268823965418801</v>
      </c>
      <c r="AC39" s="92">
        <f t="shared" si="13"/>
        <v>13.392334510269787</v>
      </c>
      <c r="AD39" s="92"/>
      <c r="AE39" s="93"/>
      <c r="AF39" s="74">
        <f>(AC39-AG39)/AG39</f>
        <v>0.40007334217372825</v>
      </c>
      <c r="AG39" s="92">
        <f t="shared" si="2"/>
        <v>9.5654521137279094</v>
      </c>
      <c r="AH39" s="92"/>
      <c r="AI39" s="74"/>
      <c r="AJ39" s="74"/>
      <c r="AK39" s="74"/>
      <c r="AL39" s="74"/>
      <c r="AM39" s="74"/>
      <c r="AN39" s="86"/>
      <c r="AO39" s="86"/>
      <c r="AP39" s="86"/>
      <c r="AQ39" s="82"/>
      <c r="AR39" s="86"/>
      <c r="AS39" s="87"/>
      <c r="AT39" s="87"/>
      <c r="AU39" s="86"/>
      <c r="AV39" s="87"/>
      <c r="AW39" s="86"/>
      <c r="AX39" s="87"/>
      <c r="AY39" s="86"/>
      <c r="AZ39" s="87"/>
      <c r="BA39" s="86"/>
      <c r="BB39" s="87"/>
      <c r="BC39" s="86"/>
      <c r="BD39" s="87"/>
      <c r="BE39" s="86"/>
      <c r="BF39" s="88"/>
    </row>
    <row r="40" spans="1:58" s="11" customFormat="1">
      <c r="A40" s="72"/>
      <c r="B40" s="89" t="s">
        <v>44</v>
      </c>
      <c r="C40" s="77" t="s">
        <v>28</v>
      </c>
      <c r="D40" s="156">
        <v>1868731.8864174981</v>
      </c>
      <c r="E40" s="187">
        <v>115269.78846107464</v>
      </c>
      <c r="F40" s="156">
        <v>47250.139892215702</v>
      </c>
      <c r="G40" s="156">
        <v>65193.895473751552</v>
      </c>
      <c r="H40" s="156">
        <v>438815.95931601524</v>
      </c>
      <c r="I40" s="156">
        <v>9068.3238064792804</v>
      </c>
      <c r="J40" s="96">
        <f>D40-SUM(E40:I40,K40)</f>
        <v>1193133.7794679618</v>
      </c>
      <c r="K40" s="95"/>
      <c r="L40" s="95">
        <f>IF(allocation_method&gt;=6,CHOOSE(gen_choice,'Generation Calculations'!H44-'Generation Calculations'!I44+'Generation Calculations'!J44,'Generation Calculations'!G44+'Generation Calculations'!H44-'Generation Calculations'!I44+'Generation Calculations'!J44),0)</f>
        <v>0</v>
      </c>
      <c r="M40" s="95">
        <f>'Test Year 2001 Sales and Revs.'!K44</f>
        <v>245089.83260808856</v>
      </c>
      <c r="N40" s="95">
        <f>CHOOSE(allocation_method,'RSP Surch Allocations'!E41,'RSP Surch Allocations'!J41,'RSP Surch Allocations'!N41,'RSP Surch Allocations'!Q41,'RSP Surch Allocations'!AA41,'RSP Surch Allocations'!AH41,'RSP Surch Allocations'!AS41,'RSP Surch Allocations'!BD41,'RSP Surch Allocations'!BO41,'RSP Surch Allocations'!BZ41,)</f>
        <v>937929.96597929019</v>
      </c>
      <c r="O40" s="91">
        <f>SUM(E40:N40)</f>
        <v>3051751.6850048769</v>
      </c>
      <c r="P40" s="145">
        <f>ROUND(O40-D40,0)</f>
        <v>1183020</v>
      </c>
      <c r="Q40" s="178">
        <v>24508983.260808855</v>
      </c>
      <c r="R40" s="97">
        <f t="shared" si="13"/>
        <v>7.6246813934778679</v>
      </c>
      <c r="S40" s="97">
        <f t="shared" si="13"/>
        <v>0.47031648450875174</v>
      </c>
      <c r="T40" s="97">
        <f t="shared" si="13"/>
        <v>0.19278702584032176</v>
      </c>
      <c r="U40" s="97">
        <f t="shared" si="13"/>
        <v>0.26600000000000001</v>
      </c>
      <c r="V40" s="97">
        <f t="shared" si="13"/>
        <v>1.7904290628722446</v>
      </c>
      <c r="W40" s="97">
        <f t="shared" si="13"/>
        <v>3.6999999999918411E-2</v>
      </c>
      <c r="X40" s="97">
        <f t="shared" si="13"/>
        <v>4.8681488202566321</v>
      </c>
      <c r="Y40" s="97">
        <f t="shared" si="13"/>
        <v>0</v>
      </c>
      <c r="Z40" s="97">
        <f t="shared" si="13"/>
        <v>0</v>
      </c>
      <c r="AA40" s="280">
        <f t="shared" si="13"/>
        <v>1</v>
      </c>
      <c r="AB40" s="97">
        <f t="shared" si="13"/>
        <v>3.8268823965418801</v>
      </c>
      <c r="AC40" s="97">
        <f t="shared" si="13"/>
        <v>12.451563790019748</v>
      </c>
      <c r="AD40" s="97"/>
      <c r="AE40" s="93"/>
      <c r="AF40" s="79">
        <f>(AC40-AG40)/AG40</f>
        <v>0.4437129004482222</v>
      </c>
      <c r="AG40" s="92">
        <f t="shared" si="2"/>
        <v>8.6246813934778679</v>
      </c>
      <c r="AH40" s="92"/>
      <c r="AI40" s="79"/>
      <c r="AJ40" s="79"/>
      <c r="AK40" s="79"/>
      <c r="AL40" s="79"/>
      <c r="AM40" s="79"/>
      <c r="AN40" s="99"/>
      <c r="AO40" s="99"/>
      <c r="AP40" s="99"/>
      <c r="AQ40" s="100"/>
      <c r="AR40" s="99"/>
      <c r="AS40" s="98"/>
      <c r="AT40" s="98"/>
      <c r="AU40" s="99"/>
      <c r="AV40" s="98"/>
      <c r="AW40" s="99"/>
      <c r="AX40" s="98"/>
      <c r="AY40" s="99"/>
      <c r="AZ40" s="98"/>
      <c r="BA40" s="99"/>
      <c r="BB40" s="98"/>
      <c r="BC40" s="99"/>
      <c r="BD40" s="98"/>
      <c r="BE40" s="99"/>
      <c r="BF40" s="101"/>
    </row>
    <row r="41" spans="1:58" s="113" customFormat="1">
      <c r="A41" s="72"/>
      <c r="B41" s="105" t="s">
        <v>45</v>
      </c>
      <c r="C41" s="189" t="s">
        <v>28</v>
      </c>
      <c r="D41" s="91">
        <f t="shared" ref="D41:O41" si="14">SUM(D38:D40)</f>
        <v>895808650.23312271</v>
      </c>
      <c r="E41" s="91">
        <f t="shared" si="14"/>
        <v>47852113.90249677</v>
      </c>
      <c r="F41" s="91">
        <f t="shared" si="14"/>
        <v>20219947.798908725</v>
      </c>
      <c r="G41" s="91">
        <f t="shared" si="14"/>
        <v>27064036.063619155</v>
      </c>
      <c r="H41" s="91">
        <f t="shared" si="14"/>
        <v>187406526.98102182</v>
      </c>
      <c r="I41" s="91">
        <f t="shared" si="14"/>
        <v>3764546.3697529086</v>
      </c>
      <c r="J41" s="91">
        <f t="shared" si="14"/>
        <v>608287931.70119894</v>
      </c>
      <c r="K41" s="91">
        <f t="shared" si="14"/>
        <v>1213547.4161243076</v>
      </c>
      <c r="L41" s="144">
        <f t="shared" si="14"/>
        <v>0</v>
      </c>
      <c r="M41" s="91">
        <f t="shared" si="14"/>
        <v>101744496.47980888</v>
      </c>
      <c r="N41" s="91">
        <f t="shared" si="14"/>
        <v>389364222.5235979</v>
      </c>
      <c r="O41" s="91">
        <f t="shared" si="14"/>
        <v>1386917369.2365294</v>
      </c>
      <c r="P41" s="145">
        <f>ROUND(O41-D41,0)</f>
        <v>491108719</v>
      </c>
      <c r="Q41" s="176">
        <f>SUM(Q38:Q40)</f>
        <v>10174449647.980886</v>
      </c>
      <c r="R41" s="92">
        <f t="shared" si="13"/>
        <v>8.8044924416220915</v>
      </c>
      <c r="S41" s="92">
        <f t="shared" si="13"/>
        <v>0.47031648450875174</v>
      </c>
      <c r="T41" s="92">
        <f t="shared" si="13"/>
        <v>0.19873259486739278</v>
      </c>
      <c r="U41" s="92">
        <f t="shared" si="13"/>
        <v>0.2659999999999017</v>
      </c>
      <c r="V41" s="92">
        <f t="shared" si="13"/>
        <v>1.8419328166630864</v>
      </c>
      <c r="W41" s="92">
        <f t="shared" si="13"/>
        <v>3.6999999999999811E-2</v>
      </c>
      <c r="X41" s="92">
        <f t="shared" si="13"/>
        <v>5.9785831445135056</v>
      </c>
      <c r="Y41" s="92">
        <f t="shared" si="13"/>
        <v>1.192740106945377E-2</v>
      </c>
      <c r="Z41" s="92">
        <f t="shared" si="13"/>
        <v>0</v>
      </c>
      <c r="AA41" s="281">
        <f t="shared" si="13"/>
        <v>1.0000000000000002</v>
      </c>
      <c r="AB41" s="92">
        <f t="shared" si="13"/>
        <v>3.8268823965418806</v>
      </c>
      <c r="AC41" s="92">
        <f t="shared" si="13"/>
        <v>13.631374838163971</v>
      </c>
      <c r="AD41" s="92"/>
      <c r="AE41" s="93"/>
      <c r="AF41" s="74">
        <f>(AC41-AG41)/AG41</f>
        <v>0.39031927652837745</v>
      </c>
      <c r="AG41" s="92">
        <f t="shared" si="2"/>
        <v>9.8044924416220915</v>
      </c>
      <c r="AH41" s="92"/>
      <c r="AI41" s="74"/>
      <c r="AJ41" s="74"/>
      <c r="AK41" s="74"/>
      <c r="AL41" s="74"/>
      <c r="AM41" s="74"/>
      <c r="AN41" s="86"/>
      <c r="AO41" s="86"/>
      <c r="AP41" s="86"/>
      <c r="AQ41" s="82"/>
      <c r="AR41" s="86"/>
      <c r="AS41" s="87"/>
      <c r="AT41" s="87"/>
      <c r="AU41" s="86"/>
      <c r="AV41" s="87"/>
      <c r="AW41" s="86"/>
      <c r="AX41" s="87"/>
      <c r="AY41" s="86"/>
      <c r="AZ41" s="87"/>
      <c r="BA41" s="86"/>
      <c r="BB41" s="87"/>
      <c r="BC41" s="86"/>
      <c r="BD41" s="87"/>
      <c r="BE41" s="86"/>
      <c r="BF41" s="88"/>
    </row>
    <row r="42" spans="1:58" s="11" customFormat="1" ht="9" customHeight="1">
      <c r="A42" s="72"/>
      <c r="B42" s="89"/>
      <c r="C42" s="77"/>
      <c r="D42" s="106"/>
      <c r="E42" s="144"/>
      <c r="F42" s="106"/>
      <c r="G42" s="106"/>
      <c r="H42" s="106"/>
      <c r="I42" s="106"/>
      <c r="J42" s="91"/>
      <c r="K42" s="91"/>
      <c r="L42" s="91"/>
      <c r="M42" s="91"/>
      <c r="N42" s="91"/>
      <c r="O42" s="91"/>
      <c r="P42" s="145"/>
      <c r="Q42" s="176"/>
      <c r="R42" s="92"/>
      <c r="S42" s="92"/>
      <c r="T42" s="92"/>
      <c r="U42" s="92"/>
      <c r="V42" s="92"/>
      <c r="W42" s="92"/>
      <c r="X42" s="92"/>
      <c r="Y42" s="92"/>
      <c r="Z42" s="92"/>
      <c r="AA42" s="281"/>
      <c r="AB42" s="92"/>
      <c r="AC42" s="92"/>
      <c r="AD42" s="92"/>
      <c r="AE42" s="93"/>
      <c r="AF42" s="74"/>
      <c r="AG42" s="92">
        <f t="shared" si="2"/>
        <v>0</v>
      </c>
      <c r="AH42" s="92"/>
      <c r="AI42" s="74"/>
      <c r="AJ42" s="74"/>
      <c r="AK42" s="74"/>
      <c r="AL42" s="74"/>
      <c r="AM42" s="74"/>
      <c r="AN42" s="82"/>
      <c r="AO42" s="82"/>
      <c r="AP42" s="86"/>
      <c r="AQ42" s="82"/>
      <c r="AR42" s="86"/>
      <c r="AS42" s="87"/>
      <c r="AT42" s="87"/>
      <c r="AU42" s="86"/>
      <c r="AV42" s="87"/>
      <c r="AW42" s="86"/>
      <c r="AX42" s="87"/>
      <c r="AY42" s="86"/>
      <c r="AZ42" s="87"/>
      <c r="BA42" s="86"/>
      <c r="BB42" s="87"/>
      <c r="BC42" s="86"/>
      <c r="BD42" s="87"/>
      <c r="BE42" s="82"/>
      <c r="BF42" s="88"/>
    </row>
    <row r="43" spans="1:58" s="113" customFormat="1">
      <c r="A43" s="72"/>
      <c r="B43" s="105" t="s">
        <v>45</v>
      </c>
      <c r="C43" s="72"/>
      <c r="D43" s="91">
        <f t="shared" ref="D43:I43" si="15">D31+D36+D41</f>
        <v>957279466.5682013</v>
      </c>
      <c r="E43" s="91">
        <f t="shared" si="15"/>
        <v>51590196.727462888</v>
      </c>
      <c r="F43" s="91">
        <f t="shared" si="15"/>
        <v>21923904.916376937</v>
      </c>
      <c r="G43" s="91">
        <f t="shared" si="15"/>
        <v>28928692.138883024</v>
      </c>
      <c r="H43" s="91">
        <f t="shared" si="15"/>
        <v>196906149.21270344</v>
      </c>
      <c r="I43" s="91">
        <f t="shared" si="15"/>
        <v>4018899.8390617128</v>
      </c>
      <c r="J43" s="91">
        <f>D43-SUM(E43:I43,K43)</f>
        <v>652697171.15305758</v>
      </c>
      <c r="K43" s="91">
        <f>K31+K36+K41</f>
        <v>1214452.5806556151</v>
      </c>
      <c r="L43" s="91">
        <f>L31+L36+L41</f>
        <v>0</v>
      </c>
      <c r="M43" s="91">
        <f>M31+M36+M41</f>
        <v>109692512.22684456</v>
      </c>
      <c r="N43" s="91">
        <f>N31+N36+N41</f>
        <v>419780344.0733664</v>
      </c>
      <c r="O43" s="91">
        <f>O31+O36+O41</f>
        <v>1486752322.868412</v>
      </c>
      <c r="P43" s="145">
        <f>ROUND(O43-D43,0)</f>
        <v>529472856</v>
      </c>
      <c r="Q43" s="176">
        <f>Q31+Q36+Q41</f>
        <v>10969251222.683464</v>
      </c>
      <c r="R43" s="92">
        <f t="shared" ref="R43:AC43" si="16">D43/$Q43*100</f>
        <v>8.7269353863336629</v>
      </c>
      <c r="S43" s="92">
        <f t="shared" si="16"/>
        <v>0.47031648450879504</v>
      </c>
      <c r="T43" s="92">
        <f t="shared" si="16"/>
        <v>0.19986692319563432</v>
      </c>
      <c r="U43" s="92">
        <f t="shared" si="16"/>
        <v>0.26372531316504982</v>
      </c>
      <c r="V43" s="92">
        <f t="shared" si="16"/>
        <v>1.7950737494781643</v>
      </c>
      <c r="W43" s="92">
        <f t="shared" si="16"/>
        <v>3.6637868506019584E-2</v>
      </c>
      <c r="X43" s="92">
        <f t="shared" si="16"/>
        <v>5.9502436210352823</v>
      </c>
      <c r="Y43" s="92">
        <f t="shared" si="16"/>
        <v>1.1071426444716956E-2</v>
      </c>
      <c r="Z43" s="92">
        <f t="shared" si="16"/>
        <v>0</v>
      </c>
      <c r="AA43" s="281">
        <f t="shared" si="16"/>
        <v>1.0000000000000904</v>
      </c>
      <c r="AB43" s="92">
        <f t="shared" si="16"/>
        <v>3.8268823965422265</v>
      </c>
      <c r="AC43" s="92">
        <f t="shared" si="16"/>
        <v>13.55381778287598</v>
      </c>
      <c r="AD43" s="92"/>
      <c r="AE43" s="93"/>
      <c r="AF43" s="74">
        <f>(AC43-AG43)/AG43</f>
        <v>0.393431460634452</v>
      </c>
      <c r="AG43" s="92">
        <f t="shared" si="2"/>
        <v>9.7269353863337535</v>
      </c>
      <c r="AH43" s="92"/>
      <c r="AI43" s="74"/>
      <c r="AJ43" s="74"/>
      <c r="AK43" s="74"/>
      <c r="AL43" s="74"/>
      <c r="AM43" s="74"/>
      <c r="AN43" s="86"/>
      <c r="AO43" s="86"/>
      <c r="AP43" s="86"/>
      <c r="AQ43" s="82"/>
      <c r="AR43" s="86"/>
      <c r="AS43" s="87"/>
      <c r="AT43" s="87"/>
      <c r="AU43" s="86"/>
      <c r="AV43" s="87"/>
      <c r="AW43" s="86"/>
      <c r="AX43" s="87"/>
      <c r="AY43" s="86"/>
      <c r="AZ43" s="87"/>
      <c r="BA43" s="86"/>
      <c r="BB43" s="87"/>
      <c r="BC43" s="86"/>
      <c r="BD43" s="87"/>
      <c r="BE43" s="86"/>
      <c r="BF43" s="88"/>
    </row>
    <row r="44" spans="1:58" s="11" customFormat="1" ht="6" customHeight="1">
      <c r="A44" s="72"/>
      <c r="B44" s="89"/>
      <c r="C44" s="73"/>
      <c r="D44" s="106"/>
      <c r="E44" s="144"/>
      <c r="F44" s="106"/>
      <c r="G44" s="106"/>
      <c r="H44" s="106"/>
      <c r="I44" s="106"/>
      <c r="J44" s="91"/>
      <c r="K44" s="91"/>
      <c r="L44" s="91"/>
      <c r="M44" s="91"/>
      <c r="N44" s="91"/>
      <c r="O44" s="91"/>
      <c r="P44" s="145"/>
      <c r="Q44" s="176"/>
      <c r="R44" s="92"/>
      <c r="S44" s="92"/>
      <c r="T44" s="92"/>
      <c r="U44" s="92"/>
      <c r="V44" s="92"/>
      <c r="W44" s="92"/>
      <c r="X44" s="92"/>
      <c r="Y44" s="92"/>
      <c r="Z44" s="92"/>
      <c r="AA44" s="281"/>
      <c r="AB44" s="92"/>
      <c r="AC44" s="92"/>
      <c r="AD44" s="92"/>
      <c r="AE44" s="93"/>
      <c r="AF44" s="74"/>
      <c r="AG44" s="92">
        <f t="shared" si="2"/>
        <v>0</v>
      </c>
      <c r="AH44" s="92"/>
      <c r="AI44" s="74"/>
      <c r="AJ44" s="74"/>
      <c r="AK44" s="74"/>
      <c r="AL44" s="74"/>
      <c r="AM44" s="74"/>
      <c r="AN44" s="82"/>
      <c r="AO44" s="82"/>
      <c r="AP44" s="86"/>
      <c r="AQ44" s="82"/>
      <c r="AR44" s="86"/>
      <c r="AS44" s="87"/>
      <c r="AT44" s="87"/>
      <c r="AU44" s="86"/>
      <c r="AV44" s="87"/>
      <c r="AW44" s="86"/>
      <c r="AX44" s="87"/>
      <c r="AY44" s="86"/>
      <c r="AZ44" s="87"/>
      <c r="BA44" s="86"/>
      <c r="BB44" s="87"/>
      <c r="BC44" s="86"/>
      <c r="BD44" s="87"/>
      <c r="BE44" s="82"/>
      <c r="BF44" s="88"/>
    </row>
    <row r="45" spans="1:58" s="11" customFormat="1">
      <c r="A45" s="72"/>
      <c r="B45" s="89" t="s">
        <v>47</v>
      </c>
      <c r="C45" s="77" t="s">
        <v>28</v>
      </c>
      <c r="D45" s="156">
        <v>3103936.4246082092</v>
      </c>
      <c r="E45" s="187">
        <v>216942.62143212059</v>
      </c>
      <c r="F45" s="156">
        <v>108750.60140176749</v>
      </c>
      <c r="G45" s="156">
        <v>109782.12672</v>
      </c>
      <c r="H45" s="156">
        <v>740651.24125184305</v>
      </c>
      <c r="I45" s="156">
        <v>14760.622080000001</v>
      </c>
      <c r="J45" s="96">
        <f>D45-SUM(E45:I45,K45)</f>
        <v>1913049.2117224778</v>
      </c>
      <c r="K45" s="95"/>
      <c r="L45" s="90">
        <f>IF(allocation_method&gt;=6,CHOOSE(gen_choice,'Generation Calculations'!H47-'Generation Calculations'!I47+'Generation Calculations'!J47,'Generation Calculations'!G47+'Generation Calculations'!H47-'Generation Calculations'!I47+'Generation Calculations'!J47),0)</f>
        <v>0</v>
      </c>
      <c r="M45" s="95">
        <f>'Test Year 2001 Sales and Revs.'!K47</f>
        <v>461269.44</v>
      </c>
      <c r="N45" s="90">
        <f>CHOOSE(allocation_method,'RSP Surch Allocations'!E46,'RSP Surch Allocations'!J46,'RSP Surch Allocations'!N46,'RSP Surch Allocations'!Q46,'RSP Surch Allocations'!AA46,'RSP Surch Allocations'!AH46,'RSP Surch Allocations'!AS46,'RSP Surch Allocations'!BD46,'RSP Surch Allocations'!BO46,'RSP Surch Allocations'!BZ46,)</f>
        <v>1765223.899998731</v>
      </c>
      <c r="O45" s="91">
        <f>SUM(E45:N45)</f>
        <v>5330429.7646069396</v>
      </c>
      <c r="P45" s="145">
        <f>ROUND(O45-D45,0)</f>
        <v>2226493</v>
      </c>
      <c r="Q45" s="178">
        <v>46126944</v>
      </c>
      <c r="R45" s="97">
        <f t="shared" ref="R45:AC46" si="17">D45/$Q45*100</f>
        <v>6.7291178548663648</v>
      </c>
      <c r="S45" s="97">
        <f t="shared" si="17"/>
        <v>0.47031648450875174</v>
      </c>
      <c r="T45" s="97">
        <f t="shared" si="17"/>
        <v>0.23576372499718926</v>
      </c>
      <c r="U45" s="97">
        <f t="shared" si="17"/>
        <v>0.23800000000000002</v>
      </c>
      <c r="V45" s="97">
        <f t="shared" si="17"/>
        <v>1.6056802749643311</v>
      </c>
      <c r="W45" s="97">
        <f t="shared" si="17"/>
        <v>3.2000000000000001E-2</v>
      </c>
      <c r="X45" s="97">
        <f t="shared" si="17"/>
        <v>4.147357370396092</v>
      </c>
      <c r="Y45" s="97">
        <f t="shared" si="17"/>
        <v>0</v>
      </c>
      <c r="Z45" s="97">
        <f t="shared" si="17"/>
        <v>0</v>
      </c>
      <c r="AA45" s="280">
        <f t="shared" si="17"/>
        <v>1</v>
      </c>
      <c r="AB45" s="97">
        <f t="shared" si="17"/>
        <v>3.8268823965418801</v>
      </c>
      <c r="AC45" s="97">
        <f t="shared" si="17"/>
        <v>11.556000251408244</v>
      </c>
      <c r="AD45" s="97"/>
      <c r="AE45" s="93"/>
      <c r="AF45" s="74">
        <f>(AC45-AG45)/AG45</f>
        <v>0.49512537761763059</v>
      </c>
      <c r="AG45" s="92">
        <f t="shared" si="2"/>
        <v>7.7291178548663648</v>
      </c>
      <c r="AH45" s="92"/>
      <c r="AI45" s="79"/>
      <c r="AJ45" s="79"/>
      <c r="AK45" s="79"/>
      <c r="AL45" s="79"/>
      <c r="AM45" s="79"/>
      <c r="AN45" s="99"/>
      <c r="AO45" s="99"/>
      <c r="AP45" s="99"/>
      <c r="AQ45" s="100"/>
      <c r="AR45" s="99"/>
      <c r="AS45" s="98"/>
      <c r="AT45" s="98"/>
      <c r="AU45" s="99"/>
      <c r="AV45" s="98"/>
      <c r="AW45" s="99"/>
      <c r="AX45" s="98"/>
      <c r="AY45" s="99"/>
      <c r="AZ45" s="98"/>
      <c r="BA45" s="99"/>
      <c r="BB45" s="98"/>
      <c r="BC45" s="99"/>
      <c r="BD45" s="98"/>
      <c r="BE45" s="99"/>
      <c r="BF45" s="101"/>
    </row>
    <row r="46" spans="1:58" s="113" customFormat="1">
      <c r="A46" s="72"/>
      <c r="B46" s="105" t="s">
        <v>48</v>
      </c>
      <c r="C46" s="72"/>
      <c r="D46" s="91">
        <v>3103936.4246082092</v>
      </c>
      <c r="E46" s="144">
        <f>E45</f>
        <v>216942.62143212059</v>
      </c>
      <c r="F46" s="91">
        <v>108750.60140176749</v>
      </c>
      <c r="G46" s="91">
        <f>G45</f>
        <v>109782.12672</v>
      </c>
      <c r="H46" s="91">
        <f>H45</f>
        <v>740651.24125184305</v>
      </c>
      <c r="I46" s="91">
        <f>I45</f>
        <v>14760.622080000001</v>
      </c>
      <c r="J46" s="91">
        <f>D46-SUM(E46:I46)</f>
        <v>1913049.2117224778</v>
      </c>
      <c r="K46" s="91"/>
      <c r="L46" s="91"/>
      <c r="M46" s="91">
        <f>M45</f>
        <v>461269.44</v>
      </c>
      <c r="N46" s="91">
        <f>N45</f>
        <v>1765223.899998731</v>
      </c>
      <c r="O46" s="91">
        <f>O45</f>
        <v>5330429.7646069396</v>
      </c>
      <c r="P46" s="145">
        <f>ROUND(O46-D46,0)</f>
        <v>2226493</v>
      </c>
      <c r="Q46" s="176">
        <f>Q45</f>
        <v>46126944</v>
      </c>
      <c r="R46" s="92">
        <f t="shared" si="17"/>
        <v>6.7291178548663648</v>
      </c>
      <c r="S46" s="92">
        <f t="shared" si="17"/>
        <v>0.47031648450875174</v>
      </c>
      <c r="T46" s="92">
        <f t="shared" si="17"/>
        <v>0.23576372499718926</v>
      </c>
      <c r="U46" s="92">
        <f t="shared" si="17"/>
        <v>0.23800000000000002</v>
      </c>
      <c r="V46" s="92">
        <f t="shared" si="17"/>
        <v>1.6056802749643311</v>
      </c>
      <c r="W46" s="92">
        <f t="shared" si="17"/>
        <v>3.2000000000000001E-2</v>
      </c>
      <c r="X46" s="92">
        <f t="shared" si="17"/>
        <v>4.147357370396092</v>
      </c>
      <c r="Y46" s="92">
        <f t="shared" si="17"/>
        <v>0</v>
      </c>
      <c r="Z46" s="92">
        <f t="shared" si="17"/>
        <v>0</v>
      </c>
      <c r="AA46" s="281">
        <f t="shared" si="17"/>
        <v>1</v>
      </c>
      <c r="AB46" s="92">
        <f t="shared" si="17"/>
        <v>3.8268823965418801</v>
      </c>
      <c r="AC46" s="92">
        <f t="shared" si="17"/>
        <v>11.556000251408244</v>
      </c>
      <c r="AD46" s="92"/>
      <c r="AE46" s="93"/>
      <c r="AF46" s="74">
        <f>(AC46-AG46)/AG46</f>
        <v>0.49512537761763059</v>
      </c>
      <c r="AG46" s="92">
        <f t="shared" si="2"/>
        <v>7.7291178548663648</v>
      </c>
      <c r="AH46" s="92"/>
      <c r="AI46" s="74"/>
      <c r="AJ46" s="74"/>
      <c r="AK46" s="74"/>
      <c r="AL46" s="74"/>
      <c r="AM46" s="74"/>
      <c r="AN46" s="86"/>
      <c r="AO46" s="86"/>
      <c r="AP46" s="86"/>
      <c r="AQ46" s="82"/>
      <c r="AR46" s="86"/>
      <c r="AS46" s="87"/>
      <c r="AT46" s="87"/>
      <c r="AU46" s="86"/>
      <c r="AV46" s="87"/>
      <c r="AW46" s="86"/>
      <c r="AX46" s="87"/>
      <c r="AY46" s="86"/>
      <c r="AZ46" s="87"/>
      <c r="BA46" s="86"/>
      <c r="BB46" s="87"/>
      <c r="BC46" s="86"/>
      <c r="BD46" s="87"/>
      <c r="BE46" s="86"/>
      <c r="BF46" s="88"/>
    </row>
    <row r="47" spans="1:58" s="11" customFormat="1" ht="10.5" customHeight="1">
      <c r="A47" s="72"/>
      <c r="B47" s="89"/>
      <c r="C47" s="73"/>
      <c r="D47" s="106"/>
      <c r="E47" s="144"/>
      <c r="F47" s="106"/>
      <c r="G47" s="106"/>
      <c r="H47" s="106"/>
      <c r="I47" s="106"/>
      <c r="J47" s="91"/>
      <c r="K47" s="91"/>
      <c r="L47" s="91"/>
      <c r="M47" s="91"/>
      <c r="N47" s="91"/>
      <c r="O47" s="91"/>
      <c r="P47" s="145"/>
      <c r="Q47" s="176"/>
      <c r="R47" s="92"/>
      <c r="S47" s="92"/>
      <c r="T47" s="92"/>
      <c r="U47" s="92"/>
      <c r="V47" s="92"/>
      <c r="W47" s="92"/>
      <c r="X47" s="92"/>
      <c r="Y47" s="92"/>
      <c r="Z47" s="92"/>
      <c r="AA47" s="281"/>
      <c r="AB47" s="92"/>
      <c r="AC47" s="92"/>
      <c r="AD47" s="92"/>
      <c r="AE47" s="93"/>
      <c r="AF47" s="74"/>
      <c r="AG47" s="92">
        <f t="shared" si="2"/>
        <v>0</v>
      </c>
      <c r="AH47" s="92"/>
      <c r="AI47" s="74"/>
      <c r="AJ47" s="74"/>
      <c r="AK47" s="74"/>
      <c r="AL47" s="74"/>
      <c r="AM47" s="74"/>
      <c r="AN47" s="82"/>
      <c r="AO47" s="82"/>
      <c r="AP47" s="86"/>
      <c r="AQ47" s="82"/>
      <c r="AR47" s="86"/>
      <c r="AS47" s="87"/>
      <c r="AT47" s="87"/>
      <c r="AU47" s="86"/>
      <c r="AV47" s="87"/>
      <c r="AW47" s="86"/>
      <c r="AX47" s="87"/>
      <c r="AY47" s="86"/>
      <c r="AZ47" s="87"/>
      <c r="BA47" s="86"/>
      <c r="BB47" s="87"/>
      <c r="BC47" s="86"/>
      <c r="BD47" s="87"/>
      <c r="BE47" s="82"/>
      <c r="BF47" s="88"/>
    </row>
    <row r="48" spans="1:58" s="113" customFormat="1">
      <c r="A48" s="72"/>
      <c r="B48" s="105" t="s">
        <v>49</v>
      </c>
      <c r="C48" s="189" t="s">
        <v>21</v>
      </c>
      <c r="D48" s="91">
        <f t="shared" ref="D48:O48" si="18">+D31</f>
        <v>916124.19419926836</v>
      </c>
      <c r="E48" s="91">
        <f t="shared" si="18"/>
        <v>51021.202952992971</v>
      </c>
      <c r="F48" s="91">
        <f t="shared" si="18"/>
        <v>28285.642568676361</v>
      </c>
      <c r="G48" s="91">
        <f t="shared" si="18"/>
        <v>26686.744549236551</v>
      </c>
      <c r="H48" s="91">
        <f t="shared" si="18"/>
        <v>74549.071229512207</v>
      </c>
      <c r="I48" s="91">
        <f t="shared" si="18"/>
        <v>3688.4118620896043</v>
      </c>
      <c r="J48" s="91">
        <f t="shared" si="18"/>
        <v>731893.12103676074</v>
      </c>
      <c r="K48" s="91">
        <f t="shared" si="18"/>
        <v>0</v>
      </c>
      <c r="L48" s="91">
        <f>+L31</f>
        <v>0</v>
      </c>
      <c r="M48" s="91">
        <f t="shared" si="18"/>
        <v>108482.70182616485</v>
      </c>
      <c r="N48" s="91">
        <f>+N31</f>
        <v>415150.54194785189</v>
      </c>
      <c r="O48" s="91">
        <f t="shared" si="18"/>
        <v>1439757.4379732849</v>
      </c>
      <c r="P48" s="145">
        <f>ROUND(O47-D47,0)</f>
        <v>0</v>
      </c>
      <c r="Q48" s="176">
        <f>Q31</f>
        <v>10848270.182616483</v>
      </c>
      <c r="R48" s="92">
        <f t="shared" ref="R48:AC51" si="19">D48/$Q48*100</f>
        <v>8.444887330214975</v>
      </c>
      <c r="S48" s="92">
        <f t="shared" si="19"/>
        <v>0.47031648450967339</v>
      </c>
      <c r="T48" s="92">
        <f t="shared" si="19"/>
        <v>0.26073873615354753</v>
      </c>
      <c r="U48" s="92">
        <f t="shared" si="19"/>
        <v>0.24599999907819409</v>
      </c>
      <c r="V48" s="92">
        <f t="shared" si="19"/>
        <v>0.68719777415731542</v>
      </c>
      <c r="W48" s="92">
        <f t="shared" si="19"/>
        <v>3.3999999999999996E-2</v>
      </c>
      <c r="X48" s="92">
        <f t="shared" si="19"/>
        <v>6.7466343363162453</v>
      </c>
      <c r="Y48" s="92">
        <f t="shared" si="19"/>
        <v>0</v>
      </c>
      <c r="Z48" s="92">
        <f t="shared" si="19"/>
        <v>0</v>
      </c>
      <c r="AA48" s="281">
        <f t="shared" si="19"/>
        <v>1.0000000000000002</v>
      </c>
      <c r="AB48" s="92">
        <f t="shared" si="19"/>
        <v>3.8268823965418801</v>
      </c>
      <c r="AC48" s="92">
        <f t="shared" si="19"/>
        <v>13.271769726756855</v>
      </c>
      <c r="AD48" s="92"/>
      <c r="AE48" s="93"/>
      <c r="AF48" s="74">
        <f>(AC48-AG48)/AG48</f>
        <v>0.40518031213557909</v>
      </c>
      <c r="AG48" s="92">
        <f t="shared" si="2"/>
        <v>9.444887330214975</v>
      </c>
      <c r="AH48" s="92"/>
      <c r="AI48" s="74"/>
      <c r="AJ48" s="74"/>
      <c r="AK48" s="74"/>
      <c r="AL48" s="74"/>
      <c r="AM48" s="74"/>
      <c r="AN48" s="86"/>
      <c r="AO48" s="86"/>
      <c r="AP48" s="86"/>
      <c r="AQ48" s="82"/>
      <c r="AR48" s="86"/>
      <c r="AS48" s="87"/>
      <c r="AT48" s="87"/>
      <c r="AU48" s="86"/>
      <c r="AV48" s="87"/>
      <c r="AW48" s="86"/>
      <c r="AX48" s="87"/>
      <c r="AY48" s="86"/>
      <c r="AZ48" s="87"/>
      <c r="BA48" s="86"/>
      <c r="BB48" s="87"/>
      <c r="BC48" s="86"/>
      <c r="BD48" s="87"/>
      <c r="BE48" s="86"/>
      <c r="BF48" s="88"/>
    </row>
    <row r="49" spans="1:58" s="113" customFormat="1">
      <c r="A49" s="72"/>
      <c r="B49" s="105" t="s">
        <v>49</v>
      </c>
      <c r="C49" s="189" t="s">
        <v>27</v>
      </c>
      <c r="D49" s="91">
        <f t="shared" ref="D49:O49" si="20">+D36</f>
        <v>60554692.140879326</v>
      </c>
      <c r="E49" s="91">
        <f t="shared" si="20"/>
        <v>3687061.6220131251</v>
      </c>
      <c r="F49" s="91">
        <f t="shared" si="20"/>
        <v>1675671.4748995348</v>
      </c>
      <c r="G49" s="91">
        <f t="shared" si="20"/>
        <v>1837969.3307146316</v>
      </c>
      <c r="H49" s="91">
        <f t="shared" si="20"/>
        <v>9425073.1604521032</v>
      </c>
      <c r="I49" s="91">
        <f t="shared" si="20"/>
        <v>250665.0574467144</v>
      </c>
      <c r="J49" s="91">
        <f t="shared" si="20"/>
        <v>43677346.330821909</v>
      </c>
      <c r="K49" s="91">
        <f t="shared" si="20"/>
        <v>905.16453130756884</v>
      </c>
      <c r="L49" s="91">
        <f>+L36</f>
        <v>0</v>
      </c>
      <c r="M49" s="91">
        <f t="shared" si="20"/>
        <v>7839533.045209513</v>
      </c>
      <c r="N49" s="91">
        <f>+N36</f>
        <v>30000971.007820643</v>
      </c>
      <c r="O49" s="91">
        <f t="shared" si="20"/>
        <v>98395196.193909481</v>
      </c>
      <c r="P49" s="145">
        <f>ROUND(O47-D47,0)</f>
        <v>0</v>
      </c>
      <c r="Q49" s="176">
        <f>Q36</f>
        <v>783953304.51996136</v>
      </c>
      <c r="R49" s="92">
        <f t="shared" si="19"/>
        <v>7.7242728350968317</v>
      </c>
      <c r="S49" s="92">
        <f t="shared" si="19"/>
        <v>0.47031648450934538</v>
      </c>
      <c r="T49" s="92">
        <f t="shared" si="19"/>
        <v>0.21374633734411005</v>
      </c>
      <c r="U49" s="92">
        <f t="shared" si="19"/>
        <v>0.23444882751531693</v>
      </c>
      <c r="V49" s="92">
        <f t="shared" si="19"/>
        <v>1.2022493056806953</v>
      </c>
      <c r="W49" s="92">
        <f t="shared" si="19"/>
        <v>3.1974488276467476E-2</v>
      </c>
      <c r="X49" s="92">
        <f t="shared" si="19"/>
        <v>5.5714219302343384</v>
      </c>
      <c r="Y49" s="92">
        <f t="shared" si="19"/>
        <v>1.1546153655948028E-4</v>
      </c>
      <c r="Z49" s="92">
        <f t="shared" si="19"/>
        <v>0</v>
      </c>
      <c r="AA49" s="281">
        <f t="shared" si="19"/>
        <v>1.0000000000012628</v>
      </c>
      <c r="AB49" s="92">
        <f t="shared" si="19"/>
        <v>3.8268823965467123</v>
      </c>
      <c r="AC49" s="92">
        <f t="shared" si="19"/>
        <v>12.55115523164481</v>
      </c>
      <c r="AD49" s="92"/>
      <c r="AE49" s="93"/>
      <c r="AF49" s="74">
        <f>(AC49-AG49)/AG49</f>
        <v>0.43864772100558519</v>
      </c>
      <c r="AG49" s="92">
        <f t="shared" si="2"/>
        <v>8.7242728350980947</v>
      </c>
      <c r="AH49" s="92"/>
      <c r="AI49" s="74"/>
      <c r="AJ49" s="74"/>
      <c r="AK49" s="74"/>
      <c r="AL49" s="74"/>
      <c r="AM49" s="74"/>
      <c r="AN49" s="86"/>
      <c r="AO49" s="86"/>
      <c r="AP49" s="86"/>
      <c r="AQ49" s="82"/>
      <c r="AR49" s="86"/>
      <c r="AS49" s="87"/>
      <c r="AT49" s="87"/>
      <c r="AU49" s="86"/>
      <c r="AV49" s="87"/>
      <c r="AW49" s="86"/>
      <c r="AX49" s="87"/>
      <c r="AY49" s="86"/>
      <c r="AZ49" s="87"/>
      <c r="BA49" s="86"/>
      <c r="BB49" s="87"/>
      <c r="BC49" s="86"/>
      <c r="BD49" s="87"/>
      <c r="BE49" s="86"/>
      <c r="BF49" s="88"/>
    </row>
    <row r="50" spans="1:58" s="113" customFormat="1">
      <c r="A50" s="72"/>
      <c r="B50" s="105" t="s">
        <v>49</v>
      </c>
      <c r="C50" s="189" t="s">
        <v>28</v>
      </c>
      <c r="D50" s="96">
        <f t="shared" ref="D50:O50" si="21">D41+D45</f>
        <v>898912586.65773094</v>
      </c>
      <c r="E50" s="96">
        <f t="shared" si="21"/>
        <v>48069056.523928888</v>
      </c>
      <c r="F50" s="96">
        <f t="shared" si="21"/>
        <v>20328698.400310494</v>
      </c>
      <c r="G50" s="96">
        <f t="shared" si="21"/>
        <v>27173818.190339155</v>
      </c>
      <c r="H50" s="96">
        <f t="shared" si="21"/>
        <v>188147178.22227368</v>
      </c>
      <c r="I50" s="96">
        <f t="shared" si="21"/>
        <v>3779306.9918329087</v>
      </c>
      <c r="J50" s="96">
        <f t="shared" si="21"/>
        <v>610200980.91292143</v>
      </c>
      <c r="K50" s="96">
        <f t="shared" si="21"/>
        <v>1213547.4161243076</v>
      </c>
      <c r="L50" s="96">
        <f>L41+L45</f>
        <v>0</v>
      </c>
      <c r="M50" s="96">
        <f t="shared" si="21"/>
        <v>102205765.91980888</v>
      </c>
      <c r="N50" s="96">
        <f>N41+N45</f>
        <v>391129446.42359662</v>
      </c>
      <c r="O50" s="96">
        <f t="shared" si="21"/>
        <v>1392247799.0011363</v>
      </c>
      <c r="P50" s="145">
        <f>ROUND(O50-D50,0)</f>
        <v>493335212</v>
      </c>
      <c r="Q50" s="179">
        <f>Q41+Q45</f>
        <v>10220576591.980886</v>
      </c>
      <c r="R50" s="97">
        <f t="shared" si="19"/>
        <v>8.79512597521183</v>
      </c>
      <c r="S50" s="97">
        <f t="shared" si="19"/>
        <v>0.47031648450875163</v>
      </c>
      <c r="T50" s="97">
        <f t="shared" si="19"/>
        <v>0.19889972172666354</v>
      </c>
      <c r="U50" s="97">
        <f t="shared" si="19"/>
        <v>0.26587363194029445</v>
      </c>
      <c r="V50" s="97">
        <f t="shared" si="19"/>
        <v>1.8408665746890918</v>
      </c>
      <c r="W50" s="97">
        <f t="shared" si="19"/>
        <v>3.6977434275069873E-2</v>
      </c>
      <c r="X50" s="97">
        <f t="shared" si="19"/>
        <v>5.9703185570928357</v>
      </c>
      <c r="Y50" s="97">
        <f t="shared" si="19"/>
        <v>1.1873570979121301E-2</v>
      </c>
      <c r="Z50" s="97">
        <f t="shared" si="19"/>
        <v>0</v>
      </c>
      <c r="AA50" s="280">
        <f t="shared" si="19"/>
        <v>1.0000000000000002</v>
      </c>
      <c r="AB50" s="97">
        <f t="shared" si="19"/>
        <v>3.8268823965418806</v>
      </c>
      <c r="AC50" s="97">
        <f t="shared" si="19"/>
        <v>13.62200837175371</v>
      </c>
      <c r="AD50" s="97"/>
      <c r="AE50" s="93"/>
      <c r="AF50" s="79">
        <f>(AC50-AG50)/AG50</f>
        <v>0.39069251444304365</v>
      </c>
      <c r="AG50" s="92">
        <f t="shared" si="2"/>
        <v>9.79512597521183</v>
      </c>
      <c r="AH50" s="92"/>
      <c r="AI50" s="79"/>
      <c r="AJ50" s="79"/>
      <c r="AK50" s="79"/>
      <c r="AL50" s="79"/>
      <c r="AM50" s="79"/>
      <c r="AN50" s="99"/>
      <c r="AO50" s="99"/>
      <c r="AP50" s="99"/>
      <c r="AQ50" s="100"/>
      <c r="AR50" s="99"/>
      <c r="AS50" s="98"/>
      <c r="AT50" s="98"/>
      <c r="AU50" s="99"/>
      <c r="AV50" s="98"/>
      <c r="AW50" s="99"/>
      <c r="AX50" s="98"/>
      <c r="AY50" s="99"/>
      <c r="AZ50" s="98"/>
      <c r="BA50" s="99"/>
      <c r="BB50" s="98"/>
      <c r="BC50" s="99"/>
      <c r="BD50" s="98"/>
      <c r="BE50" s="99"/>
      <c r="BF50" s="101"/>
    </row>
    <row r="51" spans="1:58" s="113" customFormat="1">
      <c r="A51" s="72"/>
      <c r="B51" s="84" t="s">
        <v>41</v>
      </c>
      <c r="C51" s="72"/>
      <c r="D51" s="91">
        <f t="shared" ref="D51:O51" si="22">SUM(D47:D50)</f>
        <v>960383402.99280953</v>
      </c>
      <c r="E51" s="91">
        <f t="shared" si="22"/>
        <v>51807139.348895006</v>
      </c>
      <c r="F51" s="91">
        <f t="shared" si="22"/>
        <v>22032655.517778706</v>
      </c>
      <c r="G51" s="91">
        <f t="shared" si="22"/>
        <v>29038474.265603025</v>
      </c>
      <c r="H51" s="91">
        <f t="shared" si="22"/>
        <v>197646800.45395529</v>
      </c>
      <c r="I51" s="91">
        <f t="shared" si="22"/>
        <v>4033660.461141713</v>
      </c>
      <c r="J51" s="91">
        <f t="shared" si="22"/>
        <v>654610220.36478007</v>
      </c>
      <c r="K51" s="91">
        <f t="shared" si="22"/>
        <v>1214452.5806556151</v>
      </c>
      <c r="L51" s="91">
        <f t="shared" si="22"/>
        <v>0</v>
      </c>
      <c r="M51" s="91">
        <f t="shared" si="22"/>
        <v>110153781.66684456</v>
      </c>
      <c r="N51" s="91">
        <f t="shared" si="22"/>
        <v>421545567.97336513</v>
      </c>
      <c r="O51" s="91">
        <f t="shared" si="22"/>
        <v>1492082752.633019</v>
      </c>
      <c r="P51" s="145">
        <f>ROUND(O51-D51,0)</f>
        <v>531699350</v>
      </c>
      <c r="Q51" s="176">
        <f>SUM(Q48:Q50)</f>
        <v>11015378166.683464</v>
      </c>
      <c r="R51" s="92">
        <f t="shared" si="19"/>
        <v>8.7185695167283033</v>
      </c>
      <c r="S51" s="92">
        <f t="shared" si="19"/>
        <v>0.47031648450879487</v>
      </c>
      <c r="T51" s="92">
        <f t="shared" si="19"/>
        <v>0.2000172412093624</v>
      </c>
      <c r="U51" s="92">
        <f t="shared" si="19"/>
        <v>0.26361758830424242</v>
      </c>
      <c r="V51" s="92">
        <f t="shared" si="19"/>
        <v>1.794280663479602</v>
      </c>
      <c r="W51" s="92">
        <f t="shared" si="19"/>
        <v>3.661844741147164E-2</v>
      </c>
      <c r="X51" s="92">
        <f t="shared" si="19"/>
        <v>5.9426940270165201</v>
      </c>
      <c r="Y51" s="92">
        <f t="shared" si="19"/>
        <v>1.102506479830883E-2</v>
      </c>
      <c r="Z51" s="92">
        <f t="shared" si="19"/>
        <v>0</v>
      </c>
      <c r="AA51" s="281">
        <f t="shared" si="19"/>
        <v>1.0000000000000902</v>
      </c>
      <c r="AB51" s="92">
        <f t="shared" si="19"/>
        <v>3.8268823965422252</v>
      </c>
      <c r="AC51" s="92">
        <f t="shared" si="19"/>
        <v>13.545451913270615</v>
      </c>
      <c r="AD51" s="92"/>
      <c r="AE51" s="93"/>
      <c r="AF51" s="74">
        <f>(AC51-AG51)/AG51</f>
        <v>0.39377013149466894</v>
      </c>
      <c r="AG51" s="92">
        <f t="shared" si="2"/>
        <v>9.7185695167283939</v>
      </c>
      <c r="AH51" s="92"/>
      <c r="AI51" s="74"/>
      <c r="AJ51" s="74"/>
      <c r="AK51" s="74"/>
      <c r="AL51" s="74"/>
      <c r="AM51" s="74"/>
      <c r="AN51" s="86"/>
      <c r="AO51" s="86"/>
      <c r="AP51" s="86"/>
      <c r="AQ51" s="82"/>
      <c r="AR51" s="86"/>
      <c r="AS51" s="87"/>
      <c r="AT51" s="87"/>
      <c r="AU51" s="86"/>
      <c r="AV51" s="87"/>
      <c r="AW51" s="86"/>
      <c r="AX51" s="87"/>
      <c r="AY51" s="86"/>
      <c r="AZ51" s="87"/>
      <c r="BA51" s="86"/>
      <c r="BB51" s="87"/>
      <c r="BC51" s="86"/>
      <c r="BD51" s="87"/>
      <c r="BE51" s="86"/>
      <c r="BF51" s="88"/>
    </row>
    <row r="52" spans="1:58" s="11" customFormat="1">
      <c r="A52" s="72"/>
      <c r="B52" s="89"/>
      <c r="C52" s="77"/>
      <c r="D52" s="106"/>
      <c r="E52" s="144"/>
      <c r="F52" s="106"/>
      <c r="G52" s="106"/>
      <c r="H52" s="106"/>
      <c r="I52" s="106"/>
      <c r="J52" s="91"/>
      <c r="K52" s="91"/>
      <c r="L52" s="91"/>
      <c r="M52" s="91"/>
      <c r="N52" s="91"/>
      <c r="O52" s="91"/>
      <c r="P52" s="145"/>
      <c r="Q52" s="176"/>
      <c r="R52" s="92"/>
      <c r="S52" s="92"/>
      <c r="T52" s="92"/>
      <c r="U52" s="92"/>
      <c r="V52" s="92"/>
      <c r="W52" s="92"/>
      <c r="X52" s="92"/>
      <c r="Y52" s="92"/>
      <c r="Z52" s="92"/>
      <c r="AA52" s="281"/>
      <c r="AB52" s="92"/>
      <c r="AC52" s="92"/>
      <c r="AD52" s="92"/>
      <c r="AE52" s="93"/>
      <c r="AF52" s="74"/>
      <c r="AG52" s="92">
        <f t="shared" si="2"/>
        <v>0</v>
      </c>
      <c r="AH52" s="92"/>
      <c r="AI52" s="74"/>
      <c r="AJ52" s="74"/>
      <c r="AK52" s="74"/>
      <c r="AL52" s="74"/>
      <c r="AM52" s="74"/>
      <c r="AN52" s="82"/>
      <c r="AO52" s="82"/>
      <c r="AP52" s="86"/>
      <c r="AQ52" s="82"/>
      <c r="AR52" s="86"/>
      <c r="AS52" s="87"/>
      <c r="AT52" s="87"/>
      <c r="AU52" s="86"/>
      <c r="AV52" s="87"/>
      <c r="AW52" s="86"/>
      <c r="AX52" s="87"/>
      <c r="AY52" s="86"/>
      <c r="AZ52" s="87"/>
      <c r="BA52" s="86"/>
      <c r="BB52" s="87"/>
      <c r="BC52" s="86"/>
      <c r="BD52" s="87"/>
      <c r="BE52" s="82"/>
      <c r="BF52" s="88"/>
    </row>
    <row r="53" spans="1:58" s="11" customFormat="1">
      <c r="A53" s="72"/>
      <c r="B53" s="81" t="s">
        <v>51</v>
      </c>
      <c r="C53" s="77" t="s">
        <v>28</v>
      </c>
      <c r="D53" s="106">
        <v>42969466.20211231</v>
      </c>
      <c r="E53" s="186">
        <v>322460.0993761014</v>
      </c>
      <c r="F53" s="106">
        <v>456679.4112806163</v>
      </c>
      <c r="G53" s="106">
        <v>1130522.5665840399</v>
      </c>
      <c r="H53" s="106">
        <v>26507564.256473299</v>
      </c>
      <c r="I53" s="106">
        <v>182671.76451224653</v>
      </c>
      <c r="J53" s="91">
        <f>D53-SUM(E53:I53,K53)</f>
        <v>14369568.103886005</v>
      </c>
      <c r="K53" s="90"/>
      <c r="L53" s="90">
        <f>IF(allocation_method&gt;=6,CHOOSE(gen_choice,'Generation Calculations'!H56-'Generation Calculations'!I56+'Generation Calculations'!J56,'Generation Calculations'!G56+'Generation Calculations'!H56-'Generation Calculations'!I56+'Generation Calculations'!J56),0)</f>
        <v>0</v>
      </c>
      <c r="M53" s="90">
        <f>'Test Year 2001 Sales and Revs.'!K56:K56</f>
        <v>3512918.5483124335</v>
      </c>
      <c r="N53" s="90">
        <f>CHOOSE(allocation_method,'RSP Surch Allocations'!E54,'RSP Surch Allocations'!J54,'RSP Surch Allocations'!N54,'RSP Surch Allocations'!Q54,'RSP Surch Allocations'!AA54,'RSP Surch Allocations'!AH54,'RSP Surch Allocations'!AS54,'RSP Surch Allocations'!BD54,'RSP Surch Allocations'!BO54,'RSP Surch Allocations'!BZ54,)</f>
        <v>13443526.153022308</v>
      </c>
      <c r="O53" s="91">
        <f>SUM(E53:N53)</f>
        <v>59925910.903447047</v>
      </c>
      <c r="P53" s="145">
        <f>ROUND(O53-D53,0)</f>
        <v>16956445</v>
      </c>
      <c r="Q53" s="177">
        <v>351291854.83124334</v>
      </c>
      <c r="R53" s="92">
        <f t="shared" ref="R53:AC53" si="23">D53/$Q53*100</f>
        <v>12.231842444156401</v>
      </c>
      <c r="S53" s="92">
        <f t="shared" si="23"/>
        <v>9.1792649029966158E-2</v>
      </c>
      <c r="T53" s="92">
        <f t="shared" si="23"/>
        <v>0.13</v>
      </c>
      <c r="U53" s="92">
        <f t="shared" si="23"/>
        <v>0.32181861066124928</v>
      </c>
      <c r="V53" s="92">
        <f t="shared" si="23"/>
        <v>7.5457383631075752</v>
      </c>
      <c r="W53" s="92">
        <f t="shared" si="23"/>
        <v>5.1999999999999998E-2</v>
      </c>
      <c r="X53" s="92">
        <f t="shared" si="23"/>
        <v>4.0904928213576097</v>
      </c>
      <c r="Y53" s="92">
        <f t="shared" si="23"/>
        <v>0</v>
      </c>
      <c r="Z53" s="92">
        <f t="shared" si="23"/>
        <v>0</v>
      </c>
      <c r="AA53" s="281">
        <f t="shared" si="23"/>
        <v>1</v>
      </c>
      <c r="AB53" s="92">
        <f t="shared" si="23"/>
        <v>3.8268823965418801</v>
      </c>
      <c r="AC53" s="92">
        <f t="shared" si="23"/>
        <v>17.058724840698282</v>
      </c>
      <c r="AD53" s="92"/>
      <c r="AE53" s="93"/>
      <c r="AF53" s="74">
        <f>(AC53-AG53)/AG53</f>
        <v>0.28921765148677037</v>
      </c>
      <c r="AG53" s="92">
        <f t="shared" si="2"/>
        <v>13.231842444156401</v>
      </c>
      <c r="AH53" s="92"/>
      <c r="AI53" s="74"/>
      <c r="AJ53" s="74"/>
      <c r="AK53" s="74"/>
      <c r="AL53" s="74"/>
      <c r="AM53" s="74"/>
      <c r="AN53" s="86"/>
      <c r="AO53" s="86"/>
      <c r="AP53" s="86"/>
      <c r="AQ53" s="82"/>
      <c r="AR53" s="86"/>
      <c r="AS53" s="87"/>
      <c r="AT53" s="87"/>
      <c r="AU53" s="86"/>
      <c r="AV53" s="87"/>
      <c r="AW53" s="86"/>
      <c r="AX53" s="87"/>
      <c r="AY53" s="86"/>
      <c r="AZ53" s="87"/>
      <c r="BA53" s="86"/>
      <c r="BB53" s="87"/>
      <c r="BC53" s="86"/>
      <c r="BD53" s="87"/>
      <c r="BE53" s="86"/>
      <c r="BF53" s="88"/>
    </row>
    <row r="54" spans="1:58" s="11" customFormat="1" ht="9" customHeight="1">
      <c r="A54" s="72"/>
      <c r="B54" s="89"/>
      <c r="C54" s="77"/>
      <c r="D54" s="106"/>
      <c r="E54" s="186"/>
      <c r="F54" s="106"/>
      <c r="G54" s="106"/>
      <c r="H54" s="106"/>
      <c r="I54" s="106"/>
      <c r="J54" s="91"/>
      <c r="K54" s="91"/>
      <c r="L54" s="91"/>
      <c r="M54" s="91"/>
      <c r="N54" s="91"/>
      <c r="O54" s="91"/>
      <c r="P54" s="145"/>
      <c r="Q54" s="176"/>
      <c r="R54" s="92"/>
      <c r="S54" s="92"/>
      <c r="T54" s="92"/>
      <c r="U54" s="92"/>
      <c r="V54" s="92"/>
      <c r="W54" s="92"/>
      <c r="X54" s="92"/>
      <c r="Y54" s="92"/>
      <c r="Z54" s="92"/>
      <c r="AA54" s="281"/>
      <c r="AB54" s="92"/>
      <c r="AC54" s="92"/>
      <c r="AD54" s="92"/>
      <c r="AE54" s="93"/>
      <c r="AF54" s="74"/>
      <c r="AG54" s="92">
        <f t="shared" si="2"/>
        <v>0</v>
      </c>
      <c r="AH54" s="92"/>
      <c r="AI54" s="74"/>
      <c r="AJ54" s="74"/>
      <c r="AK54" s="74"/>
      <c r="AL54" s="74"/>
      <c r="AM54" s="74"/>
      <c r="AN54" s="82"/>
      <c r="AO54" s="82"/>
      <c r="AP54" s="86"/>
      <c r="AQ54" s="82"/>
      <c r="AR54" s="86"/>
      <c r="AS54" s="87"/>
      <c r="AT54" s="87"/>
      <c r="AU54" s="86"/>
      <c r="AV54" s="87"/>
      <c r="AW54" s="86"/>
      <c r="AX54" s="87"/>
      <c r="AY54" s="86"/>
      <c r="AZ54" s="87"/>
      <c r="BA54" s="86"/>
      <c r="BB54" s="87"/>
      <c r="BC54" s="86"/>
      <c r="BD54" s="87"/>
      <c r="BE54" s="82"/>
      <c r="BF54" s="88"/>
    </row>
    <row r="55" spans="1:58" s="11" customFormat="1">
      <c r="A55" s="72"/>
      <c r="B55" s="81" t="s">
        <v>52</v>
      </c>
      <c r="C55" s="77"/>
      <c r="D55" s="106"/>
      <c r="E55" s="186"/>
      <c r="F55" s="106"/>
      <c r="G55" s="106"/>
      <c r="H55" s="106"/>
      <c r="I55" s="106"/>
      <c r="J55" s="91"/>
      <c r="K55" s="91"/>
      <c r="L55" s="91"/>
      <c r="M55" s="91"/>
      <c r="N55" s="91"/>
      <c r="O55" s="91"/>
      <c r="P55" s="145"/>
      <c r="Q55" s="176"/>
      <c r="R55" s="92"/>
      <c r="S55" s="92"/>
      <c r="T55" s="92"/>
      <c r="U55" s="92"/>
      <c r="V55" s="92"/>
      <c r="W55" s="92"/>
      <c r="X55" s="92"/>
      <c r="Y55" s="92"/>
      <c r="Z55" s="92"/>
      <c r="AA55" s="281"/>
      <c r="AB55" s="92"/>
      <c r="AC55" s="92"/>
      <c r="AD55" s="92"/>
      <c r="AE55" s="93"/>
      <c r="AF55" s="74"/>
      <c r="AG55" s="92">
        <f t="shared" si="2"/>
        <v>0</v>
      </c>
      <c r="AH55" s="92"/>
      <c r="AI55" s="74"/>
      <c r="AJ55" s="74"/>
      <c r="AK55" s="74"/>
      <c r="AL55" s="74"/>
      <c r="AM55" s="74"/>
      <c r="AN55" s="82"/>
      <c r="AO55" s="82"/>
      <c r="AP55" s="86"/>
      <c r="AQ55" s="82"/>
      <c r="AR55" s="86"/>
      <c r="AS55" s="87"/>
      <c r="AT55" s="87"/>
      <c r="AU55" s="86"/>
      <c r="AV55" s="87"/>
      <c r="AW55" s="86"/>
      <c r="AX55" s="87"/>
      <c r="AY55" s="86"/>
      <c r="AZ55" s="87"/>
      <c r="BA55" s="86"/>
      <c r="BB55" s="87"/>
      <c r="BC55" s="86"/>
      <c r="BD55" s="87"/>
      <c r="BE55" s="82"/>
      <c r="BF55" s="88"/>
    </row>
    <row r="56" spans="1:58" s="11" customFormat="1" ht="12.75" hidden="1" customHeight="1">
      <c r="A56" s="72"/>
      <c r="B56" s="89" t="s">
        <v>53</v>
      </c>
      <c r="C56" s="77" t="s">
        <v>21</v>
      </c>
      <c r="D56" s="106"/>
      <c r="E56" s="186"/>
      <c r="F56" s="106"/>
      <c r="G56" s="106"/>
      <c r="H56" s="106"/>
      <c r="I56" s="106"/>
      <c r="J56" s="91"/>
      <c r="K56" s="90"/>
      <c r="L56" s="90"/>
      <c r="M56" s="90"/>
      <c r="N56" s="90"/>
      <c r="O56" s="91"/>
      <c r="P56" s="145"/>
      <c r="Q56" s="177">
        <v>6200600</v>
      </c>
      <c r="R56" s="92">
        <f t="shared" ref="R56:AC59" si="24">D56/$Q56*100</f>
        <v>0</v>
      </c>
      <c r="S56" s="92">
        <f t="shared" si="24"/>
        <v>0</v>
      </c>
      <c r="T56" s="92">
        <f t="shared" si="24"/>
        <v>0</v>
      </c>
      <c r="U56" s="92">
        <f t="shared" si="24"/>
        <v>0</v>
      </c>
      <c r="V56" s="92">
        <f t="shared" si="24"/>
        <v>0</v>
      </c>
      <c r="W56" s="92">
        <f t="shared" si="24"/>
        <v>0</v>
      </c>
      <c r="X56" s="92">
        <f t="shared" si="24"/>
        <v>0</v>
      </c>
      <c r="Y56" s="92">
        <f t="shared" si="24"/>
        <v>0</v>
      </c>
      <c r="Z56" s="92">
        <f t="shared" si="24"/>
        <v>0</v>
      </c>
      <c r="AA56" s="281">
        <f t="shared" si="24"/>
        <v>0</v>
      </c>
      <c r="AB56" s="92">
        <f t="shared" si="24"/>
        <v>0</v>
      </c>
      <c r="AC56" s="92">
        <f t="shared" si="24"/>
        <v>0</v>
      </c>
      <c r="AD56" s="92"/>
      <c r="AE56" s="93"/>
      <c r="AF56" s="74"/>
      <c r="AG56" s="92">
        <f t="shared" si="2"/>
        <v>0</v>
      </c>
      <c r="AH56" s="92"/>
      <c r="AI56" s="74"/>
      <c r="AJ56" s="74"/>
      <c r="AK56" s="74"/>
      <c r="AL56" s="74"/>
      <c r="AM56" s="74"/>
      <c r="AN56" s="82"/>
      <c r="AO56" s="82"/>
      <c r="AP56" s="86"/>
      <c r="AQ56" s="82"/>
      <c r="AR56" s="86"/>
      <c r="AS56" s="87"/>
      <c r="AT56" s="87"/>
      <c r="AU56" s="86"/>
      <c r="AV56" s="87"/>
      <c r="AW56" s="86"/>
      <c r="AX56" s="87"/>
      <c r="AY56" s="86"/>
      <c r="AZ56" s="87"/>
      <c r="BA56" s="86"/>
      <c r="BB56" s="87"/>
      <c r="BC56" s="86"/>
      <c r="BD56" s="87"/>
      <c r="BE56" s="82"/>
      <c r="BF56" s="88"/>
    </row>
    <row r="57" spans="1:58" s="11" customFormat="1" ht="12.75" hidden="1" customHeight="1">
      <c r="A57" s="72"/>
      <c r="B57" s="89"/>
      <c r="C57" s="77" t="s">
        <v>27</v>
      </c>
      <c r="D57" s="106"/>
      <c r="E57" s="186"/>
      <c r="F57" s="106"/>
      <c r="G57" s="106"/>
      <c r="H57" s="106"/>
      <c r="I57" s="106"/>
      <c r="J57" s="91"/>
      <c r="K57" s="90"/>
      <c r="L57" s="90"/>
      <c r="M57" s="90"/>
      <c r="N57" s="90"/>
      <c r="O57" s="91"/>
      <c r="P57" s="145"/>
      <c r="Q57" s="177">
        <v>13684436.999999996</v>
      </c>
      <c r="R57" s="92">
        <f t="shared" si="24"/>
        <v>0</v>
      </c>
      <c r="S57" s="92">
        <f t="shared" si="24"/>
        <v>0</v>
      </c>
      <c r="T57" s="92">
        <f t="shared" si="24"/>
        <v>0</v>
      </c>
      <c r="U57" s="92">
        <f t="shared" si="24"/>
        <v>0</v>
      </c>
      <c r="V57" s="92">
        <f t="shared" si="24"/>
        <v>0</v>
      </c>
      <c r="W57" s="92">
        <f t="shared" si="24"/>
        <v>0</v>
      </c>
      <c r="X57" s="92">
        <f t="shared" si="24"/>
        <v>0</v>
      </c>
      <c r="Y57" s="92">
        <f t="shared" si="24"/>
        <v>0</v>
      </c>
      <c r="Z57" s="92">
        <f t="shared" si="24"/>
        <v>0</v>
      </c>
      <c r="AA57" s="281">
        <f t="shared" si="24"/>
        <v>0</v>
      </c>
      <c r="AB57" s="92">
        <f t="shared" si="24"/>
        <v>0</v>
      </c>
      <c r="AC57" s="92">
        <f t="shared" si="24"/>
        <v>0</v>
      </c>
      <c r="AD57" s="92"/>
      <c r="AE57" s="93"/>
      <c r="AF57" s="74"/>
      <c r="AG57" s="92">
        <f t="shared" si="2"/>
        <v>0</v>
      </c>
      <c r="AH57" s="92"/>
      <c r="AI57" s="74"/>
      <c r="AJ57" s="74"/>
      <c r="AK57" s="74"/>
      <c r="AL57" s="74"/>
      <c r="AM57" s="74"/>
      <c r="AN57" s="82"/>
      <c r="AO57" s="82"/>
      <c r="AP57" s="86"/>
      <c r="AQ57" s="82"/>
      <c r="AR57" s="86"/>
      <c r="AS57" s="87"/>
      <c r="AT57" s="87"/>
      <c r="AU57" s="86"/>
      <c r="AV57" s="87"/>
      <c r="AW57" s="86"/>
      <c r="AX57" s="87"/>
      <c r="AY57" s="86"/>
      <c r="AZ57" s="87"/>
      <c r="BA57" s="86"/>
      <c r="BB57" s="87"/>
      <c r="BC57" s="86"/>
      <c r="BD57" s="87"/>
      <c r="BE57" s="82"/>
      <c r="BF57" s="88"/>
    </row>
    <row r="58" spans="1:58" s="11" customFormat="1" ht="12.75" hidden="1" customHeight="1">
      <c r="A58" s="72"/>
      <c r="B58" s="89"/>
      <c r="C58" s="77" t="s">
        <v>28</v>
      </c>
      <c r="D58" s="106"/>
      <c r="E58" s="186"/>
      <c r="F58" s="106"/>
      <c r="G58" s="106"/>
      <c r="H58" s="106"/>
      <c r="I58" s="106"/>
      <c r="J58" s="91"/>
      <c r="K58" s="95"/>
      <c r="L58" s="95"/>
      <c r="M58" s="95"/>
      <c r="N58" s="95"/>
      <c r="O58" s="91"/>
      <c r="P58" s="145"/>
      <c r="Q58" s="178">
        <v>432721</v>
      </c>
      <c r="R58" s="92">
        <f t="shared" si="24"/>
        <v>0</v>
      </c>
      <c r="S58" s="92">
        <f t="shared" si="24"/>
        <v>0</v>
      </c>
      <c r="T58" s="92">
        <f t="shared" si="24"/>
        <v>0</v>
      </c>
      <c r="U58" s="92">
        <f t="shared" si="24"/>
        <v>0</v>
      </c>
      <c r="V58" s="92">
        <f t="shared" si="24"/>
        <v>0</v>
      </c>
      <c r="W58" s="92">
        <f t="shared" si="24"/>
        <v>0</v>
      </c>
      <c r="X58" s="92">
        <f t="shared" si="24"/>
        <v>0</v>
      </c>
      <c r="Y58" s="92">
        <f t="shared" si="24"/>
        <v>0</v>
      </c>
      <c r="Z58" s="92">
        <f t="shared" si="24"/>
        <v>0</v>
      </c>
      <c r="AA58" s="281">
        <f t="shared" si="24"/>
        <v>0</v>
      </c>
      <c r="AB58" s="92">
        <f t="shared" si="24"/>
        <v>0</v>
      </c>
      <c r="AC58" s="92">
        <f t="shared" si="24"/>
        <v>0</v>
      </c>
      <c r="AD58" s="92"/>
      <c r="AE58" s="93"/>
      <c r="AF58" s="74"/>
      <c r="AG58" s="92">
        <f t="shared" si="2"/>
        <v>0</v>
      </c>
      <c r="AH58" s="92"/>
      <c r="AI58" s="74"/>
      <c r="AJ58" s="74"/>
      <c r="AK58" s="74"/>
      <c r="AL58" s="74"/>
      <c r="AM58" s="74"/>
      <c r="AN58" s="82"/>
      <c r="AO58" s="82"/>
      <c r="AP58" s="86"/>
      <c r="AQ58" s="82"/>
      <c r="AR58" s="86"/>
      <c r="AS58" s="87"/>
      <c r="AT58" s="87"/>
      <c r="AU58" s="86"/>
      <c r="AV58" s="87"/>
      <c r="AW58" s="86"/>
      <c r="AX58" s="87"/>
      <c r="AY58" s="86"/>
      <c r="AZ58" s="87"/>
      <c r="BA58" s="86"/>
      <c r="BB58" s="87"/>
      <c r="BC58" s="86"/>
      <c r="BD58" s="87"/>
      <c r="BE58" s="82"/>
      <c r="BF58" s="88"/>
    </row>
    <row r="59" spans="1:58" s="11" customFormat="1" ht="12.75" hidden="1" customHeight="1">
      <c r="A59" s="72"/>
      <c r="B59" s="89" t="s">
        <v>54</v>
      </c>
      <c r="C59" s="77"/>
      <c r="D59" s="106"/>
      <c r="E59" s="186"/>
      <c r="F59" s="106"/>
      <c r="G59" s="106"/>
      <c r="H59" s="106"/>
      <c r="I59" s="106"/>
      <c r="J59" s="91"/>
      <c r="K59" s="91"/>
      <c r="L59" s="91"/>
      <c r="M59" s="91"/>
      <c r="N59" s="91"/>
      <c r="O59" s="91"/>
      <c r="P59" s="145"/>
      <c r="Q59" s="176">
        <v>20317757.999999996</v>
      </c>
      <c r="R59" s="92">
        <f t="shared" si="24"/>
        <v>0</v>
      </c>
      <c r="S59" s="92">
        <f t="shared" si="24"/>
        <v>0</v>
      </c>
      <c r="T59" s="92">
        <f t="shared" si="24"/>
        <v>0</v>
      </c>
      <c r="U59" s="92">
        <f t="shared" si="24"/>
        <v>0</v>
      </c>
      <c r="V59" s="92">
        <f t="shared" si="24"/>
        <v>0</v>
      </c>
      <c r="W59" s="92">
        <f t="shared" si="24"/>
        <v>0</v>
      </c>
      <c r="X59" s="92">
        <f t="shared" si="24"/>
        <v>0</v>
      </c>
      <c r="Y59" s="92">
        <f t="shared" si="24"/>
        <v>0</v>
      </c>
      <c r="Z59" s="92">
        <f t="shared" si="24"/>
        <v>0</v>
      </c>
      <c r="AA59" s="281">
        <f t="shared" si="24"/>
        <v>0</v>
      </c>
      <c r="AB59" s="92">
        <f t="shared" si="24"/>
        <v>0</v>
      </c>
      <c r="AC59" s="92">
        <f t="shared" si="24"/>
        <v>0</v>
      </c>
      <c r="AD59" s="92"/>
      <c r="AE59" s="93"/>
      <c r="AF59" s="74"/>
      <c r="AG59" s="92">
        <f t="shared" si="2"/>
        <v>0</v>
      </c>
      <c r="AH59" s="92"/>
      <c r="AI59" s="74"/>
      <c r="AJ59" s="74"/>
      <c r="AK59" s="74"/>
      <c r="AL59" s="74"/>
      <c r="AM59" s="74"/>
      <c r="AN59" s="82"/>
      <c r="AO59" s="82"/>
      <c r="AP59" s="86"/>
      <c r="AQ59" s="82"/>
      <c r="AR59" s="86"/>
      <c r="AS59" s="87"/>
      <c r="AT59" s="87"/>
      <c r="AU59" s="86"/>
      <c r="AV59" s="87"/>
      <c r="AW59" s="86"/>
      <c r="AX59" s="87"/>
      <c r="AY59" s="86"/>
      <c r="AZ59" s="87"/>
      <c r="BA59" s="86"/>
      <c r="BB59" s="87"/>
      <c r="BC59" s="86"/>
      <c r="BD59" s="87"/>
      <c r="BE59" s="82"/>
      <c r="BF59" s="88"/>
    </row>
    <row r="60" spans="1:58" s="11" customFormat="1" ht="12.75" hidden="1" customHeight="1">
      <c r="A60" s="72"/>
      <c r="B60" s="89"/>
      <c r="C60" s="77"/>
      <c r="D60" s="106"/>
      <c r="E60" s="186"/>
      <c r="F60" s="106"/>
      <c r="G60" s="106"/>
      <c r="H60" s="106"/>
      <c r="I60" s="106"/>
      <c r="J60" s="91"/>
      <c r="K60" s="91"/>
      <c r="L60" s="91"/>
      <c r="M60" s="91"/>
      <c r="N60" s="91"/>
      <c r="O60" s="91"/>
      <c r="P60" s="145"/>
      <c r="Q60" s="176"/>
      <c r="R60" s="92"/>
      <c r="S60" s="92"/>
      <c r="T60" s="92"/>
      <c r="U60" s="92"/>
      <c r="V60" s="92"/>
      <c r="W60" s="92"/>
      <c r="X60" s="92"/>
      <c r="Y60" s="92"/>
      <c r="Z60" s="92"/>
      <c r="AA60" s="281"/>
      <c r="AB60" s="92"/>
      <c r="AC60" s="92"/>
      <c r="AD60" s="92"/>
      <c r="AE60" s="93"/>
      <c r="AF60" s="74"/>
      <c r="AG60" s="92">
        <f t="shared" si="2"/>
        <v>0</v>
      </c>
      <c r="AH60" s="92"/>
      <c r="AI60" s="74"/>
      <c r="AJ60" s="74"/>
      <c r="AK60" s="74"/>
      <c r="AL60" s="74"/>
      <c r="AM60" s="74"/>
      <c r="AN60" s="82"/>
      <c r="AO60" s="82"/>
      <c r="AP60" s="86"/>
      <c r="AQ60" s="82"/>
      <c r="AR60" s="86"/>
      <c r="AS60" s="87"/>
      <c r="AT60" s="87"/>
      <c r="AU60" s="86"/>
      <c r="AV60" s="87"/>
      <c r="AW60" s="86"/>
      <c r="AX60" s="87"/>
      <c r="AY60" s="86"/>
      <c r="AZ60" s="87"/>
      <c r="BA60" s="86"/>
      <c r="BB60" s="87"/>
      <c r="BC60" s="86"/>
      <c r="BD60" s="87"/>
      <c r="BE60" s="82"/>
      <c r="BF60" s="88"/>
    </row>
    <row r="61" spans="1:58" s="11" customFormat="1" ht="12.75" hidden="1" customHeight="1">
      <c r="A61" s="72"/>
      <c r="B61" s="89" t="s">
        <v>55</v>
      </c>
      <c r="C61" s="77" t="s">
        <v>21</v>
      </c>
      <c r="D61" s="106"/>
      <c r="E61" s="186"/>
      <c r="F61" s="106"/>
      <c r="G61" s="106"/>
      <c r="H61" s="106"/>
      <c r="I61" s="106"/>
      <c r="J61" s="91"/>
      <c r="K61" s="90"/>
      <c r="L61" s="90"/>
      <c r="M61" s="90"/>
      <c r="N61" s="90"/>
      <c r="O61" s="91"/>
      <c r="P61" s="145"/>
      <c r="Q61" s="177">
        <v>123085412</v>
      </c>
      <c r="R61" s="92">
        <f t="shared" ref="R61:AC64" si="25">D61/$Q61*100</f>
        <v>0</v>
      </c>
      <c r="S61" s="92">
        <f t="shared" si="25"/>
        <v>0</v>
      </c>
      <c r="T61" s="92">
        <f t="shared" si="25"/>
        <v>0</v>
      </c>
      <c r="U61" s="92">
        <f t="shared" si="25"/>
        <v>0</v>
      </c>
      <c r="V61" s="92">
        <f t="shared" si="25"/>
        <v>0</v>
      </c>
      <c r="W61" s="92">
        <f t="shared" si="25"/>
        <v>0</v>
      </c>
      <c r="X61" s="92">
        <f t="shared" si="25"/>
        <v>0</v>
      </c>
      <c r="Y61" s="92">
        <f t="shared" si="25"/>
        <v>0</v>
      </c>
      <c r="Z61" s="92">
        <f t="shared" si="25"/>
        <v>0</v>
      </c>
      <c r="AA61" s="281">
        <f t="shared" si="25"/>
        <v>0</v>
      </c>
      <c r="AB61" s="92">
        <f t="shared" si="25"/>
        <v>0</v>
      </c>
      <c r="AC61" s="92">
        <f t="shared" si="25"/>
        <v>0</v>
      </c>
      <c r="AD61" s="92"/>
      <c r="AE61" s="93"/>
      <c r="AF61" s="74"/>
      <c r="AG61" s="92">
        <f t="shared" si="2"/>
        <v>0</v>
      </c>
      <c r="AH61" s="92"/>
      <c r="AI61" s="74"/>
      <c r="AJ61" s="74"/>
      <c r="AK61" s="74"/>
      <c r="AL61" s="74"/>
      <c r="AM61" s="74"/>
      <c r="AN61" s="82"/>
      <c r="AO61" s="82"/>
      <c r="AP61" s="86"/>
      <c r="AQ61" s="82"/>
      <c r="AR61" s="86"/>
      <c r="AS61" s="87"/>
      <c r="AT61" s="87"/>
      <c r="AU61" s="86"/>
      <c r="AV61" s="87"/>
      <c r="AW61" s="86"/>
      <c r="AX61" s="87"/>
      <c r="AY61" s="86"/>
      <c r="AZ61" s="87"/>
      <c r="BA61" s="86"/>
      <c r="BB61" s="87"/>
      <c r="BC61" s="86"/>
      <c r="BD61" s="87"/>
      <c r="BE61" s="82"/>
      <c r="BF61" s="88"/>
    </row>
    <row r="62" spans="1:58" s="11" customFormat="1" ht="12.75" hidden="1" customHeight="1">
      <c r="A62" s="72"/>
      <c r="B62" s="89"/>
      <c r="C62" s="77" t="s">
        <v>27</v>
      </c>
      <c r="D62" s="106"/>
      <c r="E62" s="186"/>
      <c r="F62" s="106"/>
      <c r="G62" s="106"/>
      <c r="H62" s="106"/>
      <c r="I62" s="106"/>
      <c r="J62" s="91"/>
      <c r="K62" s="90"/>
      <c r="L62" s="90"/>
      <c r="M62" s="90"/>
      <c r="N62" s="90"/>
      <c r="O62" s="91"/>
      <c r="P62" s="145"/>
      <c r="Q62" s="177">
        <v>16044006.000000002</v>
      </c>
      <c r="R62" s="92">
        <f t="shared" si="25"/>
        <v>0</v>
      </c>
      <c r="S62" s="92">
        <f t="shared" si="25"/>
        <v>0</v>
      </c>
      <c r="T62" s="92">
        <f t="shared" si="25"/>
        <v>0</v>
      </c>
      <c r="U62" s="92">
        <f t="shared" si="25"/>
        <v>0</v>
      </c>
      <c r="V62" s="92">
        <f t="shared" si="25"/>
        <v>0</v>
      </c>
      <c r="W62" s="92">
        <f t="shared" si="25"/>
        <v>0</v>
      </c>
      <c r="X62" s="92">
        <f t="shared" si="25"/>
        <v>0</v>
      </c>
      <c r="Y62" s="92">
        <f t="shared" si="25"/>
        <v>0</v>
      </c>
      <c r="Z62" s="92">
        <f t="shared" si="25"/>
        <v>0</v>
      </c>
      <c r="AA62" s="281">
        <f t="shared" si="25"/>
        <v>0</v>
      </c>
      <c r="AB62" s="92">
        <f t="shared" si="25"/>
        <v>0</v>
      </c>
      <c r="AC62" s="92">
        <f t="shared" si="25"/>
        <v>0</v>
      </c>
      <c r="AD62" s="92"/>
      <c r="AE62" s="93"/>
      <c r="AF62" s="74"/>
      <c r="AG62" s="92">
        <f t="shared" si="2"/>
        <v>0</v>
      </c>
      <c r="AH62" s="92"/>
      <c r="AI62" s="74"/>
      <c r="AJ62" s="74"/>
      <c r="AK62" s="74"/>
      <c r="AL62" s="74"/>
      <c r="AM62" s="74"/>
      <c r="AN62" s="82"/>
      <c r="AO62" s="82"/>
      <c r="AP62" s="86"/>
      <c r="AQ62" s="82"/>
      <c r="AR62" s="86"/>
      <c r="AS62" s="87"/>
      <c r="AT62" s="87"/>
      <c r="AU62" s="86"/>
      <c r="AV62" s="87"/>
      <c r="AW62" s="86"/>
      <c r="AX62" s="87"/>
      <c r="AY62" s="86"/>
      <c r="AZ62" s="87"/>
      <c r="BA62" s="86"/>
      <c r="BB62" s="87"/>
      <c r="BC62" s="86"/>
      <c r="BD62" s="87"/>
      <c r="BE62" s="82"/>
      <c r="BF62" s="88"/>
    </row>
    <row r="63" spans="1:58" s="11" customFormat="1" ht="12.75" hidden="1" customHeight="1">
      <c r="A63" s="72"/>
      <c r="B63" s="89"/>
      <c r="C63" s="77" t="s">
        <v>28</v>
      </c>
      <c r="D63" s="106"/>
      <c r="E63" s="186"/>
      <c r="F63" s="106"/>
      <c r="G63" s="106"/>
      <c r="H63" s="106"/>
      <c r="I63" s="106"/>
      <c r="J63" s="91"/>
      <c r="K63" s="95"/>
      <c r="L63" s="95"/>
      <c r="M63" s="95"/>
      <c r="N63" s="95"/>
      <c r="O63" s="91"/>
      <c r="P63" s="145"/>
      <c r="Q63" s="178">
        <v>6919364</v>
      </c>
      <c r="R63" s="92">
        <f t="shared" si="25"/>
        <v>0</v>
      </c>
      <c r="S63" s="92">
        <f t="shared" si="25"/>
        <v>0</v>
      </c>
      <c r="T63" s="92">
        <f t="shared" si="25"/>
        <v>0</v>
      </c>
      <c r="U63" s="92">
        <f t="shared" si="25"/>
        <v>0</v>
      </c>
      <c r="V63" s="92">
        <f t="shared" si="25"/>
        <v>0</v>
      </c>
      <c r="W63" s="92">
        <f t="shared" si="25"/>
        <v>0</v>
      </c>
      <c r="X63" s="92">
        <f t="shared" si="25"/>
        <v>0</v>
      </c>
      <c r="Y63" s="92">
        <f t="shared" si="25"/>
        <v>0</v>
      </c>
      <c r="Z63" s="92">
        <f t="shared" si="25"/>
        <v>0</v>
      </c>
      <c r="AA63" s="281">
        <f t="shared" si="25"/>
        <v>0</v>
      </c>
      <c r="AB63" s="92">
        <f t="shared" si="25"/>
        <v>0</v>
      </c>
      <c r="AC63" s="92">
        <f t="shared" si="25"/>
        <v>0</v>
      </c>
      <c r="AD63" s="92"/>
      <c r="AE63" s="93"/>
      <c r="AF63" s="74"/>
      <c r="AG63" s="92">
        <f t="shared" si="2"/>
        <v>0</v>
      </c>
      <c r="AH63" s="92"/>
      <c r="AI63" s="74"/>
      <c r="AJ63" s="74"/>
      <c r="AK63" s="74"/>
      <c r="AL63" s="74"/>
      <c r="AM63" s="74"/>
      <c r="AN63" s="82"/>
      <c r="AO63" s="82"/>
      <c r="AP63" s="86"/>
      <c r="AQ63" s="82"/>
      <c r="AR63" s="86"/>
      <c r="AS63" s="87"/>
      <c r="AT63" s="87"/>
      <c r="AU63" s="86"/>
      <c r="AV63" s="87"/>
      <c r="AW63" s="86"/>
      <c r="AX63" s="87"/>
      <c r="AY63" s="86"/>
      <c r="AZ63" s="87"/>
      <c r="BA63" s="86"/>
      <c r="BB63" s="87"/>
      <c r="BC63" s="86"/>
      <c r="BD63" s="87"/>
      <c r="BE63" s="82"/>
      <c r="BF63" s="88"/>
    </row>
    <row r="64" spans="1:58" s="11" customFormat="1" ht="12.75" hidden="1" customHeight="1">
      <c r="A64" s="72"/>
      <c r="B64" s="89" t="s">
        <v>56</v>
      </c>
      <c r="C64" s="77"/>
      <c r="D64" s="106"/>
      <c r="E64" s="186"/>
      <c r="F64" s="106"/>
      <c r="G64" s="106"/>
      <c r="H64" s="106"/>
      <c r="I64" s="106"/>
      <c r="J64" s="91"/>
      <c r="K64" s="91"/>
      <c r="L64" s="91"/>
      <c r="M64" s="91"/>
      <c r="N64" s="91"/>
      <c r="O64" s="91"/>
      <c r="P64" s="145"/>
      <c r="Q64" s="176">
        <v>146047782</v>
      </c>
      <c r="R64" s="92">
        <f t="shared" si="25"/>
        <v>0</v>
      </c>
      <c r="S64" s="92">
        <f t="shared" si="25"/>
        <v>0</v>
      </c>
      <c r="T64" s="92">
        <f t="shared" si="25"/>
        <v>0</v>
      </c>
      <c r="U64" s="92">
        <f t="shared" si="25"/>
        <v>0</v>
      </c>
      <c r="V64" s="92">
        <f t="shared" si="25"/>
        <v>0</v>
      </c>
      <c r="W64" s="92">
        <f t="shared" si="25"/>
        <v>0</v>
      </c>
      <c r="X64" s="92">
        <f t="shared" si="25"/>
        <v>0</v>
      </c>
      <c r="Y64" s="92">
        <f t="shared" si="25"/>
        <v>0</v>
      </c>
      <c r="Z64" s="92">
        <f t="shared" si="25"/>
        <v>0</v>
      </c>
      <c r="AA64" s="281">
        <f t="shared" si="25"/>
        <v>0</v>
      </c>
      <c r="AB64" s="92">
        <f t="shared" si="25"/>
        <v>0</v>
      </c>
      <c r="AC64" s="92">
        <f t="shared" si="25"/>
        <v>0</v>
      </c>
      <c r="AD64" s="92"/>
      <c r="AE64" s="93"/>
      <c r="AF64" s="74"/>
      <c r="AG64" s="92">
        <f t="shared" si="2"/>
        <v>0</v>
      </c>
      <c r="AH64" s="92"/>
      <c r="AI64" s="74"/>
      <c r="AJ64" s="74"/>
      <c r="AK64" s="74"/>
      <c r="AL64" s="74"/>
      <c r="AM64" s="74"/>
      <c r="AN64" s="82"/>
      <c r="AO64" s="82"/>
      <c r="AP64" s="86"/>
      <c r="AQ64" s="82"/>
      <c r="AR64" s="86"/>
      <c r="AS64" s="87"/>
      <c r="AT64" s="87"/>
      <c r="AU64" s="86"/>
      <c r="AV64" s="87"/>
      <c r="AW64" s="86"/>
      <c r="AX64" s="87"/>
      <c r="AY64" s="86"/>
      <c r="AZ64" s="87"/>
      <c r="BA64" s="86"/>
      <c r="BB64" s="87"/>
      <c r="BC64" s="86"/>
      <c r="BD64" s="87"/>
      <c r="BE64" s="82"/>
      <c r="BF64" s="88"/>
    </row>
    <row r="65" spans="1:58" s="11" customFormat="1" ht="12.75" hidden="1" customHeight="1">
      <c r="A65" s="72"/>
      <c r="B65" s="89"/>
      <c r="C65" s="77"/>
      <c r="D65" s="106"/>
      <c r="E65" s="186"/>
      <c r="F65" s="106"/>
      <c r="G65" s="106"/>
      <c r="H65" s="106"/>
      <c r="I65" s="106"/>
      <c r="J65" s="91"/>
      <c r="K65" s="91"/>
      <c r="L65" s="91"/>
      <c r="M65" s="91"/>
      <c r="N65" s="91"/>
      <c r="O65" s="91"/>
      <c r="P65" s="145"/>
      <c r="Q65" s="176"/>
      <c r="R65" s="92"/>
      <c r="S65" s="92"/>
      <c r="T65" s="92"/>
      <c r="U65" s="92"/>
      <c r="V65" s="92"/>
      <c r="W65" s="92"/>
      <c r="X65" s="92"/>
      <c r="Y65" s="92"/>
      <c r="Z65" s="92"/>
      <c r="AA65" s="281"/>
      <c r="AB65" s="92"/>
      <c r="AC65" s="92"/>
      <c r="AD65" s="92"/>
      <c r="AE65" s="93"/>
      <c r="AF65" s="74"/>
      <c r="AG65" s="92">
        <f t="shared" si="2"/>
        <v>0</v>
      </c>
      <c r="AH65" s="92"/>
      <c r="AI65" s="74"/>
      <c r="AJ65" s="74"/>
      <c r="AK65" s="74"/>
      <c r="AL65" s="74"/>
      <c r="AM65" s="74"/>
      <c r="AN65" s="82"/>
      <c r="AO65" s="82"/>
      <c r="AP65" s="86"/>
      <c r="AQ65" s="82"/>
      <c r="AR65" s="86"/>
      <c r="AS65" s="87"/>
      <c r="AT65" s="87"/>
      <c r="AU65" s="86"/>
      <c r="AV65" s="87"/>
      <c r="AW65" s="86"/>
      <c r="AX65" s="87"/>
      <c r="AY65" s="86"/>
      <c r="AZ65" s="87"/>
      <c r="BA65" s="86"/>
      <c r="BB65" s="87"/>
      <c r="BC65" s="86"/>
      <c r="BD65" s="87"/>
      <c r="BE65" s="82"/>
      <c r="BF65" s="88"/>
    </row>
    <row r="66" spans="1:58" s="11" customFormat="1">
      <c r="A66" s="72"/>
      <c r="B66" s="89"/>
      <c r="C66" s="77" t="s">
        <v>21</v>
      </c>
      <c r="D66" s="387">
        <f>'Test Year 2001 Sales and Revs.'!G69</f>
        <v>11949727.241950091</v>
      </c>
      <c r="E66" s="186">
        <v>2747084.7352605099</v>
      </c>
      <c r="F66" s="106">
        <v>2075165.03746</v>
      </c>
      <c r="G66" s="106">
        <v>333567.91096000001</v>
      </c>
      <c r="H66" s="106">
        <v>2656779.0098502212</v>
      </c>
      <c r="I66" s="106">
        <v>46542.964319999999</v>
      </c>
      <c r="J66" s="91">
        <f>D66-SUM(E66:I66,K66)</f>
        <v>4090587.5840993598</v>
      </c>
      <c r="K66" s="90"/>
      <c r="L66" s="90">
        <f>IF(allocation_method&gt;=6,CHOOSE(gen_choice,'Generation Calculations'!H69-'Generation Calculations'!I69+'Generation Calculations'!J69,'Generation Calculations'!G69+'Generation Calculations'!H69-'Generation Calculations'!I69+'Generation Calculations'!J69),0)</f>
        <v>0</v>
      </c>
      <c r="M66" s="90">
        <f>'Test Year 2001 Sales and Revs.'!K69</f>
        <v>1292860.1200000001</v>
      </c>
      <c r="N66" s="90">
        <f>CHOOSE(allocation_method,'RSP Surch Allocations'!E67,'RSP Surch Allocations'!J67,'RSP Surch Allocations'!N67,'RSP Surch Allocations'!Q67,'RSP Surch Allocations'!AA67,'RSP Surch Allocations'!AH67,'RSP Surch Allocations'!AS67,'RSP Surch Allocations'!BD67,'RSP Surch Allocations'!BO67,'RSP Surch Allocations'!BZ67,)</f>
        <v>4947623.6344190231</v>
      </c>
      <c r="O66" s="91">
        <f>SUM(E66:N66)</f>
        <v>18190210.996369116</v>
      </c>
      <c r="P66" s="145">
        <f>ROUND(O66-D66,0)</f>
        <v>6240484</v>
      </c>
      <c r="Q66" s="176">
        <v>129286012</v>
      </c>
      <c r="R66" s="92">
        <f t="shared" ref="R66:AC69" si="26">D66/$Q66*100</f>
        <v>9.2428616654600582</v>
      </c>
      <c r="S66" s="92">
        <f t="shared" si="26"/>
        <v>2.1248120293636328</v>
      </c>
      <c r="T66" s="92">
        <f t="shared" si="26"/>
        <v>1.6050963328190524</v>
      </c>
      <c r="U66" s="92">
        <f t="shared" si="26"/>
        <v>0.25800773478881844</v>
      </c>
      <c r="V66" s="92">
        <f t="shared" si="26"/>
        <v>2.0549624578490531</v>
      </c>
      <c r="W66" s="92">
        <f t="shared" si="26"/>
        <v>3.5999999999999997E-2</v>
      </c>
      <c r="X66" s="92">
        <f t="shared" si="26"/>
        <v>3.163983110639502</v>
      </c>
      <c r="Y66" s="92">
        <f t="shared" si="26"/>
        <v>0</v>
      </c>
      <c r="Z66" s="92">
        <f t="shared" si="26"/>
        <v>0</v>
      </c>
      <c r="AA66" s="281">
        <f t="shared" si="26"/>
        <v>1</v>
      </c>
      <c r="AB66" s="92">
        <f t="shared" si="26"/>
        <v>3.8268823965418801</v>
      </c>
      <c r="AC66" s="92">
        <f t="shared" si="26"/>
        <v>14.06974406200194</v>
      </c>
      <c r="AD66" s="92"/>
      <c r="AE66" s="93"/>
      <c r="AF66" s="74">
        <f>(AC66-AG66)/AG66</f>
        <v>0.37361457388871189</v>
      </c>
      <c r="AG66" s="92">
        <f t="shared" si="2"/>
        <v>10.242861665460058</v>
      </c>
      <c r="AH66" s="92"/>
      <c r="AI66" s="74"/>
      <c r="AJ66" s="74"/>
      <c r="AK66" s="74"/>
      <c r="AL66" s="74"/>
      <c r="AM66" s="74"/>
      <c r="AN66" s="86"/>
      <c r="AO66" s="86"/>
      <c r="AP66" s="86"/>
      <c r="AQ66" s="82"/>
      <c r="AR66" s="86"/>
      <c r="AS66" s="87"/>
      <c r="AT66" s="87"/>
      <c r="AU66" s="86"/>
      <c r="AV66" s="87"/>
      <c r="AW66" s="86"/>
      <c r="AX66" s="87"/>
      <c r="AY66" s="86"/>
      <c r="AZ66" s="87"/>
      <c r="BA66" s="86"/>
      <c r="BB66" s="87"/>
      <c r="BC66" s="86"/>
      <c r="BD66" s="87"/>
      <c r="BE66" s="86"/>
      <c r="BF66" s="88"/>
    </row>
    <row r="67" spans="1:58" s="11" customFormat="1">
      <c r="A67" s="72"/>
      <c r="B67" s="89"/>
      <c r="C67" s="77" t="s">
        <v>27</v>
      </c>
      <c r="D67" s="106">
        <v>4028603.7313990472</v>
      </c>
      <c r="E67" s="186">
        <v>631903.47623501776</v>
      </c>
      <c r="F67" s="106">
        <v>342726.30018999998</v>
      </c>
      <c r="G67" s="106">
        <v>126345.88274999999</v>
      </c>
      <c r="H67" s="106">
        <v>1703224.9362343107</v>
      </c>
      <c r="I67" s="106">
        <v>18728.919089999999</v>
      </c>
      <c r="J67" s="91">
        <f>D67-SUM(E67:I67,K67)</f>
        <v>1205674.2168997186</v>
      </c>
      <c r="K67" s="90"/>
      <c r="L67" s="90">
        <f>IF(allocation_method&gt;=6,CHOOSE(gen_choice,'Generation Calculations'!H70-'Generation Calculations'!I70+'Generation Calculations'!J70,'Generation Calculations'!G70+'Generation Calculations'!H70-'Generation Calculations'!I70+'Generation Calculations'!J70),0)</f>
        <v>0</v>
      </c>
      <c r="M67" s="90">
        <f>'Test Year 2001 Sales and Revs.'!K70</f>
        <v>297284.43</v>
      </c>
      <c r="N67" s="90">
        <f>CHOOSE(allocation_method,'RSP Surch Allocations'!E68,'RSP Surch Allocations'!J68,'RSP Surch Allocations'!N68,'RSP Surch Allocations'!Q68,'RSP Surch Allocations'!AA68,'RSP Surch Allocations'!AH68,'RSP Surch Allocations'!AS68,'RSP Surch Allocations'!BD68,'RSP Surch Allocations'!BO68,'RSP Surch Allocations'!BZ68,)</f>
        <v>1137672.5519329866</v>
      </c>
      <c r="O67" s="91">
        <f>SUM(E67:N67)</f>
        <v>5463560.7133320337</v>
      </c>
      <c r="P67" s="145">
        <f>ROUND(O67-D67,0)</f>
        <v>1434957</v>
      </c>
      <c r="Q67" s="176">
        <v>29728443</v>
      </c>
      <c r="R67" s="92">
        <f t="shared" si="26"/>
        <v>13.551344520125211</v>
      </c>
      <c r="S67" s="92">
        <f t="shared" si="26"/>
        <v>2.1255855082454795</v>
      </c>
      <c r="T67" s="92">
        <f t="shared" si="26"/>
        <v>1.152856542772859</v>
      </c>
      <c r="U67" s="92">
        <f t="shared" si="26"/>
        <v>0.42499999999999993</v>
      </c>
      <c r="V67" s="92">
        <f t="shared" si="26"/>
        <v>5.7292772992999019</v>
      </c>
      <c r="W67" s="92">
        <f t="shared" si="26"/>
        <v>6.3E-2</v>
      </c>
      <c r="X67" s="92">
        <f t="shared" si="26"/>
        <v>4.0556251698069712</v>
      </c>
      <c r="Y67" s="92">
        <f t="shared" si="26"/>
        <v>0</v>
      </c>
      <c r="Z67" s="92">
        <f t="shared" si="26"/>
        <v>0</v>
      </c>
      <c r="AA67" s="281">
        <f t="shared" si="26"/>
        <v>1</v>
      </c>
      <c r="AB67" s="92">
        <f t="shared" si="26"/>
        <v>3.8268823965418792</v>
      </c>
      <c r="AC67" s="92">
        <f t="shared" si="26"/>
        <v>18.378226916667092</v>
      </c>
      <c r="AD67" s="92"/>
      <c r="AE67" s="93"/>
      <c r="AF67" s="74">
        <f>(AC67-AG67)/AG67</f>
        <v>0.26299167003084278</v>
      </c>
      <c r="AG67" s="92">
        <f t="shared" si="2"/>
        <v>14.551344520125211</v>
      </c>
      <c r="AH67" s="92"/>
      <c r="AI67" s="74"/>
      <c r="AJ67" s="74"/>
      <c r="AK67" s="74"/>
      <c r="AL67" s="74"/>
      <c r="AM67" s="74"/>
      <c r="AN67" s="86"/>
      <c r="AO67" s="86"/>
      <c r="AP67" s="86"/>
      <c r="AQ67" s="82"/>
      <c r="AR67" s="86"/>
      <c r="AS67" s="87"/>
      <c r="AT67" s="87"/>
      <c r="AU67" s="86"/>
      <c r="AV67" s="87"/>
      <c r="AW67" s="86"/>
      <c r="AX67" s="87"/>
      <c r="AY67" s="86"/>
      <c r="AZ67" s="87"/>
      <c r="BA67" s="86"/>
      <c r="BB67" s="87"/>
      <c r="BC67" s="86"/>
      <c r="BD67" s="87"/>
      <c r="BE67" s="86"/>
      <c r="BF67" s="88"/>
    </row>
    <row r="68" spans="1:58" s="11" customFormat="1">
      <c r="A68" s="72"/>
      <c r="B68" s="89"/>
      <c r="C68" s="77" t="s">
        <v>28</v>
      </c>
      <c r="D68" s="156">
        <v>807647.60746656102</v>
      </c>
      <c r="E68" s="187">
        <v>156274.85331388967</v>
      </c>
      <c r="F68" s="156">
        <v>62217.864050000004</v>
      </c>
      <c r="G68" s="156">
        <v>21909.213300000003</v>
      </c>
      <c r="H68" s="156">
        <v>352247.73783768044</v>
      </c>
      <c r="I68" s="156">
        <v>3087.8757000000005</v>
      </c>
      <c r="J68" s="96">
        <f>D68-SUM(E68:I68,K68)</f>
        <v>211910.06326499092</v>
      </c>
      <c r="K68" s="95"/>
      <c r="L68" s="95">
        <f>IF(allocation_method&gt;=6,CHOOSE(gen_choice,'Generation Calculations'!H71-'Generation Calculations'!I71+'Generation Calculations'!J71,'Generation Calculations'!G71+'Generation Calculations'!H71-'Generation Calculations'!I71+'Generation Calculations'!J71),0)</f>
        <v>0</v>
      </c>
      <c r="M68" s="95">
        <f>'Test Year 2001 Sales and Revs.'!K71</f>
        <v>73520.850000000006</v>
      </c>
      <c r="N68" s="95">
        <f>CHOOSE(allocation_method,'RSP Surch Allocations'!E69,'RSP Surch Allocations'!J69,'RSP Surch Allocations'!N69,'RSP Surch Allocations'!Q69,'RSP Surch Allocations'!AA69,'RSP Surch Allocations'!AH69,'RSP Surch Allocations'!AS69,'RSP Surch Allocations'!BD69,'RSP Surch Allocations'!BO69,'RSP Surch Allocations'!BZ69,)</f>
        <v>281355.64664379606</v>
      </c>
      <c r="O68" s="91">
        <f>SUM(E68:N68)</f>
        <v>1162524.1041103571</v>
      </c>
      <c r="P68" s="145">
        <f>ROUND(O68-D68,0)</f>
        <v>354876</v>
      </c>
      <c r="Q68" s="179">
        <v>7352085</v>
      </c>
      <c r="R68" s="97">
        <f t="shared" si="26"/>
        <v>10.985286588315574</v>
      </c>
      <c r="S68" s="97">
        <f t="shared" si="26"/>
        <v>2.1255855082454795</v>
      </c>
      <c r="T68" s="97">
        <f t="shared" si="26"/>
        <v>0.84626148976786864</v>
      </c>
      <c r="U68" s="97">
        <f t="shared" si="26"/>
        <v>0.29800000000000004</v>
      </c>
      <c r="V68" s="97">
        <f t="shared" si="26"/>
        <v>4.791127113433542</v>
      </c>
      <c r="W68" s="97">
        <f t="shared" si="26"/>
        <v>4.200000000000001E-2</v>
      </c>
      <c r="X68" s="97">
        <f t="shared" si="26"/>
        <v>2.882312476868683</v>
      </c>
      <c r="Y68" s="97">
        <f t="shared" si="26"/>
        <v>0</v>
      </c>
      <c r="Z68" s="97">
        <f t="shared" si="26"/>
        <v>0</v>
      </c>
      <c r="AA68" s="280">
        <f t="shared" si="26"/>
        <v>1</v>
      </c>
      <c r="AB68" s="97">
        <f t="shared" si="26"/>
        <v>3.8268823965418801</v>
      </c>
      <c r="AC68" s="97">
        <f t="shared" si="26"/>
        <v>15.812168984857452</v>
      </c>
      <c r="AD68" s="97"/>
      <c r="AE68" s="93"/>
      <c r="AF68" s="79">
        <f>(AC68-AG68)/AG68</f>
        <v>0.31929836373480597</v>
      </c>
      <c r="AG68" s="92">
        <f t="shared" si="2"/>
        <v>11.985286588315574</v>
      </c>
      <c r="AH68" s="92"/>
      <c r="AI68" s="79"/>
      <c r="AJ68" s="79"/>
      <c r="AK68" s="79"/>
      <c r="AL68" s="79"/>
      <c r="AM68" s="79"/>
      <c r="AN68" s="99"/>
      <c r="AO68" s="99"/>
      <c r="AP68" s="99"/>
      <c r="AQ68" s="100"/>
      <c r="AR68" s="99"/>
      <c r="AS68" s="98"/>
      <c r="AT68" s="98"/>
      <c r="AU68" s="99"/>
      <c r="AV68" s="98"/>
      <c r="AW68" s="99"/>
      <c r="AX68" s="98"/>
      <c r="AY68" s="99"/>
      <c r="AZ68" s="98"/>
      <c r="BA68" s="99"/>
      <c r="BB68" s="98"/>
      <c r="BC68" s="99"/>
      <c r="BD68" s="98"/>
      <c r="BE68" s="99"/>
      <c r="BF68" s="101"/>
    </row>
    <row r="69" spans="1:58" s="113" customFormat="1">
      <c r="A69" s="72"/>
      <c r="B69" s="188" t="s">
        <v>57</v>
      </c>
      <c r="C69" s="189"/>
      <c r="D69" s="91">
        <f>SUM(D66:D68)</f>
        <v>16785978.580815699</v>
      </c>
      <c r="E69" s="91">
        <f>SUM(E66:E68)</f>
        <v>3535263.0648094174</v>
      </c>
      <c r="F69" s="91">
        <f>SUM(F66:F68)</f>
        <v>2480109.2017000001</v>
      </c>
      <c r="G69" s="91">
        <f>SUM(G66:G68)</f>
        <v>481823.00701</v>
      </c>
      <c r="H69" s="91">
        <f t="shared" ref="H69:O69" si="27">SUM(H66:H68)</f>
        <v>4712251.6839222126</v>
      </c>
      <c r="I69" s="91">
        <f t="shared" si="27"/>
        <v>68359.759109999999</v>
      </c>
      <c r="J69" s="91">
        <f t="shared" si="27"/>
        <v>5508171.8642640701</v>
      </c>
      <c r="K69" s="91">
        <f t="shared" si="27"/>
        <v>0</v>
      </c>
      <c r="L69" s="91">
        <f t="shared" si="27"/>
        <v>0</v>
      </c>
      <c r="M69" s="91">
        <f t="shared" si="27"/>
        <v>1663665.4000000001</v>
      </c>
      <c r="N69" s="91">
        <f t="shared" si="27"/>
        <v>6366651.8329958059</v>
      </c>
      <c r="O69" s="91">
        <f t="shared" si="27"/>
        <v>24816295.813811507</v>
      </c>
      <c r="P69" s="145">
        <f>ROUND(O69-D69,0)</f>
        <v>8030317</v>
      </c>
      <c r="Q69" s="176">
        <f>SUM(Q66:Q68)</f>
        <v>166366540</v>
      </c>
      <c r="R69" s="92">
        <f t="shared" si="26"/>
        <v>10.089756378184999</v>
      </c>
      <c r="S69" s="92">
        <f t="shared" si="26"/>
        <v>2.124984425840327</v>
      </c>
      <c r="T69" s="92">
        <f t="shared" si="26"/>
        <v>1.4907500039971981</v>
      </c>
      <c r="U69" s="92">
        <f t="shared" si="26"/>
        <v>0.28961533191109218</v>
      </c>
      <c r="V69" s="92">
        <f t="shared" si="26"/>
        <v>2.8324515758530606</v>
      </c>
      <c r="W69" s="92">
        <f t="shared" si="26"/>
        <v>4.1089848421443399E-2</v>
      </c>
      <c r="X69" s="92">
        <f t="shared" si="26"/>
        <v>3.3108651921618799</v>
      </c>
      <c r="Y69" s="92">
        <f t="shared" si="26"/>
        <v>0</v>
      </c>
      <c r="Z69" s="92">
        <f t="shared" si="26"/>
        <v>0</v>
      </c>
      <c r="AA69" s="281">
        <f t="shared" si="26"/>
        <v>1</v>
      </c>
      <c r="AB69" s="92">
        <f t="shared" si="26"/>
        <v>3.8268823965418801</v>
      </c>
      <c r="AC69" s="92">
        <f t="shared" si="26"/>
        <v>14.916638774726881</v>
      </c>
      <c r="AD69" s="92"/>
      <c r="AE69" s="93"/>
      <c r="AF69" s="74">
        <f>(AC69-AG69)/AG69</f>
        <v>0.34508263897211117</v>
      </c>
      <c r="AG69" s="92">
        <f t="shared" si="2"/>
        <v>11.089756378184999</v>
      </c>
      <c r="AH69" s="92"/>
      <c r="AI69" s="74"/>
      <c r="AJ69" s="74"/>
      <c r="AK69" s="74"/>
      <c r="AL69" s="74"/>
      <c r="AM69" s="74"/>
      <c r="AN69" s="86"/>
      <c r="AO69" s="86"/>
      <c r="AP69" s="86"/>
      <c r="AQ69" s="82"/>
      <c r="AR69" s="86"/>
      <c r="AS69" s="87"/>
      <c r="AT69" s="87"/>
      <c r="AU69" s="86"/>
      <c r="AV69" s="87"/>
      <c r="AW69" s="86"/>
      <c r="AX69" s="87"/>
      <c r="AY69" s="86"/>
      <c r="AZ69" s="87"/>
      <c r="BA69" s="86"/>
      <c r="BB69" s="87"/>
      <c r="BC69" s="86"/>
      <c r="BD69" s="87"/>
      <c r="BE69" s="86"/>
      <c r="BF69" s="88"/>
    </row>
    <row r="70" spans="1:58" s="11" customFormat="1">
      <c r="A70" s="72"/>
      <c r="B70" s="81"/>
      <c r="C70" s="77"/>
      <c r="D70" s="106"/>
      <c r="E70" s="144"/>
      <c r="F70" s="106"/>
      <c r="G70" s="106"/>
      <c r="H70" s="106"/>
      <c r="I70" s="106"/>
      <c r="J70" s="91"/>
      <c r="K70" s="91"/>
      <c r="L70" s="91"/>
      <c r="M70" s="91"/>
      <c r="N70" s="91"/>
      <c r="O70" s="91"/>
      <c r="P70" s="145"/>
      <c r="Q70" s="176"/>
      <c r="R70" s="92"/>
      <c r="S70" s="92"/>
      <c r="T70" s="92"/>
      <c r="U70" s="92"/>
      <c r="V70" s="92"/>
      <c r="W70" s="92"/>
      <c r="X70" s="92"/>
      <c r="Y70" s="92"/>
      <c r="Z70" s="92"/>
      <c r="AA70" s="281"/>
      <c r="AB70" s="92"/>
      <c r="AC70" s="92"/>
      <c r="AD70" s="92"/>
      <c r="AE70" s="93"/>
      <c r="AF70" s="74"/>
      <c r="AG70" s="92">
        <f t="shared" si="2"/>
        <v>0</v>
      </c>
      <c r="AH70" s="92"/>
      <c r="AI70" s="74"/>
      <c r="AJ70" s="74"/>
      <c r="AK70" s="74"/>
      <c r="AL70" s="74"/>
      <c r="AM70" s="74"/>
      <c r="AN70" s="82"/>
      <c r="AO70" s="82"/>
      <c r="AP70" s="86"/>
      <c r="AQ70" s="82"/>
      <c r="AR70" s="86"/>
      <c r="AS70" s="87"/>
      <c r="AT70" s="87"/>
      <c r="AU70" s="86"/>
      <c r="AV70" s="87"/>
      <c r="AW70" s="86"/>
      <c r="AX70" s="87"/>
      <c r="AY70" s="86"/>
      <c r="AZ70" s="87"/>
      <c r="BA70" s="86"/>
      <c r="BB70" s="87"/>
      <c r="BC70" s="86"/>
      <c r="BD70" s="87"/>
      <c r="BE70" s="82"/>
      <c r="BF70" s="88"/>
    </row>
    <row r="71" spans="1:58" s="11" customFormat="1">
      <c r="A71" s="72"/>
      <c r="B71" s="89" t="s">
        <v>100</v>
      </c>
      <c r="C71" s="73" t="s">
        <v>28</v>
      </c>
      <c r="D71" s="106">
        <v>37890961.785726219</v>
      </c>
      <c r="E71" s="186">
        <v>1267857.4792861626</v>
      </c>
      <c r="F71" s="106">
        <v>393600.86226375005</v>
      </c>
      <c r="G71" s="106">
        <v>1020846.0719900001</v>
      </c>
      <c r="H71" s="106">
        <v>19180294.319204964</v>
      </c>
      <c r="I71" s="106">
        <v>154564.7221675</v>
      </c>
      <c r="J71" s="91">
        <f t="shared" ref="J71:J78" si="28">D71-SUM(E71:I71,K71)</f>
        <v>15873798.330813844</v>
      </c>
      <c r="K71" s="90"/>
      <c r="L71" s="90">
        <f>IF(allocation_method&gt;=6,CHOOSE(gen_choice,'Generation Calculations'!H75-'Generation Calculations'!I75+'Generation Calculations'!J75,'Generation Calculations'!G75+'Generation Calculations'!H75-'Generation Calculations'!I75+'Generation Calculations'!J75),0)</f>
        <v>0</v>
      </c>
      <c r="M71" s="90">
        <f>'Test Year 2001 Sales and Revs.'!K75</f>
        <v>1797264.2112499999</v>
      </c>
      <c r="N71" s="90">
        <f>CHOOSE(allocation_method,'RSP Surch Allocations'!E72,'RSP Surch Allocations'!J72,'RSP Surch Allocations'!N72,'RSP Surch Allocations'!Q72,'RSP Surch Allocations'!AA72,'RSP Surch Allocations'!AH72,'RSP Surch Allocations'!AS72,'RSP Surch Allocations'!BD72,'RSP Surch Allocations'!BO72,'RSP Surch Allocations'!BZ72,)</f>
        <v>6877918.7719673514</v>
      </c>
      <c r="O71" s="91">
        <f t="shared" ref="O71:O78" si="29">SUM(E71:N71)</f>
        <v>46566144.768943571</v>
      </c>
      <c r="P71" s="145">
        <f t="shared" ref="P71:P82" si="30">ROUND(O71-D71,0)</f>
        <v>8675183</v>
      </c>
      <c r="Q71" s="177">
        <f>'Test Year 2001 Sales and Revs.'!F75</f>
        <v>179726421.125</v>
      </c>
      <c r="R71" s="92">
        <f t="shared" ref="R71:AC78" si="31">D71/$Q71*100</f>
        <v>21.082577368729218</v>
      </c>
      <c r="S71" s="92">
        <f t="shared" si="31"/>
        <v>0.70543744840073674</v>
      </c>
      <c r="T71" s="92">
        <f t="shared" si="31"/>
        <v>0.219</v>
      </c>
      <c r="U71" s="92">
        <f t="shared" si="31"/>
        <v>0.56800000000000006</v>
      </c>
      <c r="V71" s="92">
        <f t="shared" si="31"/>
        <v>10.671939161279486</v>
      </c>
      <c r="W71" s="92">
        <f t="shared" si="31"/>
        <v>8.5999999999999993E-2</v>
      </c>
      <c r="X71" s="92">
        <f t="shared" si="31"/>
        <v>8.8322007590489964</v>
      </c>
      <c r="Y71" s="92">
        <f t="shared" si="31"/>
        <v>0</v>
      </c>
      <c r="Z71" s="92">
        <f t="shared" si="31"/>
        <v>0</v>
      </c>
      <c r="AA71" s="281">
        <f t="shared" si="31"/>
        <v>1</v>
      </c>
      <c r="AB71" s="92">
        <f t="shared" si="31"/>
        <v>3.8268823965418801</v>
      </c>
      <c r="AC71" s="92">
        <f t="shared" si="31"/>
        <v>25.909459765271098</v>
      </c>
      <c r="AD71" s="92"/>
      <c r="AE71" s="93"/>
      <c r="AF71" s="74">
        <f t="shared" ref="AF71:AF78" si="32">(AC71-AG71)/AG71</f>
        <v>0.17329872019201284</v>
      </c>
      <c r="AG71" s="92">
        <f t="shared" si="2"/>
        <v>22.082577368729218</v>
      </c>
      <c r="AH71" s="92"/>
      <c r="AI71" s="74"/>
      <c r="AJ71" s="74"/>
      <c r="AK71" s="74"/>
      <c r="AL71" s="74"/>
      <c r="AM71" s="74"/>
      <c r="AN71" s="86"/>
      <c r="AO71" s="86"/>
      <c r="AP71" s="86"/>
      <c r="AQ71" s="82"/>
      <c r="AR71" s="86"/>
      <c r="AS71" s="87"/>
      <c r="AT71" s="87"/>
      <c r="AU71" s="86"/>
      <c r="AV71" s="87"/>
      <c r="AW71" s="86"/>
      <c r="AX71" s="87"/>
      <c r="AY71" s="86"/>
      <c r="AZ71" s="87"/>
      <c r="BA71" s="86"/>
      <c r="BB71" s="87"/>
      <c r="BC71" s="86"/>
      <c r="BD71" s="87"/>
      <c r="BE71" s="86"/>
      <c r="BF71" s="88"/>
    </row>
    <row r="72" spans="1:58" s="11" customFormat="1">
      <c r="A72" s="72"/>
      <c r="B72" s="89" t="s">
        <v>59</v>
      </c>
      <c r="C72" s="73" t="s">
        <v>28</v>
      </c>
      <c r="D72" s="106">
        <v>4320739.1507790247</v>
      </c>
      <c r="E72" s="186">
        <v>202860.29087562201</v>
      </c>
      <c r="F72" s="106">
        <v>62977.098540000006</v>
      </c>
      <c r="G72" s="106">
        <v>120202.86387999999</v>
      </c>
      <c r="H72" s="106">
        <v>2027762.768345437</v>
      </c>
      <c r="I72" s="106">
        <v>17829.13292</v>
      </c>
      <c r="J72" s="91">
        <f t="shared" si="28"/>
        <v>1889106.9962179661</v>
      </c>
      <c r="K72" s="90"/>
      <c r="L72" s="90">
        <f>IF(allocation_method&gt;=6,CHOOSE(gen_choice,'Generation Calculations'!H76-'Generation Calculations'!I76+'Generation Calculations'!J76,'Generation Calculations'!G76+'Generation Calculations'!H76-'Generation Calculations'!I76+'Generation Calculations'!J76),0)</f>
        <v>0</v>
      </c>
      <c r="M72" s="90">
        <f>'Test Year 2001 Sales and Revs.'!K76</f>
        <v>287566.66000000003</v>
      </c>
      <c r="N72" s="90">
        <f>CHOOSE(allocation_method,'RSP Surch Allocations'!E73,'RSP Surch Allocations'!J73,'RSP Surch Allocations'!N73,'RSP Surch Allocations'!Q73,'RSP Surch Allocations'!AA73,'RSP Surch Allocations'!AH73,'RSP Surch Allocations'!AS73,'RSP Surch Allocations'!BD73,'RSP Surch Allocations'!BO73,'RSP Surch Allocations'!BZ73,)</f>
        <v>1100483.7889863441</v>
      </c>
      <c r="O72" s="91">
        <f t="shared" si="29"/>
        <v>5708789.5997653687</v>
      </c>
      <c r="P72" s="145">
        <f t="shared" si="30"/>
        <v>1388050</v>
      </c>
      <c r="Q72" s="177">
        <f>'Test Year 2001 Sales and Revs.'!F76</f>
        <v>28756666</v>
      </c>
      <c r="R72" s="92">
        <f t="shared" si="31"/>
        <v>15.025174165805677</v>
      </c>
      <c r="S72" s="92">
        <f t="shared" si="31"/>
        <v>0.7054374484010838</v>
      </c>
      <c r="T72" s="92">
        <f t="shared" si="31"/>
        <v>0.219</v>
      </c>
      <c r="U72" s="92">
        <f t="shared" si="31"/>
        <v>0.41799999999999998</v>
      </c>
      <c r="V72" s="92">
        <f t="shared" si="31"/>
        <v>7.0514529338882221</v>
      </c>
      <c r="W72" s="92">
        <f t="shared" si="31"/>
        <v>6.2E-2</v>
      </c>
      <c r="X72" s="92">
        <f t="shared" si="31"/>
        <v>6.5692837835163722</v>
      </c>
      <c r="Y72" s="92">
        <f t="shared" si="31"/>
        <v>0</v>
      </c>
      <c r="Z72" s="92">
        <f t="shared" si="31"/>
        <v>0</v>
      </c>
      <c r="AA72" s="281">
        <f t="shared" si="31"/>
        <v>1.0000000000000002</v>
      </c>
      <c r="AB72" s="92">
        <f t="shared" si="31"/>
        <v>3.8268823965418806</v>
      </c>
      <c r="AC72" s="92">
        <f t="shared" si="31"/>
        <v>19.852056562347556</v>
      </c>
      <c r="AD72" s="92"/>
      <c r="AE72" s="93"/>
      <c r="AF72" s="74">
        <f t="shared" si="32"/>
        <v>0.2388044184073603</v>
      </c>
      <c r="AG72" s="92">
        <f t="shared" si="2"/>
        <v>16.025174165805677</v>
      </c>
      <c r="AH72" s="92"/>
      <c r="AI72" s="74"/>
      <c r="AJ72" s="74"/>
      <c r="AK72" s="74"/>
      <c r="AL72" s="74"/>
      <c r="AM72" s="74"/>
      <c r="AN72" s="86"/>
      <c r="AO72" s="86"/>
      <c r="AP72" s="86"/>
      <c r="AQ72" s="82"/>
      <c r="AR72" s="86"/>
      <c r="AS72" s="87"/>
      <c r="AT72" s="87"/>
      <c r="AU72" s="86"/>
      <c r="AV72" s="87"/>
      <c r="AW72" s="86"/>
      <c r="AX72" s="87"/>
      <c r="AY72" s="86"/>
      <c r="AZ72" s="87"/>
      <c r="BA72" s="86"/>
      <c r="BB72" s="87"/>
      <c r="BC72" s="86"/>
      <c r="BD72" s="87"/>
      <c r="BE72" s="86"/>
      <c r="BF72" s="88"/>
    </row>
    <row r="73" spans="1:58" s="11" customFormat="1">
      <c r="A73" s="72"/>
      <c r="B73" s="89" t="s">
        <v>60</v>
      </c>
      <c r="C73" s="73" t="s">
        <v>28</v>
      </c>
      <c r="D73" s="106">
        <v>4615287.226467072</v>
      </c>
      <c r="E73" s="186">
        <v>219939.002045047</v>
      </c>
      <c r="F73" s="106">
        <v>68279.110440000004</v>
      </c>
      <c r="G73" s="106">
        <v>127516.69474000001</v>
      </c>
      <c r="H73" s="106">
        <v>2041712.19665615</v>
      </c>
      <c r="I73" s="106">
        <v>18706.605599999999</v>
      </c>
      <c r="J73" s="91">
        <f t="shared" si="28"/>
        <v>2139133.6169858752</v>
      </c>
      <c r="K73" s="90"/>
      <c r="L73" s="90">
        <f>IF(allocation_method&gt;=6,CHOOSE(gen_choice,'Generation Calculations'!H77-'Generation Calculations'!I77+'Generation Calculations'!J77,'Generation Calculations'!G77+'Generation Calculations'!H77-'Generation Calculations'!I77+'Generation Calculations'!J77),0)</f>
        <v>0</v>
      </c>
      <c r="M73" s="90">
        <f>'Test Year 2001 Sales and Revs.'!K77</f>
        <v>311776.76</v>
      </c>
      <c r="N73" s="90">
        <f>CHOOSE(allocation_method,'RSP Surch Allocations'!E74,'RSP Surch Allocations'!J74,'RSP Surch Allocations'!N74,'RSP Surch Allocations'!Q74,'RSP Surch Allocations'!AA74,'RSP Surch Allocations'!AH74,'RSP Surch Allocations'!AS74,'RSP Surch Allocations'!BD74,'RSP Surch Allocations'!BO74,'RSP Surch Allocations'!BZ74,)</f>
        <v>1193132.9944948626</v>
      </c>
      <c r="O73" s="91">
        <f t="shared" si="29"/>
        <v>6120196.9809619347</v>
      </c>
      <c r="P73" s="145">
        <f t="shared" si="30"/>
        <v>1504910</v>
      </c>
      <c r="Q73" s="177">
        <f>'Test Year 2001 Sales and Revs.'!F77</f>
        <v>31177676</v>
      </c>
      <c r="R73" s="92">
        <f t="shared" si="31"/>
        <v>14.803179128768521</v>
      </c>
      <c r="S73" s="92">
        <f t="shared" si="31"/>
        <v>0.70543744840073064</v>
      </c>
      <c r="T73" s="92">
        <f t="shared" si="31"/>
        <v>0.219</v>
      </c>
      <c r="U73" s="92">
        <f t="shared" si="31"/>
        <v>0.40899999967925771</v>
      </c>
      <c r="V73" s="92">
        <f t="shared" si="31"/>
        <v>6.5486349805423281</v>
      </c>
      <c r="W73" s="92">
        <f t="shared" si="31"/>
        <v>0.06</v>
      </c>
      <c r="X73" s="92">
        <f t="shared" si="31"/>
        <v>6.8611067001462054</v>
      </c>
      <c r="Y73" s="92">
        <f t="shared" si="31"/>
        <v>0</v>
      </c>
      <c r="Z73" s="92">
        <f t="shared" si="31"/>
        <v>0</v>
      </c>
      <c r="AA73" s="281">
        <f t="shared" si="31"/>
        <v>1</v>
      </c>
      <c r="AB73" s="92">
        <f t="shared" si="31"/>
        <v>3.8268823965418801</v>
      </c>
      <c r="AC73" s="92">
        <f t="shared" si="31"/>
        <v>19.630061525310399</v>
      </c>
      <c r="AD73" s="92"/>
      <c r="AE73" s="93"/>
      <c r="AF73" s="74">
        <f t="shared" si="32"/>
        <v>0.24215902163478745</v>
      </c>
      <c r="AG73" s="92">
        <f t="shared" ref="AG73:AG131" si="33">AA73+R73</f>
        <v>15.803179128768521</v>
      </c>
      <c r="AH73" s="92"/>
      <c r="AI73" s="74"/>
      <c r="AJ73" s="74"/>
      <c r="AK73" s="74"/>
      <c r="AL73" s="74"/>
      <c r="AM73" s="74"/>
      <c r="AN73" s="86"/>
      <c r="AO73" s="86"/>
      <c r="AP73" s="86"/>
      <c r="AQ73" s="82"/>
      <c r="AR73" s="86"/>
      <c r="AS73" s="87"/>
      <c r="AT73" s="87"/>
      <c r="AU73" s="86"/>
      <c r="AV73" s="87"/>
      <c r="AW73" s="86"/>
      <c r="AX73" s="87"/>
      <c r="AY73" s="86"/>
      <c r="AZ73" s="87"/>
      <c r="BA73" s="86"/>
      <c r="BB73" s="87"/>
      <c r="BC73" s="86"/>
      <c r="BD73" s="87"/>
      <c r="BE73" s="86"/>
      <c r="BF73" s="88"/>
    </row>
    <row r="74" spans="1:58" s="11" customFormat="1">
      <c r="A74" s="72"/>
      <c r="B74" s="89" t="s">
        <v>61</v>
      </c>
      <c r="C74" s="73" t="s">
        <v>28</v>
      </c>
      <c r="D74" s="90">
        <f>'Test Year 2001 Sales and Revs.'!G78</f>
        <v>19414902.053558245</v>
      </c>
      <c r="E74" s="186">
        <v>960893.07438854512</v>
      </c>
      <c r="F74" s="106">
        <v>298305.09246999997</v>
      </c>
      <c r="G74" s="106">
        <v>535314.61803000013</v>
      </c>
      <c r="H74" s="106">
        <v>8846134.9179632831</v>
      </c>
      <c r="I74" s="106">
        <v>79003.17518000002</v>
      </c>
      <c r="J74" s="91">
        <f t="shared" si="28"/>
        <v>8695251.1755264178</v>
      </c>
      <c r="K74" s="90"/>
      <c r="L74" s="90">
        <f>IF(allocation_method&gt;=6,CHOOSE(gen_choice,'Generation Calculations'!H78-'Generation Calculations'!I78+'Generation Calculations'!J78,'Generation Calculations'!G78+'Generation Calculations'!H78-'Generation Calculations'!I78+'Generation Calculations'!J78),0)</f>
        <v>0</v>
      </c>
      <c r="M74" s="90">
        <f>'Test Year 2001 Sales and Revs.'!K78</f>
        <v>1362123.71</v>
      </c>
      <c r="N74" s="90">
        <f>CHOOSE(allocation_method,'RSP Surch Allocations'!E75,'RSP Surch Allocations'!J75,'RSP Surch Allocations'!N75,'RSP Surch Allocations'!Q75,'RSP Surch Allocations'!AA75,'RSP Surch Allocations'!AH75,'RSP Surch Allocations'!AS75,'RSP Surch Allocations'!BD75,'RSP Surch Allocations'!BO75,'RSP Surch Allocations'!BZ75,)</f>
        <v>5212687.2477113167</v>
      </c>
      <c r="O74" s="91">
        <f t="shared" si="29"/>
        <v>25989713.011269562</v>
      </c>
      <c r="P74" s="145">
        <f t="shared" si="30"/>
        <v>6574811</v>
      </c>
      <c r="Q74" s="177">
        <f>'Test Year 2001 Sales and Revs.'!F78</f>
        <v>136212371</v>
      </c>
      <c r="R74" s="92">
        <f t="shared" si="31"/>
        <v>14.253405847812637</v>
      </c>
      <c r="S74" s="92">
        <f t="shared" si="31"/>
        <v>0.70543744840073674</v>
      </c>
      <c r="T74" s="92">
        <f t="shared" si="31"/>
        <v>0.218999999985317</v>
      </c>
      <c r="U74" s="92">
        <f t="shared" si="31"/>
        <v>0.39300000000000013</v>
      </c>
      <c r="V74" s="92">
        <f t="shared" si="31"/>
        <v>6.4943696765716554</v>
      </c>
      <c r="W74" s="92">
        <f t="shared" si="31"/>
        <v>5.800000000000001E-2</v>
      </c>
      <c r="X74" s="92">
        <f t="shared" si="31"/>
        <v>6.3835987228549289</v>
      </c>
      <c r="Y74" s="92">
        <f t="shared" si="31"/>
        <v>0</v>
      </c>
      <c r="Z74" s="92">
        <f t="shared" si="31"/>
        <v>0</v>
      </c>
      <c r="AA74" s="281">
        <f t="shared" si="31"/>
        <v>1</v>
      </c>
      <c r="AB74" s="92">
        <f t="shared" si="31"/>
        <v>3.8268823965418801</v>
      </c>
      <c r="AC74" s="92">
        <f t="shared" si="31"/>
        <v>19.080288244354517</v>
      </c>
      <c r="AD74" s="92"/>
      <c r="AE74" s="93"/>
      <c r="AF74" s="74">
        <f t="shared" si="32"/>
        <v>0.25088707628471452</v>
      </c>
      <c r="AG74" s="92">
        <f t="shared" si="33"/>
        <v>15.253405847812637</v>
      </c>
      <c r="AH74" s="92"/>
      <c r="AI74" s="74"/>
      <c r="AJ74" s="74"/>
      <c r="AK74" s="74"/>
      <c r="AL74" s="74"/>
      <c r="AM74" s="74"/>
      <c r="AN74" s="86"/>
      <c r="AO74" s="86"/>
      <c r="AP74" s="86"/>
      <c r="AQ74" s="82"/>
      <c r="AR74" s="86"/>
      <c r="AS74" s="87"/>
      <c r="AT74" s="87"/>
      <c r="AU74" s="86"/>
      <c r="AV74" s="87"/>
      <c r="AW74" s="86"/>
      <c r="AX74" s="87"/>
      <c r="AY74" s="86"/>
      <c r="AZ74" s="87"/>
      <c r="BA74" s="86"/>
      <c r="BB74" s="87"/>
      <c r="BC74" s="86"/>
      <c r="BD74" s="87"/>
      <c r="BE74" s="86"/>
      <c r="BF74" s="88"/>
    </row>
    <row r="75" spans="1:58" s="11" customFormat="1">
      <c r="A75" s="72"/>
      <c r="B75" s="89" t="s">
        <v>62</v>
      </c>
      <c r="C75" s="73" t="s">
        <v>28</v>
      </c>
      <c r="D75" s="387">
        <f>'Test Year 2001 Sales and Revs.'!G79</f>
        <v>9483825.3935847208</v>
      </c>
      <c r="E75" s="186">
        <v>589420.0205018383</v>
      </c>
      <c r="F75" s="106">
        <v>182982.89208000002</v>
      </c>
      <c r="G75" s="106">
        <v>269043.33904000005</v>
      </c>
      <c r="H75" s="106">
        <v>3476866.0685811499</v>
      </c>
      <c r="I75" s="106">
        <v>38434.762720000006</v>
      </c>
      <c r="J75" s="91">
        <f t="shared" si="28"/>
        <v>4927078.3106617322</v>
      </c>
      <c r="K75" s="90"/>
      <c r="L75" s="90">
        <f>IF(allocation_method&gt;=6,CHOOSE(gen_choice,'Generation Calculations'!H79-'Generation Calculations'!I79+'Generation Calculations'!J79,'Generation Calculations'!G79+'Generation Calculations'!H79-'Generation Calculations'!I79+'Generation Calculations'!J79),0)</f>
        <v>0</v>
      </c>
      <c r="M75" s="90">
        <f>'Test Year 2001 Sales and Revs.'!K79</f>
        <v>835538.32000000007</v>
      </c>
      <c r="N75" s="90">
        <f>CHOOSE(allocation_method,'RSP Surch Allocations'!E76,'RSP Surch Allocations'!J76,'RSP Surch Allocations'!N76,'RSP Surch Allocations'!Q76,'RSP Surch Allocations'!AA76,'RSP Surch Allocations'!AH76,'RSP Surch Allocations'!AS76,'RSP Surch Allocations'!BD76,'RSP Surch Allocations'!BO76,'RSP Surch Allocations'!BZ76,)</f>
        <v>3197506.8884441764</v>
      </c>
      <c r="O75" s="91">
        <f t="shared" si="29"/>
        <v>13516870.602028897</v>
      </c>
      <c r="P75" s="145">
        <f t="shared" si="30"/>
        <v>4033045</v>
      </c>
      <c r="Q75" s="177">
        <f>'Test Year 2001 Sales and Revs.'!F79</f>
        <v>83553832</v>
      </c>
      <c r="R75" s="92">
        <f t="shared" si="31"/>
        <v>11.350557079877223</v>
      </c>
      <c r="S75" s="92">
        <f t="shared" si="31"/>
        <v>0.70543744840073674</v>
      </c>
      <c r="T75" s="92">
        <f t="shared" si="31"/>
        <v>0.219</v>
      </c>
      <c r="U75" s="92">
        <f t="shared" si="31"/>
        <v>0.32200000000000006</v>
      </c>
      <c r="V75" s="92">
        <f t="shared" si="31"/>
        <v>4.1612287376372512</v>
      </c>
      <c r="W75" s="92">
        <f t="shared" si="31"/>
        <v>4.6000000000000006E-2</v>
      </c>
      <c r="X75" s="92">
        <f t="shared" si="31"/>
        <v>5.8968908938392346</v>
      </c>
      <c r="Y75" s="92">
        <f t="shared" si="31"/>
        <v>0</v>
      </c>
      <c r="Z75" s="92">
        <f t="shared" si="31"/>
        <v>0</v>
      </c>
      <c r="AA75" s="281">
        <f t="shared" si="31"/>
        <v>1</v>
      </c>
      <c r="AB75" s="92">
        <f t="shared" si="31"/>
        <v>3.8268823965418801</v>
      </c>
      <c r="AC75" s="92">
        <f t="shared" si="31"/>
        <v>16.177439476419103</v>
      </c>
      <c r="AD75" s="92"/>
      <c r="AE75" s="93"/>
      <c r="AF75" s="74">
        <f t="shared" si="32"/>
        <v>0.30985504312004059</v>
      </c>
      <c r="AG75" s="92">
        <f t="shared" si="33"/>
        <v>12.350557079877223</v>
      </c>
      <c r="AH75" s="92"/>
      <c r="AI75" s="74"/>
      <c r="AJ75" s="74"/>
      <c r="AK75" s="74"/>
      <c r="AL75" s="74"/>
      <c r="AM75" s="74"/>
      <c r="AN75" s="86"/>
      <c r="AO75" s="86"/>
      <c r="AP75" s="86"/>
      <c r="AQ75" s="82"/>
      <c r="AR75" s="86"/>
      <c r="AS75" s="87"/>
      <c r="AT75" s="87"/>
      <c r="AU75" s="86"/>
      <c r="AV75" s="87"/>
      <c r="AW75" s="86"/>
      <c r="AX75" s="87"/>
      <c r="AY75" s="86"/>
      <c r="AZ75" s="87"/>
      <c r="BA75" s="86"/>
      <c r="BB75" s="87"/>
      <c r="BC75" s="86"/>
      <c r="BD75" s="87"/>
      <c r="BE75" s="86"/>
      <c r="BF75" s="88"/>
    </row>
    <row r="76" spans="1:58" s="11" customFormat="1">
      <c r="A76" s="72"/>
      <c r="B76" s="89" t="s">
        <v>63</v>
      </c>
      <c r="C76" s="73"/>
      <c r="D76" s="387">
        <f>'Test Year 2001 Sales and Revs.'!G80</f>
        <v>40438630.76314076</v>
      </c>
      <c r="E76" s="186">
        <v>1756019.1980308734</v>
      </c>
      <c r="F76" s="106">
        <v>545147.56319999998</v>
      </c>
      <c r="G76" s="106">
        <v>1117678.9972000001</v>
      </c>
      <c r="H76" s="106">
        <v>16086226.3742474</v>
      </c>
      <c r="I76" s="106">
        <v>166780.60759999999</v>
      </c>
      <c r="J76" s="91">
        <f t="shared" si="28"/>
        <v>20766778.022862487</v>
      </c>
      <c r="K76" s="90"/>
      <c r="L76" s="90">
        <f>IF(allocation_method&gt;=6,CHOOSE(gen_choice,'Generation Calculations'!H80-'Generation Calculations'!I80+'Generation Calculations'!J80,'Generation Calculations'!G80+'Generation Calculations'!H80-'Generation Calculations'!I80+'Generation Calculations'!J80),0)</f>
        <v>0</v>
      </c>
      <c r="M76" s="90">
        <f>'Test Year 2001 Sales and Revs.'!K80</f>
        <v>2489262.8000000003</v>
      </c>
      <c r="N76" s="90">
        <f>CHOOSE(allocation_method,'RSP Surch Allocations'!E77,'RSP Surch Allocations'!J77,'RSP Surch Allocations'!N77,'RSP Surch Allocations'!Q77,'RSP Surch Allocations'!AA77,'RSP Surch Allocations'!AH77,'RSP Surch Allocations'!AS77,'RSP Surch Allocations'!BD77,'RSP Surch Allocations'!BO77,'RSP Surch Allocations'!BZ77,)</f>
        <v>9526115.9896865506</v>
      </c>
      <c r="O76" s="91">
        <f t="shared" si="29"/>
        <v>52454009.552827306</v>
      </c>
      <c r="P76" s="145">
        <f t="shared" si="30"/>
        <v>12015379</v>
      </c>
      <c r="Q76" s="177">
        <f>'Test Year 2001 Sales and Revs.'!$J$80</f>
        <v>248926280</v>
      </c>
      <c r="R76" s="92">
        <f t="shared" si="31"/>
        <v>16.245223591153476</v>
      </c>
      <c r="S76" s="92">
        <f t="shared" si="31"/>
        <v>0.70543744840073674</v>
      </c>
      <c r="T76" s="92">
        <f t="shared" si="31"/>
        <v>0.21899960229189139</v>
      </c>
      <c r="U76" s="92">
        <f t="shared" si="31"/>
        <v>0.44900000000000001</v>
      </c>
      <c r="V76" s="92">
        <f t="shared" si="31"/>
        <v>6.4622451170070914</v>
      </c>
      <c r="W76" s="92">
        <f t="shared" si="31"/>
        <v>6.699999999999999E-2</v>
      </c>
      <c r="X76" s="92">
        <f t="shared" si="31"/>
        <v>8.342541423453758</v>
      </c>
      <c r="Y76" s="92">
        <f t="shared" si="31"/>
        <v>0</v>
      </c>
      <c r="Z76" s="92">
        <f t="shared" si="31"/>
        <v>0</v>
      </c>
      <c r="AA76" s="281">
        <f t="shared" si="31"/>
        <v>1.0000000000000002</v>
      </c>
      <c r="AB76" s="92">
        <f t="shared" si="31"/>
        <v>3.8268823965418801</v>
      </c>
      <c r="AC76" s="92">
        <f t="shared" si="31"/>
        <v>21.072105987695355</v>
      </c>
      <c r="AD76" s="92"/>
      <c r="AE76" s="93"/>
      <c r="AF76" s="74">
        <f t="shared" si="32"/>
        <v>0.22190970017373443</v>
      </c>
      <c r="AG76" s="92">
        <f t="shared" si="33"/>
        <v>17.245223591153476</v>
      </c>
      <c r="AH76" s="92"/>
      <c r="AI76" s="74"/>
      <c r="AJ76" s="74"/>
      <c r="AK76" s="74"/>
      <c r="AL76" s="74"/>
      <c r="AM76" s="74"/>
      <c r="AN76" s="86"/>
      <c r="AO76" s="86"/>
      <c r="AP76" s="86"/>
      <c r="AQ76" s="82"/>
      <c r="AR76" s="86"/>
      <c r="AS76" s="87"/>
      <c r="AT76" s="87"/>
      <c r="AU76" s="86"/>
      <c r="AV76" s="87"/>
      <c r="AW76" s="86"/>
      <c r="AX76" s="87"/>
      <c r="AY76" s="86"/>
      <c r="AZ76" s="87"/>
      <c r="BA76" s="86"/>
      <c r="BB76" s="87"/>
      <c r="BC76" s="86"/>
      <c r="BD76" s="87"/>
      <c r="BE76" s="86"/>
      <c r="BF76" s="88"/>
    </row>
    <row r="77" spans="1:58" s="11" customFormat="1">
      <c r="A77" s="72"/>
      <c r="B77" s="89" t="s">
        <v>64</v>
      </c>
      <c r="C77" s="73" t="s">
        <v>28</v>
      </c>
      <c r="D77" s="106">
        <v>3626446.4047018401</v>
      </c>
      <c r="E77" s="186">
        <v>181810.91215768023</v>
      </c>
      <c r="F77" s="106">
        <v>56442.410099999994</v>
      </c>
      <c r="G77" s="106">
        <v>102833.43209999998</v>
      </c>
      <c r="H77" s="106">
        <v>1304747.53605978</v>
      </c>
      <c r="I77" s="106">
        <v>15205.946099999999</v>
      </c>
      <c r="J77" s="91">
        <f t="shared" si="28"/>
        <v>1965406.1681843798</v>
      </c>
      <c r="K77" s="90"/>
      <c r="L77" s="90">
        <f>IF(allocation_method&gt;=6,CHOOSE(gen_choice,'Generation Calculations'!H81-'Generation Calculations'!I81+'Generation Calculations'!J81,'Generation Calculations'!G81+'Generation Calculations'!H81-'Generation Calculations'!I81+'Generation Calculations'!J81),0)</f>
        <v>0</v>
      </c>
      <c r="M77" s="90">
        <f>'Test Year 2001 Sales and Revs.'!K81</f>
        <v>257727.89999999997</v>
      </c>
      <c r="N77" s="90">
        <f>CHOOSE(allocation_method,'RSP Surch Allocations'!E78,'RSP Surch Allocations'!J78,'RSP Surch Allocations'!N78,'RSP Surch Allocations'!Q78,'RSP Surch Allocations'!AA78,'RSP Surch Allocations'!AH78,'RSP Surch Allocations'!AS78,'RSP Surch Allocations'!BD78,'RSP Surch Allocations'!BO78,'RSP Surch Allocations'!BZ78,)</f>
        <v>986294.36360770592</v>
      </c>
      <c r="O77" s="91">
        <f t="shared" si="29"/>
        <v>4870468.6683095461</v>
      </c>
      <c r="P77" s="145">
        <f t="shared" si="30"/>
        <v>1244022</v>
      </c>
      <c r="Q77" s="177">
        <v>25772789.999999996</v>
      </c>
      <c r="R77" s="92">
        <f t="shared" si="31"/>
        <v>14.070833637731269</v>
      </c>
      <c r="S77" s="92">
        <f t="shared" si="31"/>
        <v>0.70543744840073686</v>
      </c>
      <c r="T77" s="92">
        <f t="shared" si="31"/>
        <v>0.219</v>
      </c>
      <c r="U77" s="92">
        <f t="shared" si="31"/>
        <v>0.39899999999999997</v>
      </c>
      <c r="V77" s="92">
        <f t="shared" si="31"/>
        <v>5.0625001641645326</v>
      </c>
      <c r="W77" s="92">
        <f t="shared" si="31"/>
        <v>5.9000000000000004E-2</v>
      </c>
      <c r="X77" s="92">
        <f t="shared" si="31"/>
        <v>7.6258960251659982</v>
      </c>
      <c r="Y77" s="92">
        <f t="shared" si="31"/>
        <v>0</v>
      </c>
      <c r="Z77" s="92">
        <f t="shared" si="31"/>
        <v>0</v>
      </c>
      <c r="AA77" s="281">
        <f t="shared" si="31"/>
        <v>1</v>
      </c>
      <c r="AB77" s="92">
        <f t="shared" si="31"/>
        <v>3.8268823965418801</v>
      </c>
      <c r="AC77" s="92">
        <f t="shared" si="31"/>
        <v>18.897716034273149</v>
      </c>
      <c r="AD77" s="92"/>
      <c r="AE77" s="93"/>
      <c r="AF77" s="74">
        <f t="shared" si="32"/>
        <v>0.25392639110293902</v>
      </c>
      <c r="AG77" s="92">
        <f t="shared" si="33"/>
        <v>15.070833637731269</v>
      </c>
      <c r="AH77" s="92"/>
      <c r="AI77" s="74"/>
      <c r="AJ77" s="74"/>
      <c r="AK77" s="74"/>
      <c r="AL77" s="74"/>
      <c r="AM77" s="74"/>
      <c r="AN77" s="86"/>
      <c r="AO77" s="86"/>
      <c r="AP77" s="86"/>
      <c r="AQ77" s="82"/>
      <c r="AR77" s="86"/>
      <c r="AS77" s="87"/>
      <c r="AT77" s="87"/>
      <c r="AU77" s="86"/>
      <c r="AV77" s="87"/>
      <c r="AW77" s="86"/>
      <c r="AX77" s="87"/>
      <c r="AY77" s="86"/>
      <c r="AZ77" s="87"/>
      <c r="BA77" s="86"/>
      <c r="BB77" s="87"/>
      <c r="BC77" s="86"/>
      <c r="BD77" s="87"/>
      <c r="BE77" s="86"/>
      <c r="BF77" s="88"/>
    </row>
    <row r="78" spans="1:58" s="11" customFormat="1">
      <c r="A78" s="72"/>
      <c r="B78" s="89" t="s">
        <v>65</v>
      </c>
      <c r="C78" s="73" t="s">
        <v>28</v>
      </c>
      <c r="D78" s="106">
        <v>2416368.2660997361</v>
      </c>
      <c r="E78" s="186">
        <v>128685.264443569</v>
      </c>
      <c r="F78" s="106">
        <v>39947.782899999998</v>
      </c>
      <c r="G78" s="106">
        <v>68224.743399999992</v>
      </c>
      <c r="H78" s="106">
        <v>901982.15177470294</v>
      </c>
      <c r="I78" s="106">
        <v>10033.050500000001</v>
      </c>
      <c r="J78" s="91">
        <f t="shared" si="28"/>
        <v>1267495.2730814642</v>
      </c>
      <c r="K78" s="90"/>
      <c r="L78" s="90">
        <f>IF(allocation_method&gt;=6,CHOOSE(gen_choice,'Generation Calculations'!H82-'Generation Calculations'!I82+'Generation Calculations'!J82,'Generation Calculations'!G82+'Generation Calculations'!H82-'Generation Calculations'!I82+'Generation Calculations'!J82),0)</f>
        <v>0</v>
      </c>
      <c r="M78" s="90">
        <f>'Test Year 2001 Sales and Revs.'!K82</f>
        <v>182419.1</v>
      </c>
      <c r="N78" s="90">
        <f>CHOOSE(allocation_method,'RSP Surch Allocations'!E79,'RSP Surch Allocations'!J79,'RSP Surch Allocations'!N79,'RSP Surch Allocations'!Q79,'RSP Surch Allocations'!AA79,'RSP Surch Allocations'!AH79,'RSP Surch Allocations'!AS79,'RSP Surch Allocations'!BD79,'RSP Surch Allocations'!BO79,'RSP Surch Allocations'!BZ79,)</f>
        <v>698096.44258301286</v>
      </c>
      <c r="O78" s="91">
        <f t="shared" si="29"/>
        <v>3296883.808682749</v>
      </c>
      <c r="P78" s="145">
        <f t="shared" si="30"/>
        <v>880516</v>
      </c>
      <c r="Q78" s="177">
        <v>18241910</v>
      </c>
      <c r="R78" s="92">
        <f t="shared" si="31"/>
        <v>13.246245958343925</v>
      </c>
      <c r="S78" s="92">
        <f t="shared" si="31"/>
        <v>0.70543744840079248</v>
      </c>
      <c r="T78" s="92">
        <f t="shared" si="31"/>
        <v>0.21898903623578889</v>
      </c>
      <c r="U78" s="92">
        <f t="shared" si="31"/>
        <v>0.37399999999999994</v>
      </c>
      <c r="V78" s="92">
        <f t="shared" si="31"/>
        <v>4.9445598173365779</v>
      </c>
      <c r="W78" s="92">
        <f t="shared" si="31"/>
        <v>5.5E-2</v>
      </c>
      <c r="X78" s="92">
        <f t="shared" si="31"/>
        <v>6.9482596563707641</v>
      </c>
      <c r="Y78" s="92">
        <f t="shared" si="31"/>
        <v>0</v>
      </c>
      <c r="Z78" s="92">
        <f t="shared" si="31"/>
        <v>0</v>
      </c>
      <c r="AA78" s="281">
        <f t="shared" si="31"/>
        <v>1</v>
      </c>
      <c r="AB78" s="92">
        <f t="shared" si="31"/>
        <v>3.8268823965418801</v>
      </c>
      <c r="AC78" s="92">
        <f t="shared" si="31"/>
        <v>18.073128354885803</v>
      </c>
      <c r="AD78" s="92"/>
      <c r="AE78" s="93"/>
      <c r="AF78" s="74">
        <f t="shared" si="32"/>
        <v>0.26862391732753288</v>
      </c>
      <c r="AG78" s="92">
        <f t="shared" si="33"/>
        <v>14.246245958343925</v>
      </c>
      <c r="AH78" s="92"/>
      <c r="AI78" s="74"/>
      <c r="AJ78" s="74"/>
      <c r="AK78" s="74"/>
      <c r="AL78" s="74"/>
      <c r="AM78" s="74"/>
      <c r="AN78" s="86"/>
      <c r="AO78" s="86"/>
      <c r="AP78" s="86"/>
      <c r="AQ78" s="82"/>
      <c r="AR78" s="86"/>
      <c r="AS78" s="87"/>
      <c r="AT78" s="87"/>
      <c r="AU78" s="86"/>
      <c r="AV78" s="87"/>
      <c r="AW78" s="86"/>
      <c r="AX78" s="87"/>
      <c r="AY78" s="86"/>
      <c r="AZ78" s="87"/>
      <c r="BA78" s="86"/>
      <c r="BB78" s="87"/>
      <c r="BC78" s="86"/>
      <c r="BD78" s="87"/>
      <c r="BE78" s="86"/>
      <c r="BF78" s="88"/>
    </row>
    <row r="79" spans="1:58" s="11" customFormat="1" ht="12.75" hidden="1" customHeight="1">
      <c r="A79" s="72"/>
      <c r="B79" s="89" t="s">
        <v>66</v>
      </c>
      <c r="C79" s="73" t="s">
        <v>28</v>
      </c>
      <c r="D79" s="106"/>
      <c r="E79" s="186"/>
      <c r="F79" s="106">
        <v>820956.79185000015</v>
      </c>
      <c r="G79" s="106">
        <v>1354561.30057</v>
      </c>
      <c r="H79" s="106">
        <v>16278393.359900219</v>
      </c>
      <c r="I79" s="106">
        <v>195116.86324000001</v>
      </c>
      <c r="J79" s="91"/>
      <c r="K79" s="90"/>
      <c r="L79" s="90">
        <f>IF(allocation_method&gt;=6,CHOOSE(gen_choice,'Generation Calculations'!H83-'Generation Calculations'!I83+'Generation Calculations'!J83,'Generation Calculations'!G83+'Generation Calculations'!H83-'Generation Calculations'!I83+'Generation Calculations'!J83),0)</f>
        <v>0</v>
      </c>
      <c r="M79" s="90"/>
      <c r="N79" s="90"/>
      <c r="O79" s="91"/>
      <c r="P79" s="145">
        <f t="shared" si="30"/>
        <v>0</v>
      </c>
      <c r="Q79" s="177"/>
      <c r="R79" s="92"/>
      <c r="S79" s="92"/>
      <c r="T79" s="92"/>
      <c r="U79" s="92"/>
      <c r="V79" s="92"/>
      <c r="W79" s="92"/>
      <c r="X79" s="92"/>
      <c r="Y79" s="92"/>
      <c r="Z79" s="92"/>
      <c r="AA79" s="281"/>
      <c r="AB79" s="92"/>
      <c r="AC79" s="92"/>
      <c r="AD79" s="92"/>
      <c r="AE79" s="93"/>
      <c r="AF79" s="74"/>
      <c r="AG79" s="92">
        <f t="shared" si="33"/>
        <v>0</v>
      </c>
      <c r="AH79" s="92"/>
      <c r="AI79" s="74"/>
      <c r="AJ79" s="74"/>
      <c r="AK79" s="74"/>
      <c r="AL79" s="74"/>
      <c r="AM79" s="74"/>
      <c r="AN79" s="86"/>
      <c r="AO79" s="86"/>
      <c r="AP79" s="86"/>
      <c r="AQ79" s="82"/>
      <c r="AR79" s="86"/>
      <c r="AS79" s="87"/>
      <c r="AT79" s="87"/>
      <c r="AU79" s="86"/>
      <c r="AV79" s="87"/>
      <c r="AW79" s="86"/>
      <c r="AX79" s="87"/>
      <c r="AY79" s="86"/>
      <c r="AZ79" s="87"/>
      <c r="BA79" s="86"/>
      <c r="BB79" s="87"/>
      <c r="BC79" s="86"/>
      <c r="BD79" s="87"/>
      <c r="BE79" s="86"/>
      <c r="BF79" s="88"/>
    </row>
    <row r="80" spans="1:58" s="11" customFormat="1" ht="12.75" hidden="1" customHeight="1">
      <c r="A80" s="72"/>
      <c r="B80" s="89" t="s">
        <v>66</v>
      </c>
      <c r="C80" s="73" t="s">
        <v>27</v>
      </c>
      <c r="D80" s="106"/>
      <c r="E80" s="186"/>
      <c r="F80" s="106">
        <v>785.38218000000006</v>
      </c>
      <c r="G80" s="106">
        <v>144742.77330999999</v>
      </c>
      <c r="H80" s="106">
        <v>2347419.3861034298</v>
      </c>
      <c r="I80" s="106">
        <v>21347.16041</v>
      </c>
      <c r="J80" s="91"/>
      <c r="K80" s="90"/>
      <c r="L80" s="90">
        <f>IF(allocation_method&gt;=6,CHOOSE(gen_choice,'Generation Calculations'!H84-'Generation Calculations'!I84+'Generation Calculations'!J84,'Generation Calculations'!G84+'Generation Calculations'!H84-'Generation Calculations'!I84+'Generation Calculations'!J84),0)</f>
        <v>0</v>
      </c>
      <c r="M80" s="90"/>
      <c r="N80" s="90"/>
      <c r="O80" s="91"/>
      <c r="P80" s="145">
        <f t="shared" si="30"/>
        <v>0</v>
      </c>
      <c r="Q80" s="177"/>
      <c r="R80" s="92"/>
      <c r="S80" s="92"/>
      <c r="T80" s="92"/>
      <c r="U80" s="92"/>
      <c r="V80" s="92"/>
      <c r="W80" s="92"/>
      <c r="X80" s="92"/>
      <c r="Y80" s="92"/>
      <c r="Z80" s="92"/>
      <c r="AA80" s="281"/>
      <c r="AB80" s="92"/>
      <c r="AC80" s="92"/>
      <c r="AD80" s="92"/>
      <c r="AE80" s="93"/>
      <c r="AF80" s="74"/>
      <c r="AG80" s="92">
        <f t="shared" si="33"/>
        <v>0</v>
      </c>
      <c r="AH80" s="92"/>
      <c r="AI80" s="74"/>
      <c r="AJ80" s="74"/>
      <c r="AK80" s="74"/>
      <c r="AL80" s="74"/>
      <c r="AM80" s="74"/>
      <c r="AN80" s="86"/>
      <c r="AO80" s="86"/>
      <c r="AP80" s="86"/>
      <c r="AQ80" s="82"/>
      <c r="AR80" s="86"/>
      <c r="AS80" s="87"/>
      <c r="AT80" s="87"/>
      <c r="AU80" s="86"/>
      <c r="AV80" s="87"/>
      <c r="AW80" s="86"/>
      <c r="AX80" s="87"/>
      <c r="AY80" s="86"/>
      <c r="AZ80" s="87"/>
      <c r="BA80" s="86"/>
      <c r="BB80" s="87"/>
      <c r="BC80" s="86"/>
      <c r="BD80" s="87"/>
      <c r="BE80" s="86"/>
      <c r="BF80" s="88"/>
    </row>
    <row r="81" spans="1:58" s="11" customFormat="1">
      <c r="A81" s="72"/>
      <c r="B81" s="89" t="s">
        <v>67</v>
      </c>
      <c r="C81" s="73"/>
      <c r="D81" s="387">
        <f>'Test Year 2001 Sales and Revs.'!G85</f>
        <v>48359561.124914974</v>
      </c>
      <c r="E81" s="186">
        <v>2646975.8104611756</v>
      </c>
      <c r="F81" s="106">
        <v>821742.17403000011</v>
      </c>
      <c r="G81" s="106">
        <v>1354561.30057</v>
      </c>
      <c r="H81" s="106">
        <v>16278393.359900219</v>
      </c>
      <c r="I81" s="106">
        <v>195116.86324000001</v>
      </c>
      <c r="J81" s="91">
        <f>D81-SUM(E81:I81,K81)</f>
        <v>27062771.61671358</v>
      </c>
      <c r="K81" s="90"/>
      <c r="L81" s="90">
        <f>IF(allocation_method&gt;=6,CHOOSE(gen_choice,'Generation Calculations'!H85-'Generation Calculations'!I85+'Generation Calculations'!J85,'Generation Calculations'!G85+'Generation Calculations'!H85-'Generation Calculations'!I85+'Generation Calculations'!J85),0)</f>
        <v>0</v>
      </c>
      <c r="M81" s="90">
        <f>'Test Year 2001 Sales and Revs.'!K85</f>
        <v>3752247.3700000006</v>
      </c>
      <c r="N81" s="90">
        <f>CHOOSE(allocation_method,'RSP Surch Allocations'!E82,'RSP Surch Allocations'!J82,'RSP Surch Allocations'!N82,'RSP Surch Allocations'!Q82,'RSP Surch Allocations'!AA82,'RSP Surch Allocations'!AH82,'RSP Surch Allocations'!AS82,'RSP Surch Allocations'!BD82,'RSP Surch Allocations'!BO82,'RSP Surch Allocations'!BZ82,)</f>
        <v>14359409.407723568</v>
      </c>
      <c r="O81" s="91">
        <f>SUM(E81:N81)</f>
        <v>66471217.90263854</v>
      </c>
      <c r="P81" s="145">
        <f t="shared" si="30"/>
        <v>18111657</v>
      </c>
      <c r="Q81" s="177">
        <v>375224737.00000006</v>
      </c>
      <c r="R81" s="92">
        <f t="shared" ref="R81:AC82" si="34">D81/$Q81*100</f>
        <v>12.888159110073536</v>
      </c>
      <c r="S81" s="92">
        <f t="shared" si="34"/>
        <v>0.70543744840073674</v>
      </c>
      <c r="T81" s="92">
        <f t="shared" si="34"/>
        <v>0.219</v>
      </c>
      <c r="U81" s="92">
        <f t="shared" si="34"/>
        <v>0.36099999999999993</v>
      </c>
      <c r="V81" s="92">
        <f t="shared" si="34"/>
        <v>4.3383049555979083</v>
      </c>
      <c r="W81" s="92">
        <f t="shared" si="34"/>
        <v>5.1999999999999998E-2</v>
      </c>
      <c r="X81" s="92">
        <f t="shared" si="34"/>
        <v>7.212416706074892</v>
      </c>
      <c r="Y81" s="92">
        <f t="shared" si="34"/>
        <v>0</v>
      </c>
      <c r="Z81" s="92">
        <f t="shared" si="34"/>
        <v>0</v>
      </c>
      <c r="AA81" s="281">
        <f t="shared" si="34"/>
        <v>1</v>
      </c>
      <c r="AB81" s="92">
        <f t="shared" si="34"/>
        <v>3.8268823965418801</v>
      </c>
      <c r="AC81" s="92">
        <f t="shared" si="34"/>
        <v>17.715041506615414</v>
      </c>
      <c r="AD81" s="92"/>
      <c r="AE81" s="93"/>
      <c r="AF81" s="74">
        <f>(AC81-AG81)/AG81</f>
        <v>0.275550011071382</v>
      </c>
      <c r="AG81" s="92">
        <f t="shared" si="33"/>
        <v>13.888159110073536</v>
      </c>
      <c r="AH81" s="92"/>
      <c r="AI81" s="74"/>
      <c r="AJ81" s="74"/>
      <c r="AK81" s="74"/>
      <c r="AL81" s="74"/>
      <c r="AM81" s="74"/>
      <c r="AN81" s="86"/>
      <c r="AO81" s="86"/>
      <c r="AP81" s="86"/>
      <c r="AQ81" s="82"/>
      <c r="AR81" s="86"/>
      <c r="AS81" s="87"/>
      <c r="AT81" s="87"/>
      <c r="AU81" s="86"/>
      <c r="AV81" s="87"/>
      <c r="AW81" s="86"/>
      <c r="AX81" s="87"/>
      <c r="AY81" s="86"/>
      <c r="AZ81" s="87"/>
      <c r="BA81" s="86"/>
      <c r="BB81" s="87"/>
      <c r="BC81" s="86"/>
      <c r="BD81" s="87"/>
      <c r="BE81" s="86"/>
      <c r="BF81" s="88"/>
    </row>
    <row r="82" spans="1:58" s="11" customFormat="1" ht="13.5" customHeight="1">
      <c r="A82" s="72"/>
      <c r="B82" s="89" t="s">
        <v>68</v>
      </c>
      <c r="C82" s="73" t="s">
        <v>28</v>
      </c>
      <c r="D82" s="106">
        <v>5123187.2002304737</v>
      </c>
      <c r="E82" s="186">
        <v>264206.873818947</v>
      </c>
      <c r="F82" s="106">
        <v>82021.879470000014</v>
      </c>
      <c r="G82" s="106">
        <v>144742.77330999999</v>
      </c>
      <c r="H82" s="106">
        <v>2347419.3861034298</v>
      </c>
      <c r="I82" s="106">
        <v>21347.16041</v>
      </c>
      <c r="J82" s="91">
        <f>D82-SUM(E82:I82,K82)</f>
        <v>2263449.1271180967</v>
      </c>
      <c r="K82" s="90"/>
      <c r="L82" s="90">
        <f>IF(allocation_method&gt;=6,CHOOSE(gen_choice,'Generation Calculations'!H86-'Generation Calculations'!I86+'Generation Calculations'!J86,'Generation Calculations'!G86+'Generation Calculations'!H86-'Generation Calculations'!I86+'Generation Calculations'!J86),0)</f>
        <v>0</v>
      </c>
      <c r="M82" s="90">
        <f>'Test Year 2001 Sales and Revs.'!K86</f>
        <v>374529.13</v>
      </c>
      <c r="N82" s="90">
        <f>CHOOSE(allocation_method,'RSP Surch Allocations'!E83,'RSP Surch Allocations'!J83,'RSP Surch Allocations'!N83,'RSP Surch Allocations'!Q83,'RSP Surch Allocations'!AA83,'RSP Surch Allocations'!AH83,'RSP Surch Allocations'!AS83,'RSP Surch Allocations'!BD83,'RSP Surch Allocations'!BO83,'RSP Surch Allocations'!BZ83,)</f>
        <v>1433278.9345891455</v>
      </c>
      <c r="O82" s="91">
        <f>SUM(E82:N82)</f>
        <v>6930995.2648196192</v>
      </c>
      <c r="P82" s="145">
        <f t="shared" si="30"/>
        <v>1807808</v>
      </c>
      <c r="Q82" s="177">
        <v>37452913</v>
      </c>
      <c r="R82" s="92">
        <f t="shared" si="34"/>
        <v>13.679008626726773</v>
      </c>
      <c r="S82" s="92">
        <f t="shared" si="34"/>
        <v>0.70543744840073463</v>
      </c>
      <c r="T82" s="92">
        <f t="shared" si="34"/>
        <v>0.21900000000000006</v>
      </c>
      <c r="U82" s="92">
        <f t="shared" si="34"/>
        <v>0.38646599614294352</v>
      </c>
      <c r="V82" s="92">
        <f t="shared" si="34"/>
        <v>6.2676550315416844</v>
      </c>
      <c r="W82" s="92">
        <f t="shared" si="34"/>
        <v>5.6997329980714717E-2</v>
      </c>
      <c r="X82" s="92">
        <f t="shared" si="34"/>
        <v>6.0434528206606961</v>
      </c>
      <c r="Y82" s="92">
        <f t="shared" si="34"/>
        <v>0</v>
      </c>
      <c r="Z82" s="92">
        <f t="shared" si="34"/>
        <v>0</v>
      </c>
      <c r="AA82" s="281">
        <f t="shared" si="34"/>
        <v>1</v>
      </c>
      <c r="AB82" s="92">
        <f t="shared" si="34"/>
        <v>3.8268823965418801</v>
      </c>
      <c r="AC82" s="92">
        <f t="shared" si="34"/>
        <v>18.505891023268656</v>
      </c>
      <c r="AD82" s="92"/>
      <c r="AE82" s="93"/>
      <c r="AF82" s="74">
        <f>(AC82-AG82)/AG82</f>
        <v>0.26070441770666281</v>
      </c>
      <c r="AG82" s="92">
        <f t="shared" si="33"/>
        <v>14.679008626726773</v>
      </c>
      <c r="AH82" s="92"/>
      <c r="AI82" s="74"/>
      <c r="AJ82" s="74"/>
      <c r="AK82" s="74"/>
      <c r="AL82" s="74"/>
      <c r="AM82" s="74"/>
      <c r="AN82" s="86"/>
      <c r="AO82" s="86"/>
      <c r="AP82" s="86"/>
      <c r="AQ82" s="82"/>
      <c r="AR82" s="86"/>
      <c r="AS82" s="87"/>
      <c r="AT82" s="87"/>
      <c r="AU82" s="86"/>
      <c r="AV82" s="87"/>
      <c r="AW82" s="86"/>
      <c r="AX82" s="87"/>
      <c r="AY82" s="86"/>
      <c r="AZ82" s="87"/>
      <c r="BA82" s="86"/>
      <c r="BB82" s="87"/>
      <c r="BC82" s="86"/>
      <c r="BD82" s="87"/>
      <c r="BE82" s="86"/>
      <c r="BF82" s="88"/>
    </row>
    <row r="83" spans="1:58" s="11" customFormat="1" hidden="1">
      <c r="A83" s="72"/>
      <c r="B83" s="105" t="s">
        <v>69</v>
      </c>
      <c r="C83" s="73" t="s">
        <v>28</v>
      </c>
      <c r="D83" s="106">
        <v>170334703.653189</v>
      </c>
      <c r="E83" s="186"/>
      <c r="F83" s="106">
        <v>4269067.6611599997</v>
      </c>
      <c r="G83" s="106">
        <v>0</v>
      </c>
      <c r="H83" s="106">
        <v>0</v>
      </c>
      <c r="I83" s="106">
        <v>0</v>
      </c>
      <c r="J83" s="91"/>
      <c r="K83" s="90"/>
      <c r="L83" s="90"/>
      <c r="M83" s="90"/>
      <c r="N83" s="90">
        <f>CHOOSE(allocation_method,'RSP Surch Allocations'!E84,'RSP Surch Allocations'!J84,'RSP Surch Allocations'!N84,'RSP Surch Allocations'!Q84,'RSP Surch Allocations'!AH84,'RSP Surch Allocations'!AS84,'RSP Surch Allocations'!BD84,'RSP Surch Allocations'!BO84)</f>
        <v>74599177.544015601</v>
      </c>
      <c r="O83" s="91"/>
      <c r="P83" s="145"/>
      <c r="Q83" s="177">
        <v>1947345964</v>
      </c>
      <c r="R83" s="92"/>
      <c r="S83" s="92"/>
      <c r="T83" s="92"/>
      <c r="U83" s="92">
        <f t="shared" ref="U83:U90" si="35">G83/$Q83*100</f>
        <v>0</v>
      </c>
      <c r="V83" s="92"/>
      <c r="W83" s="92"/>
      <c r="X83" s="92">
        <f t="shared" ref="X83:AB90" si="36">J83/$Q83*100</f>
        <v>0</v>
      </c>
      <c r="Y83" s="92">
        <f t="shared" si="36"/>
        <v>0</v>
      </c>
      <c r="Z83" s="92">
        <f t="shared" si="36"/>
        <v>0</v>
      </c>
      <c r="AA83" s="281">
        <f t="shared" si="36"/>
        <v>0</v>
      </c>
      <c r="AB83" s="92">
        <f t="shared" si="36"/>
        <v>3.8308127535172583</v>
      </c>
      <c r="AC83" s="92"/>
      <c r="AD83" s="92"/>
      <c r="AE83" s="93"/>
      <c r="AF83" s="74"/>
      <c r="AG83" s="92">
        <f t="shared" si="33"/>
        <v>0</v>
      </c>
      <c r="AH83" s="92"/>
      <c r="AI83" s="74"/>
      <c r="AJ83" s="74"/>
      <c r="AK83" s="74"/>
      <c r="AL83" s="74"/>
      <c r="AM83" s="74"/>
      <c r="AN83" s="86"/>
      <c r="AO83" s="86"/>
      <c r="AP83" s="86"/>
      <c r="AQ83" s="82"/>
      <c r="AR83" s="86"/>
      <c r="AS83" s="87"/>
      <c r="AT83" s="87"/>
      <c r="AU83" s="86"/>
      <c r="AV83" s="87"/>
      <c r="AW83" s="86"/>
      <c r="AX83" s="87"/>
      <c r="AY83" s="86"/>
      <c r="AZ83" s="87"/>
      <c r="BA83" s="86"/>
      <c r="BB83" s="87"/>
      <c r="BC83" s="86"/>
      <c r="BD83" s="87"/>
      <c r="BE83" s="86"/>
      <c r="BF83" s="88"/>
    </row>
    <row r="84" spans="1:58" s="11" customFormat="1" hidden="1">
      <c r="A84" s="72"/>
      <c r="B84" s="105" t="s">
        <v>69</v>
      </c>
      <c r="C84" s="73" t="s">
        <v>27</v>
      </c>
      <c r="D84" s="106">
        <v>10511470</v>
      </c>
      <c r="E84" s="186"/>
      <c r="F84" s="106">
        <v>182143.69757999998</v>
      </c>
      <c r="G84" s="106">
        <v>2072923.5877800002</v>
      </c>
      <c r="H84" s="106">
        <v>35692770.270750001</v>
      </c>
      <c r="I84" s="106">
        <v>308538.39858750004</v>
      </c>
      <c r="J84" s="91"/>
      <c r="K84" s="90"/>
      <c r="L84" s="90"/>
      <c r="M84" s="90"/>
      <c r="N84" s="90">
        <f>CHOOSE(allocation_method,'RSP Surch Allocations'!E85,'RSP Surch Allocations'!J85,'RSP Surch Allocations'!N85,'RSP Surch Allocations'!Q85,'RSP Surch Allocations'!AH85,'RSP Surch Allocations'!AS85,'RSP Surch Allocations'!BD85,'RSP Surch Allocations'!BO85)</f>
        <v>3166067.1361153866</v>
      </c>
      <c r="O84" s="91"/>
      <c r="P84" s="145"/>
      <c r="Q84" s="177">
        <v>82732282</v>
      </c>
      <c r="R84" s="92"/>
      <c r="S84" s="92"/>
      <c r="T84" s="92"/>
      <c r="U84" s="92">
        <f t="shared" si="35"/>
        <v>2.505580092399724</v>
      </c>
      <c r="V84" s="92"/>
      <c r="W84" s="92"/>
      <c r="X84" s="92">
        <f t="shared" si="36"/>
        <v>0</v>
      </c>
      <c r="Y84" s="92">
        <f t="shared" si="36"/>
        <v>0</v>
      </c>
      <c r="Z84" s="92">
        <f t="shared" si="36"/>
        <v>0</v>
      </c>
      <c r="AA84" s="281">
        <f t="shared" si="36"/>
        <v>0</v>
      </c>
      <c r="AB84" s="92">
        <f t="shared" si="36"/>
        <v>3.8268823965418801</v>
      </c>
      <c r="AC84" s="92"/>
      <c r="AD84" s="92"/>
      <c r="AE84" s="93"/>
      <c r="AF84" s="74"/>
      <c r="AG84" s="92">
        <f t="shared" si="33"/>
        <v>0</v>
      </c>
      <c r="AH84" s="92"/>
      <c r="AI84" s="74"/>
      <c r="AJ84" s="74"/>
      <c r="AK84" s="74"/>
      <c r="AL84" s="74"/>
      <c r="AM84" s="74"/>
      <c r="AN84" s="86"/>
      <c r="AO84" s="86"/>
      <c r="AP84" s="86"/>
      <c r="AQ84" s="82"/>
      <c r="AR84" s="86"/>
      <c r="AS84" s="87"/>
      <c r="AT84" s="87"/>
      <c r="AU84" s="86"/>
      <c r="AV84" s="87"/>
      <c r="AW84" s="86"/>
      <c r="AX84" s="87"/>
      <c r="AY84" s="86"/>
      <c r="AZ84" s="87"/>
      <c r="BA84" s="86"/>
      <c r="BB84" s="87"/>
      <c r="BC84" s="86"/>
      <c r="BD84" s="87"/>
      <c r="BE84" s="86"/>
      <c r="BF84" s="88"/>
    </row>
    <row r="85" spans="1:58" s="11" customFormat="1" hidden="1">
      <c r="A85" s="72"/>
      <c r="B85" s="105" t="s">
        <v>69</v>
      </c>
      <c r="C85" s="73" t="s">
        <v>21</v>
      </c>
      <c r="D85" s="106">
        <v>3336803</v>
      </c>
      <c r="E85" s="186"/>
      <c r="F85" s="106">
        <v>152061.34038000001</v>
      </c>
      <c r="G85" s="106">
        <v>8742656.1306999996</v>
      </c>
      <c r="H85" s="106">
        <v>96682223.932239145</v>
      </c>
      <c r="I85" s="106">
        <v>1242318.0528500001</v>
      </c>
      <c r="J85" s="91"/>
      <c r="K85" s="90"/>
      <c r="L85" s="90"/>
      <c r="M85" s="90"/>
      <c r="N85" s="90">
        <f>CHOOSE(allocation_method,'RSP Surch Allocations'!E86,'RSP Surch Allocations'!J86,'RSP Surch Allocations'!N86,'RSP Surch Allocations'!Q86,'RSP Surch Allocations'!AH86,'RSP Surch Allocations'!AS86,'RSP Surch Allocations'!BD86,'RSP Surch Allocations'!BO86)</f>
        <v>2657172.9072821233</v>
      </c>
      <c r="O85" s="91"/>
      <c r="P85" s="145"/>
      <c r="Q85" s="180">
        <v>69434402</v>
      </c>
      <c r="R85" s="92"/>
      <c r="S85" s="92"/>
      <c r="T85" s="92"/>
      <c r="U85" s="92">
        <f t="shared" si="35"/>
        <v>12.59124566335287</v>
      </c>
      <c r="V85" s="92"/>
      <c r="W85" s="92"/>
      <c r="X85" s="92">
        <f t="shared" si="36"/>
        <v>0</v>
      </c>
      <c r="Y85" s="92">
        <f t="shared" si="36"/>
        <v>0</v>
      </c>
      <c r="Z85" s="92">
        <f t="shared" si="36"/>
        <v>0</v>
      </c>
      <c r="AA85" s="281">
        <f t="shared" si="36"/>
        <v>0</v>
      </c>
      <c r="AB85" s="92">
        <f t="shared" si="36"/>
        <v>3.8268823965418801</v>
      </c>
      <c r="AC85" s="92"/>
      <c r="AD85" s="92"/>
      <c r="AE85" s="93"/>
      <c r="AF85" s="74"/>
      <c r="AG85" s="92">
        <f t="shared" si="33"/>
        <v>0</v>
      </c>
      <c r="AH85" s="92"/>
      <c r="AI85" s="74"/>
      <c r="AJ85" s="74"/>
      <c r="AK85" s="74"/>
      <c r="AL85" s="74"/>
      <c r="AM85" s="74"/>
      <c r="AN85" s="86"/>
      <c r="AO85" s="86"/>
      <c r="AP85" s="86"/>
      <c r="AQ85" s="82"/>
      <c r="AR85" s="86"/>
      <c r="AS85" s="87"/>
      <c r="AT85" s="87"/>
      <c r="AU85" s="86"/>
      <c r="AV85" s="87"/>
      <c r="AW85" s="86"/>
      <c r="AX85" s="87"/>
      <c r="AY85" s="86"/>
      <c r="AZ85" s="87"/>
      <c r="BA85" s="86"/>
      <c r="BB85" s="87"/>
      <c r="BC85" s="86"/>
      <c r="BD85" s="87"/>
      <c r="BE85" s="86"/>
      <c r="BF85" s="88"/>
    </row>
    <row r="86" spans="1:58" s="11" customFormat="1">
      <c r="A86" s="72"/>
      <c r="B86" s="105" t="s">
        <v>70</v>
      </c>
      <c r="C86" s="72"/>
      <c r="D86" s="106">
        <v>184183076.65318903</v>
      </c>
      <c r="E86" s="186">
        <v>14724757.20187</v>
      </c>
      <c r="F86" s="106">
        <v>4603272.69912</v>
      </c>
      <c r="G86" s="106">
        <v>5647993.3907199996</v>
      </c>
      <c r="H86" s="106">
        <v>56630757.310199298</v>
      </c>
      <c r="I86" s="106">
        <v>777569.67975999997</v>
      </c>
      <c r="J86" s="91">
        <f>D86-SUM(E86:I86,K86)</f>
        <v>101798726.37151974</v>
      </c>
      <c r="K86" s="90"/>
      <c r="L86" s="90">
        <f>IF(allocation_method&gt;=6,CHOOSE(gen_choice,'Generation Calculations'!H89-'Generation Calculations'!I89+'Generation Calculations'!J89,'Generation Calculations'!G89+'Generation Calculations'!H89-'Generation Calculations'!I89+'Generation Calculations'!J89),0)</f>
        <v>0</v>
      </c>
      <c r="M86" s="90">
        <f>'Test Year 2001 Sales and Revs.'!K89</f>
        <v>21015126.479999997</v>
      </c>
      <c r="N86" s="90">
        <f>CHOOSE(allocation_method,'RSP Surch Allocations'!E87,'RSP Surch Allocations'!J87,'RSP Surch Allocations'!N87,'RSP Surch Allocations'!Q87,'RSP Surch Allocations'!AA87,'RSP Surch Allocations'!AH87,'RSP Surch Allocations'!AS87,'RSP Surch Allocations'!BD87,'RSP Surch Allocations'!BO87,'RSP Surch Allocations'!BZ87,)</f>
        <v>80422417.587413117</v>
      </c>
      <c r="O86" s="91">
        <f>SUM(E86:N86)</f>
        <v>285620620.72060215</v>
      </c>
      <c r="P86" s="145">
        <f>ROUND(O86-D86,0)</f>
        <v>101437544</v>
      </c>
      <c r="Q86" s="177">
        <f>'Test Year 2001 Sales and Revs.'!J89</f>
        <v>2101512647.9999998</v>
      </c>
      <c r="R86" s="92">
        <f t="shared" ref="R86:T90" si="37">D86/$Q86*100</f>
        <v>8.7643096903782727</v>
      </c>
      <c r="S86" s="92">
        <f t="shared" si="37"/>
        <v>0.70067421273355102</v>
      </c>
      <c r="T86" s="92">
        <f t="shared" si="37"/>
        <v>0.21904568138102401</v>
      </c>
      <c r="U86" s="92">
        <f t="shared" si="35"/>
        <v>0.26875847718999785</v>
      </c>
      <c r="V86" s="92">
        <f t="shared" ref="V86:W90" si="38">H86/$Q86*100</f>
        <v>2.6947616691288792</v>
      </c>
      <c r="W86" s="92">
        <f t="shared" si="38"/>
        <v>3.7000475847719004E-2</v>
      </c>
      <c r="X86" s="92">
        <f t="shared" si="36"/>
        <v>4.8440691740971031</v>
      </c>
      <c r="Y86" s="92">
        <f t="shared" si="36"/>
        <v>0</v>
      </c>
      <c r="Z86" s="92">
        <f t="shared" si="36"/>
        <v>0</v>
      </c>
      <c r="AA86" s="281">
        <f t="shared" si="36"/>
        <v>1</v>
      </c>
      <c r="AB86" s="92">
        <f t="shared" si="36"/>
        <v>3.8268823965418801</v>
      </c>
      <c r="AC86" s="92">
        <f>O86/$Q86*100</f>
        <v>13.591192086920154</v>
      </c>
      <c r="AD86" s="92"/>
      <c r="AE86" s="93"/>
      <c r="AF86" s="74">
        <f>(AC86-AG86)/AG86</f>
        <v>0.39192554495817378</v>
      </c>
      <c r="AG86" s="92">
        <f t="shared" si="33"/>
        <v>9.7643096903782727</v>
      </c>
      <c r="AH86" s="92"/>
      <c r="AI86" s="74"/>
      <c r="AJ86" s="74"/>
      <c r="AK86" s="74"/>
      <c r="AL86" s="74"/>
      <c r="AM86" s="74"/>
      <c r="AN86" s="86"/>
      <c r="AO86" s="86"/>
      <c r="AP86" s="86"/>
      <c r="AQ86" s="100"/>
      <c r="AR86" s="99"/>
      <c r="AS86" s="98"/>
      <c r="AT86" s="98"/>
      <c r="AU86" s="99"/>
      <c r="AV86" s="98"/>
      <c r="AW86" s="99"/>
      <c r="AX86" s="98"/>
      <c r="AY86" s="99"/>
      <c r="AZ86" s="98"/>
      <c r="BA86" s="99"/>
      <c r="BB86" s="98"/>
      <c r="BC86" s="99"/>
      <c r="BD86" s="98"/>
      <c r="BE86" s="99"/>
      <c r="BF86" s="101"/>
    </row>
    <row r="87" spans="1:58" s="11" customFormat="1">
      <c r="A87" s="72"/>
      <c r="B87" s="89" t="s">
        <v>101</v>
      </c>
      <c r="C87" s="73" t="s">
        <v>28</v>
      </c>
      <c r="D87" s="156">
        <v>13473184.515866976</v>
      </c>
      <c r="E87" s="187">
        <v>1102711.3126127417</v>
      </c>
      <c r="F87" s="156">
        <v>342331.95021000004</v>
      </c>
      <c r="G87" s="156">
        <v>406421.47340000002</v>
      </c>
      <c r="H87" s="156">
        <v>4131696.8139532595</v>
      </c>
      <c r="I87" s="156">
        <v>56273.745240000004</v>
      </c>
      <c r="J87" s="96">
        <f>D87-SUM(E87:I87,K87)</f>
        <v>7433749.220450975</v>
      </c>
      <c r="K87" s="95"/>
      <c r="L87" s="90">
        <f>IF(allocation_method&gt;=6,CHOOSE(gen_choice,'Generation Calculations'!H90-'Generation Calculations'!I90+'Generation Calculations'!J90,'Generation Calculations'!G90+'Generation Calculations'!H90-'Generation Calculations'!I90+'Generation Calculations'!J90),0)</f>
        <v>0</v>
      </c>
      <c r="M87" s="95">
        <f>'Test Year 2001 Sales and Revs.'!K90</f>
        <v>1563159.59</v>
      </c>
      <c r="N87" s="95">
        <f>CHOOSE(allocation_method,'RSP Surch Allocations'!E88,'RSP Surch Allocations'!J88,'RSP Surch Allocations'!N88,'RSP Surch Allocations'!Q88,'RSP Surch Allocations'!AA88,'RSP Surch Allocations'!AH88,'RSP Surch Allocations'!AS88,'RSP Surch Allocations'!BD88,'RSP Surch Allocations'!BO88,'RSP Surch Allocations'!BZ88,)</f>
        <v>5982027.9179566223</v>
      </c>
      <c r="O87" s="91">
        <f>SUM(E87:N87)</f>
        <v>21018372.023823597</v>
      </c>
      <c r="P87" s="145">
        <f>ROUND(O87-D87,0)</f>
        <v>7545188</v>
      </c>
      <c r="Q87" s="178">
        <v>156315959</v>
      </c>
      <c r="R87" s="97">
        <f t="shared" si="37"/>
        <v>8.6191996019209896</v>
      </c>
      <c r="S87" s="97">
        <f t="shared" si="37"/>
        <v>0.70543744840073663</v>
      </c>
      <c r="T87" s="97">
        <f t="shared" si="37"/>
        <v>0.219</v>
      </c>
      <c r="U87" s="97">
        <f t="shared" si="35"/>
        <v>0.25999998720540107</v>
      </c>
      <c r="V87" s="97">
        <f t="shared" si="38"/>
        <v>2.6431701794141569</v>
      </c>
      <c r="W87" s="97">
        <f t="shared" si="38"/>
        <v>3.6000000000000004E-2</v>
      </c>
      <c r="X87" s="97">
        <f t="shared" si="36"/>
        <v>4.7555919869006944</v>
      </c>
      <c r="Y87" s="97">
        <f t="shared" si="36"/>
        <v>0</v>
      </c>
      <c r="Z87" s="97">
        <f t="shared" si="36"/>
        <v>0</v>
      </c>
      <c r="AA87" s="280">
        <f t="shared" si="36"/>
        <v>1</v>
      </c>
      <c r="AB87" s="97">
        <f t="shared" si="36"/>
        <v>3.8268823965418801</v>
      </c>
      <c r="AC87" s="97">
        <f>O87/$Q87*100</f>
        <v>13.446081998462866</v>
      </c>
      <c r="AD87" s="97"/>
      <c r="AE87" s="93"/>
      <c r="AF87" s="79">
        <f>(AC87-AG87)/AG87</f>
        <v>0.39783792362283799</v>
      </c>
      <c r="AG87" s="92">
        <f t="shared" si="33"/>
        <v>9.6191996019209896</v>
      </c>
      <c r="AH87" s="92"/>
      <c r="AI87" s="79"/>
      <c r="AJ87" s="79"/>
      <c r="AK87" s="79"/>
      <c r="AL87" s="79"/>
      <c r="AM87" s="79"/>
      <c r="AN87" s="86"/>
      <c r="AO87" s="86"/>
      <c r="AP87" s="99"/>
      <c r="AQ87" s="82"/>
      <c r="AR87" s="86"/>
      <c r="AS87" s="87"/>
      <c r="AT87" s="87"/>
      <c r="AU87" s="86"/>
      <c r="AV87" s="87"/>
      <c r="AW87" s="86"/>
      <c r="AX87" s="87"/>
      <c r="AY87" s="86"/>
      <c r="AZ87" s="87"/>
      <c r="BA87" s="86"/>
      <c r="BB87" s="87"/>
      <c r="BC87" s="86"/>
      <c r="BD87" s="87"/>
      <c r="BE87" s="86"/>
      <c r="BF87" s="88"/>
    </row>
    <row r="88" spans="1:58" s="113" customFormat="1">
      <c r="A88" s="72"/>
      <c r="B88" s="190" t="s">
        <v>72</v>
      </c>
      <c r="C88" s="72"/>
      <c r="D88" s="91">
        <f t="shared" ref="D88:J88" si="39">SUM(D71:D75)</f>
        <v>75725715.61011529</v>
      </c>
      <c r="E88" s="91">
        <f t="shared" si="39"/>
        <v>3240969.8670972148</v>
      </c>
      <c r="F88" s="91">
        <f t="shared" si="39"/>
        <v>1006145.05579375</v>
      </c>
      <c r="G88" s="91">
        <f t="shared" si="39"/>
        <v>2072923.5876800003</v>
      </c>
      <c r="H88" s="91">
        <f t="shared" si="39"/>
        <v>35572770.270750985</v>
      </c>
      <c r="I88" s="91">
        <f t="shared" si="39"/>
        <v>308538.39858750004</v>
      </c>
      <c r="J88" s="91">
        <f t="shared" si="39"/>
        <v>33524368.430205837</v>
      </c>
      <c r="K88" s="91"/>
      <c r="L88" s="91">
        <f t="shared" ref="L88:Q88" si="40">SUM(L71:L75)</f>
        <v>0</v>
      </c>
      <c r="M88" s="91">
        <f t="shared" si="40"/>
        <v>4594269.6612499999</v>
      </c>
      <c r="N88" s="91">
        <f t="shared" si="40"/>
        <v>17581729.691604052</v>
      </c>
      <c r="O88" s="91">
        <f t="shared" si="40"/>
        <v>97901714.962969318</v>
      </c>
      <c r="P88" s="148">
        <f t="shared" si="40"/>
        <v>22175999</v>
      </c>
      <c r="Q88" s="176">
        <f t="shared" si="40"/>
        <v>459426966.125</v>
      </c>
      <c r="R88" s="92">
        <f t="shared" si="37"/>
        <v>16.482644945467129</v>
      </c>
      <c r="S88" s="92">
        <f t="shared" si="37"/>
        <v>0.70543744840075806</v>
      </c>
      <c r="T88" s="92">
        <f t="shared" si="37"/>
        <v>0.21899999999564676</v>
      </c>
      <c r="U88" s="92">
        <f t="shared" si="35"/>
        <v>0.45119763107592675</v>
      </c>
      <c r="V88" s="92">
        <f t="shared" si="38"/>
        <v>7.7428564045307722</v>
      </c>
      <c r="W88" s="92">
        <f t="shared" si="38"/>
        <v>6.7157224398437576E-2</v>
      </c>
      <c r="X88" s="92">
        <f t="shared" si="36"/>
        <v>7.2969962370655868</v>
      </c>
      <c r="Y88" s="92">
        <f t="shared" si="36"/>
        <v>0</v>
      </c>
      <c r="Z88" s="92">
        <f t="shared" si="36"/>
        <v>0</v>
      </c>
      <c r="AA88" s="281">
        <f t="shared" si="36"/>
        <v>1</v>
      </c>
      <c r="AB88" s="92">
        <f t="shared" si="36"/>
        <v>3.8268823965418801</v>
      </c>
      <c r="AC88" s="92">
        <f>O88/$Q88*100</f>
        <v>21.309527342009005</v>
      </c>
      <c r="AD88" s="92"/>
      <c r="AE88" s="93"/>
      <c r="AF88" s="74">
        <f>(AC88-AG88)/AG88</f>
        <v>0.21889607713700687</v>
      </c>
      <c r="AG88" s="92">
        <f t="shared" si="33"/>
        <v>17.482644945467129</v>
      </c>
      <c r="AH88" s="92"/>
      <c r="AI88" s="74"/>
      <c r="AJ88" s="74"/>
      <c r="AK88" s="74"/>
      <c r="AL88" s="74"/>
      <c r="AM88" s="74"/>
      <c r="AN88" s="86"/>
      <c r="AO88" s="86"/>
      <c r="AP88" s="86"/>
      <c r="AQ88" s="82"/>
      <c r="AR88" s="86"/>
      <c r="AS88" s="87"/>
      <c r="AT88" s="87"/>
      <c r="AU88" s="86"/>
      <c r="AV88" s="87"/>
      <c r="AW88" s="86"/>
      <c r="AX88" s="87"/>
      <c r="AY88" s="86"/>
      <c r="AZ88" s="87"/>
      <c r="BA88" s="86"/>
      <c r="BB88" s="87"/>
      <c r="BC88" s="86"/>
      <c r="BD88" s="87"/>
      <c r="BE88" s="86"/>
      <c r="BF88" s="88"/>
    </row>
    <row r="89" spans="1:58" s="113" customFormat="1">
      <c r="A89" s="72"/>
      <c r="B89" s="190" t="s">
        <v>73</v>
      </c>
      <c r="C89" s="72"/>
      <c r="D89" s="96">
        <f t="shared" ref="D89:J89" si="41">SUM(D76:D78,D81,D82,D86,D87)</f>
        <v>297620454.9281438</v>
      </c>
      <c r="E89" s="96">
        <f t="shared" si="41"/>
        <v>20805166.573394988</v>
      </c>
      <c r="F89" s="96">
        <f t="shared" si="41"/>
        <v>6490906.4590300005</v>
      </c>
      <c r="G89" s="96">
        <f t="shared" si="41"/>
        <v>8842456.1107000001</v>
      </c>
      <c r="H89" s="96">
        <f t="shared" si="41"/>
        <v>97681222.932238087</v>
      </c>
      <c r="I89" s="96">
        <f t="shared" si="41"/>
        <v>1242327.0528500001</v>
      </c>
      <c r="J89" s="96">
        <f t="shared" si="41"/>
        <v>162558375.79993072</v>
      </c>
      <c r="K89" s="96"/>
      <c r="L89" s="96">
        <f>SUM(L76:L78,L81,L82,L86,L87)</f>
        <v>0</v>
      </c>
      <c r="M89" s="96">
        <f>SUM(M76:M78,M81,M82,M86,M87)</f>
        <v>29634472.369999997</v>
      </c>
      <c r="N89" s="96">
        <f>SUM(N76:N78,N81,N82,N86,N87)</f>
        <v>113407640.64355972</v>
      </c>
      <c r="O89" s="96">
        <f>SUM(O76:O78,O81,O82,O86,O87)</f>
        <v>440662567.94170356</v>
      </c>
      <c r="P89" s="149">
        <f>SUM(P76:P87)</f>
        <v>143042114</v>
      </c>
      <c r="Q89" s="179">
        <f>SUM(Q76:Q78,Q81,Q82,Q86,Q87)</f>
        <v>2963447237</v>
      </c>
      <c r="R89" s="97">
        <f t="shared" si="37"/>
        <v>10.043048892931708</v>
      </c>
      <c r="S89" s="97">
        <f t="shared" si="37"/>
        <v>0.70205962548051892</v>
      </c>
      <c r="T89" s="97">
        <f t="shared" si="37"/>
        <v>0.21903229380931949</v>
      </c>
      <c r="U89" s="97">
        <f t="shared" si="35"/>
        <v>0.29838412509248941</v>
      </c>
      <c r="V89" s="97">
        <f t="shared" si="38"/>
        <v>3.2962025344215058</v>
      </c>
      <c r="W89" s="97">
        <f t="shared" si="38"/>
        <v>4.1921686249006773E-2</v>
      </c>
      <c r="X89" s="97">
        <f t="shared" si="36"/>
        <v>5.4854486278788679</v>
      </c>
      <c r="Y89" s="97">
        <f t="shared" si="36"/>
        <v>0</v>
      </c>
      <c r="Z89" s="97">
        <f t="shared" si="36"/>
        <v>0</v>
      </c>
      <c r="AA89" s="280">
        <f t="shared" si="36"/>
        <v>0.99999999999999989</v>
      </c>
      <c r="AB89" s="97">
        <f t="shared" si="36"/>
        <v>3.8268823965418801</v>
      </c>
      <c r="AC89" s="97">
        <f>O89/$Q89*100</f>
        <v>14.869931289473589</v>
      </c>
      <c r="AD89" s="97"/>
      <c r="AE89" s="93"/>
      <c r="AF89" s="79">
        <f>(AC89-AG89)/AG89</f>
        <v>0.34654219442887219</v>
      </c>
      <c r="AG89" s="92">
        <f t="shared" si="33"/>
        <v>11.043048892931708</v>
      </c>
      <c r="AH89" s="92"/>
      <c r="AI89" s="79"/>
      <c r="AJ89" s="79"/>
      <c r="AK89" s="79"/>
      <c r="AL89" s="79"/>
      <c r="AM89" s="79"/>
      <c r="AN89" s="99"/>
      <c r="AO89" s="99"/>
      <c r="AP89" s="99"/>
      <c r="AQ89" s="100"/>
      <c r="AR89" s="99"/>
      <c r="AS89" s="98"/>
      <c r="AT89" s="98"/>
      <c r="AU89" s="99"/>
      <c r="AV89" s="98"/>
      <c r="AW89" s="99"/>
      <c r="AX89" s="98"/>
      <c r="AY89" s="99"/>
      <c r="AZ89" s="98"/>
      <c r="BA89" s="99"/>
      <c r="BB89" s="98"/>
      <c r="BC89" s="99"/>
      <c r="BD89" s="98"/>
      <c r="BE89" s="99"/>
      <c r="BF89" s="101"/>
    </row>
    <row r="90" spans="1:58" s="113" customFormat="1">
      <c r="A90" s="72"/>
      <c r="B90" s="188" t="s">
        <v>74</v>
      </c>
      <c r="C90" s="189"/>
      <c r="D90" s="91">
        <f t="shared" ref="D90:Q90" si="42">SUM(D88:D89)</f>
        <v>373346170.53825909</v>
      </c>
      <c r="E90" s="91">
        <f t="shared" si="42"/>
        <v>24046136.440492202</v>
      </c>
      <c r="F90" s="91">
        <f t="shared" si="42"/>
        <v>7497051.5148237506</v>
      </c>
      <c r="G90" s="91">
        <f t="shared" si="42"/>
        <v>10915379.698380001</v>
      </c>
      <c r="H90" s="91">
        <f t="shared" si="42"/>
        <v>133253993.20298907</v>
      </c>
      <c r="I90" s="91">
        <f t="shared" si="42"/>
        <v>1550865.4514375001</v>
      </c>
      <c r="J90" s="91">
        <f t="shared" si="42"/>
        <v>196082744.23013657</v>
      </c>
      <c r="K90" s="91"/>
      <c r="L90" s="91">
        <f t="shared" si="42"/>
        <v>0</v>
      </c>
      <c r="M90" s="91">
        <f t="shared" si="42"/>
        <v>34228742.03125</v>
      </c>
      <c r="N90" s="91">
        <f t="shared" si="42"/>
        <v>130989370.33516377</v>
      </c>
      <c r="O90" s="91">
        <f t="shared" si="42"/>
        <v>538564282.90467286</v>
      </c>
      <c r="P90" s="148">
        <f>SUM(P88:P89)</f>
        <v>165218113</v>
      </c>
      <c r="Q90" s="176">
        <f t="shared" si="42"/>
        <v>3422874203.125</v>
      </c>
      <c r="R90" s="92">
        <f t="shared" si="37"/>
        <v>10.90738801319088</v>
      </c>
      <c r="S90" s="92">
        <f t="shared" si="37"/>
        <v>0.70251300554775487</v>
      </c>
      <c r="T90" s="92">
        <f t="shared" si="37"/>
        <v>0.21902795925071178</v>
      </c>
      <c r="U90" s="92">
        <f t="shared" si="35"/>
        <v>0.31889514631926957</v>
      </c>
      <c r="V90" s="92">
        <f t="shared" si="38"/>
        <v>3.8930438367069247</v>
      </c>
      <c r="W90" s="92">
        <f t="shared" si="38"/>
        <v>4.5308864989008303E-2</v>
      </c>
      <c r="X90" s="92">
        <f t="shared" si="36"/>
        <v>5.7285992003772108</v>
      </c>
      <c r="Y90" s="92">
        <f t="shared" si="36"/>
        <v>0</v>
      </c>
      <c r="Z90" s="92">
        <f t="shared" si="36"/>
        <v>0</v>
      </c>
      <c r="AA90" s="281">
        <f t="shared" si="36"/>
        <v>1</v>
      </c>
      <c r="AB90" s="92">
        <f t="shared" si="36"/>
        <v>3.8268823965418801</v>
      </c>
      <c r="AC90" s="92">
        <f>O90/$Q90*100</f>
        <v>15.734270409732758</v>
      </c>
      <c r="AD90" s="92"/>
      <c r="AE90" s="93"/>
      <c r="AF90" s="74">
        <f>(AC90-AG90)/AG90</f>
        <v>0.32138722550256171</v>
      </c>
      <c r="AG90" s="92">
        <f t="shared" si="33"/>
        <v>11.90738801319088</v>
      </c>
      <c r="AH90" s="92"/>
      <c r="AI90" s="74"/>
      <c r="AJ90" s="74"/>
      <c r="AK90" s="74"/>
      <c r="AL90" s="74"/>
      <c r="AM90" s="74"/>
      <c r="AN90" s="86"/>
      <c r="AO90" s="86"/>
      <c r="AP90" s="86"/>
      <c r="AQ90" s="82"/>
      <c r="AR90" s="86"/>
      <c r="AS90" s="87"/>
      <c r="AT90" s="87"/>
      <c r="AU90" s="86"/>
      <c r="AV90" s="87"/>
      <c r="AW90" s="86"/>
      <c r="AX90" s="87"/>
      <c r="AY90" s="86"/>
      <c r="AZ90" s="87"/>
      <c r="BA90" s="86"/>
      <c r="BB90" s="87"/>
      <c r="BC90" s="86"/>
      <c r="BD90" s="87"/>
      <c r="BE90" s="86"/>
      <c r="BF90" s="88"/>
    </row>
    <row r="91" spans="1:58" s="11" customFormat="1">
      <c r="A91" s="72"/>
      <c r="B91" s="81"/>
      <c r="C91" s="77"/>
      <c r="D91" s="106"/>
      <c r="E91" s="144"/>
      <c r="F91" s="106"/>
      <c r="G91" s="106"/>
      <c r="H91" s="106"/>
      <c r="I91" s="106"/>
      <c r="J91" s="91"/>
      <c r="K91" s="91"/>
      <c r="L91" s="91"/>
      <c r="M91" s="91"/>
      <c r="N91" s="91"/>
      <c r="O91" s="91"/>
      <c r="P91" s="145"/>
      <c r="Q91" s="176"/>
      <c r="R91" s="92"/>
      <c r="S91" s="92"/>
      <c r="T91" s="92"/>
      <c r="U91" s="92"/>
      <c r="V91" s="92"/>
      <c r="W91" s="92"/>
      <c r="X91" s="92"/>
      <c r="Y91" s="92"/>
      <c r="Z91" s="92"/>
      <c r="AA91" s="281"/>
      <c r="AB91" s="92"/>
      <c r="AC91" s="92"/>
      <c r="AD91" s="92"/>
      <c r="AE91" s="93"/>
      <c r="AF91" s="74"/>
      <c r="AG91" s="92">
        <f t="shared" si="33"/>
        <v>0</v>
      </c>
      <c r="AH91" s="92"/>
      <c r="AI91" s="74"/>
      <c r="AJ91" s="74"/>
      <c r="AK91" s="74"/>
      <c r="AL91" s="74"/>
      <c r="AM91" s="74"/>
      <c r="AN91" s="86"/>
      <c r="AO91" s="86"/>
      <c r="AP91" s="86"/>
      <c r="AQ91" s="82"/>
      <c r="AR91" s="86"/>
      <c r="AS91" s="87"/>
      <c r="AT91" s="87"/>
      <c r="AU91" s="86"/>
      <c r="AV91" s="87"/>
      <c r="AW91" s="86"/>
      <c r="AX91" s="87"/>
      <c r="AY91" s="86"/>
      <c r="AZ91" s="87"/>
      <c r="BA91" s="86"/>
      <c r="BB91" s="87"/>
      <c r="BC91" s="86"/>
      <c r="BD91" s="87"/>
      <c r="BE91" s="86"/>
      <c r="BF91" s="88"/>
    </row>
    <row r="92" spans="1:58" s="11" customFormat="1">
      <c r="A92" s="72"/>
      <c r="B92" s="81" t="s">
        <v>102</v>
      </c>
      <c r="C92" s="77"/>
      <c r="D92" s="106"/>
      <c r="E92" s="144"/>
      <c r="F92" s="106"/>
      <c r="G92" s="106"/>
      <c r="H92" s="106"/>
      <c r="I92" s="106"/>
      <c r="J92" s="91"/>
      <c r="K92" s="91"/>
      <c r="L92" s="91"/>
      <c r="M92" s="91"/>
      <c r="N92" s="91"/>
      <c r="O92" s="91"/>
      <c r="P92" s="145"/>
      <c r="Q92" s="176"/>
      <c r="R92" s="92"/>
      <c r="S92" s="92"/>
      <c r="T92" s="92"/>
      <c r="U92" s="92"/>
      <c r="V92" s="92"/>
      <c r="W92" s="92"/>
      <c r="X92" s="92"/>
      <c r="Y92" s="92"/>
      <c r="Z92" s="92"/>
      <c r="AA92" s="281"/>
      <c r="AB92" s="92"/>
      <c r="AC92" s="92"/>
      <c r="AD92" s="92"/>
      <c r="AE92" s="93"/>
      <c r="AF92" s="74"/>
      <c r="AG92" s="92">
        <f t="shared" si="33"/>
        <v>0</v>
      </c>
      <c r="AH92" s="92"/>
      <c r="AI92" s="74"/>
      <c r="AJ92" s="74"/>
      <c r="AK92" s="74"/>
      <c r="AL92" s="74"/>
      <c r="AM92" s="74"/>
      <c r="AN92" s="82"/>
      <c r="AO92" s="82"/>
      <c r="AP92" s="86"/>
      <c r="AQ92" s="82"/>
      <c r="AR92" s="86"/>
      <c r="AS92" s="87"/>
      <c r="AT92" s="87"/>
      <c r="AU92" s="86"/>
      <c r="AV92" s="87"/>
      <c r="AW92" s="86"/>
      <c r="AX92" s="87"/>
      <c r="AY92" s="86"/>
      <c r="AZ92" s="87"/>
      <c r="BA92" s="86"/>
      <c r="BB92" s="87"/>
      <c r="BC92" s="86"/>
      <c r="BD92" s="87"/>
      <c r="BE92" s="82"/>
      <c r="BF92" s="88"/>
    </row>
    <row r="93" spans="1:58" s="11" customFormat="1">
      <c r="A93" s="72"/>
      <c r="B93" s="89" t="s">
        <v>103</v>
      </c>
      <c r="C93" s="77" t="s">
        <v>21</v>
      </c>
      <c r="D93" s="106">
        <v>210910807.63365865</v>
      </c>
      <c r="E93" s="186">
        <v>13793994.801599706</v>
      </c>
      <c r="F93" s="106">
        <v>8624106.9154637028</v>
      </c>
      <c r="G93" s="106">
        <v>6442043.1914523058</v>
      </c>
      <c r="H93" s="106">
        <v>7071847.0883447099</v>
      </c>
      <c r="I93" s="106">
        <v>774676.07998477109</v>
      </c>
      <c r="J93" s="91">
        <f>D93-SUM(E93:I93,K93)</f>
        <v>174204139.55681345</v>
      </c>
      <c r="K93" s="90"/>
      <c r="L93" s="90">
        <f>IF(allocation_method&gt;=6,CHOOSE(gen_choice,'Generation Calculations'!H97-'Generation Calculations'!I97+'Generation Calculations'!J97,'Generation Calculations'!G97+'Generation Calculations'!H97-'Generation Calculations'!I97+'Generation Calculations'!J97),0)</f>
        <v>0</v>
      </c>
      <c r="M93" s="90">
        <f>'Test Year 2001 Sales and Revs.'!K97</f>
        <v>40772425.262356371</v>
      </c>
      <c r="N93" s="90">
        <f>CHOOSE(allocation_method,'RSP Surch Allocations'!E94,'RSP Surch Allocations'!J94,'RSP Surch Allocations'!N94,'RSP Surch Allocations'!Q94,'RSP Surch Allocations'!AA94,'RSP Surch Allocations'!AH94,'RSP Surch Allocations'!AS94,'RSP Surch Allocations'!BD94,'RSP Surch Allocations'!BO94,'RSP Surch Allocations'!BZ94,)</f>
        <v>156031276.50083104</v>
      </c>
      <c r="O93" s="91">
        <f>SUM(E93:N93)</f>
        <v>407714509.39684606</v>
      </c>
      <c r="P93" s="145">
        <f>ROUND(O93-D93,0)</f>
        <v>196803702</v>
      </c>
      <c r="Q93" s="177">
        <v>4077242526.2356367</v>
      </c>
      <c r="R93" s="92">
        <f t="shared" ref="R93:AC95" si="43">D93/$Q93*100</f>
        <v>5.1728786373761428</v>
      </c>
      <c r="S93" s="92">
        <f t="shared" si="43"/>
        <v>0.33831675974240311</v>
      </c>
      <c r="T93" s="92">
        <f t="shared" si="43"/>
        <v>0.21151812431982098</v>
      </c>
      <c r="U93" s="92">
        <f t="shared" si="43"/>
        <v>0.158</v>
      </c>
      <c r="V93" s="92">
        <f t="shared" si="43"/>
        <v>0.17344680977007954</v>
      </c>
      <c r="W93" s="92">
        <f t="shared" si="43"/>
        <v>1.9000000000000003E-2</v>
      </c>
      <c r="X93" s="92">
        <f t="shared" si="43"/>
        <v>4.2725969435438396</v>
      </c>
      <c r="Y93" s="92">
        <f t="shared" si="43"/>
        <v>0</v>
      </c>
      <c r="Z93" s="92">
        <f t="shared" si="43"/>
        <v>0</v>
      </c>
      <c r="AA93" s="281">
        <f t="shared" si="43"/>
        <v>1</v>
      </c>
      <c r="AB93" s="92">
        <f t="shared" si="43"/>
        <v>3.8268823965418801</v>
      </c>
      <c r="AC93" s="92">
        <f t="shared" si="43"/>
        <v>9.9997610339180234</v>
      </c>
      <c r="AD93" s="92"/>
      <c r="AE93" s="93"/>
      <c r="AF93" s="74">
        <f>(AC93-AG93)/AG93</f>
        <v>0.61995101821223286</v>
      </c>
      <c r="AG93" s="92">
        <f t="shared" si="33"/>
        <v>6.1728786373761428</v>
      </c>
      <c r="AH93" s="92"/>
      <c r="AI93" s="74"/>
      <c r="AJ93" s="74"/>
      <c r="AK93" s="74"/>
      <c r="AL93" s="74"/>
      <c r="AM93" s="74"/>
      <c r="AN93" s="86"/>
      <c r="AO93" s="86"/>
      <c r="AP93" s="86"/>
      <c r="AQ93" s="82"/>
      <c r="AR93" s="86"/>
      <c r="AS93" s="87"/>
      <c r="AT93" s="87"/>
      <c r="AU93" s="86"/>
      <c r="AV93" s="87"/>
      <c r="AW93" s="86"/>
      <c r="AX93" s="87"/>
      <c r="AY93" s="86"/>
      <c r="AZ93" s="87"/>
      <c r="BA93" s="86"/>
      <c r="BB93" s="87"/>
      <c r="BC93" s="86"/>
      <c r="BD93" s="87"/>
      <c r="BE93" s="86"/>
      <c r="BF93" s="88"/>
    </row>
    <row r="94" spans="1:58" s="11" customFormat="1">
      <c r="A94" s="72"/>
      <c r="B94" s="89" t="s">
        <v>104</v>
      </c>
      <c r="C94" s="77" t="s">
        <v>21</v>
      </c>
      <c r="D94" s="156">
        <v>119756012.11419216</v>
      </c>
      <c r="E94" s="187">
        <v>10030713.721311744</v>
      </c>
      <c r="F94" s="156">
        <v>5742585.5631471202</v>
      </c>
      <c r="G94" s="156">
        <v>4684523.3714521695</v>
      </c>
      <c r="H94" s="156">
        <v>4297638.5847951351</v>
      </c>
      <c r="I94" s="156">
        <v>563328.75985817227</v>
      </c>
      <c r="J94" s="96">
        <f>D94-SUM(E94:I94,K94)</f>
        <v>94437222.113627821</v>
      </c>
      <c r="K94" s="95"/>
      <c r="L94" s="95">
        <f>IF(allocation_method&gt;=6,CHOOSE(gen_choice,'Generation Calculations'!H98-'Generation Calculations'!I98+'Generation Calculations'!J98,'Generation Calculations'!G98+'Generation Calculations'!H98-'Generation Calculations'!I98+'Generation Calculations'!J98),0)</f>
        <v>0</v>
      </c>
      <c r="M94" s="95">
        <f>'Test Year 2001 Sales and Revs.'!K98</f>
        <v>29648882.097798537</v>
      </c>
      <c r="N94" s="95">
        <f>CHOOSE(allocation_method,'RSP Surch Allocations'!E95,'RSP Surch Allocations'!J95,'RSP Surch Allocations'!N95,'RSP Surch Allocations'!Q95,'RSP Surch Allocations'!AA95,'RSP Surch Allocations'!AH95,'RSP Surch Allocations'!AS95,'RSP Surch Allocations'!BD95,'RSP Surch Allocations'!BO95,'RSP Surch Allocations'!BZ95,)</f>
        <v>113462784.97721091</v>
      </c>
      <c r="O94" s="91">
        <f>SUM(E94:N94)</f>
        <v>262867679.18920159</v>
      </c>
      <c r="P94" s="145">
        <f>ROUND(O94-D94,0)</f>
        <v>143111667</v>
      </c>
      <c r="Q94" s="178">
        <v>2964888209.7798538</v>
      </c>
      <c r="R94" s="97">
        <f t="shared" si="43"/>
        <v>4.03914089304177</v>
      </c>
      <c r="S94" s="97">
        <f t="shared" si="43"/>
        <v>0.33831675974240311</v>
      </c>
      <c r="T94" s="97">
        <f t="shared" si="43"/>
        <v>0.19368641098186679</v>
      </c>
      <c r="U94" s="97">
        <f t="shared" si="43"/>
        <v>0.15800000000000003</v>
      </c>
      <c r="V94" s="97">
        <f t="shared" si="43"/>
        <v>0.14495111723332865</v>
      </c>
      <c r="W94" s="97">
        <f t="shared" si="43"/>
        <v>1.9E-2</v>
      </c>
      <c r="X94" s="97">
        <f t="shared" si="43"/>
        <v>3.1851866050841728</v>
      </c>
      <c r="Y94" s="97">
        <f t="shared" si="43"/>
        <v>0</v>
      </c>
      <c r="Z94" s="97">
        <f t="shared" si="43"/>
        <v>0</v>
      </c>
      <c r="AA94" s="280">
        <f t="shared" si="43"/>
        <v>1</v>
      </c>
      <c r="AB94" s="97">
        <f t="shared" si="43"/>
        <v>3.8268823965418801</v>
      </c>
      <c r="AC94" s="97">
        <f t="shared" si="43"/>
        <v>8.8660232895836515</v>
      </c>
      <c r="AD94" s="97"/>
      <c r="AE94" s="93"/>
      <c r="AF94" s="79">
        <f>(AC94-AG94)/AG94</f>
        <v>0.75943151377771168</v>
      </c>
      <c r="AG94" s="92">
        <f t="shared" si="33"/>
        <v>5.03914089304177</v>
      </c>
      <c r="AH94" s="92"/>
      <c r="AI94" s="79"/>
      <c r="AJ94" s="79"/>
      <c r="AK94" s="79"/>
      <c r="AL94" s="79"/>
      <c r="AM94" s="79"/>
      <c r="AN94" s="99"/>
      <c r="AO94" s="99"/>
      <c r="AP94" s="99"/>
      <c r="AQ94" s="100"/>
      <c r="AR94" s="99"/>
      <c r="AS94" s="98"/>
      <c r="AT94" s="98"/>
      <c r="AU94" s="99"/>
      <c r="AV94" s="98"/>
      <c r="AW94" s="99"/>
      <c r="AX94" s="98"/>
      <c r="AY94" s="99"/>
      <c r="AZ94" s="98"/>
      <c r="BA94" s="99"/>
      <c r="BB94" s="98"/>
      <c r="BC94" s="99"/>
      <c r="BD94" s="98"/>
      <c r="BE94" s="99"/>
      <c r="BF94" s="101"/>
    </row>
    <row r="95" spans="1:58" s="113" customFormat="1">
      <c r="A95" s="72"/>
      <c r="B95" s="105" t="s">
        <v>3</v>
      </c>
      <c r="C95" s="189" t="s">
        <v>21</v>
      </c>
      <c r="D95" s="91">
        <v>330666819.74785078</v>
      </c>
      <c r="E95" s="144">
        <f>SUM(E93:E94)</f>
        <v>23824708.522911452</v>
      </c>
      <c r="F95" s="91">
        <v>14366692.468612827</v>
      </c>
      <c r="G95" s="91">
        <f>SUM(G93:G94)</f>
        <v>11126566.562904475</v>
      </c>
      <c r="H95" s="91">
        <f>SUM(H93:H94)</f>
        <v>11369485.673139844</v>
      </c>
      <c r="I95" s="91">
        <f>SUM(I93:I94)</f>
        <v>1338004.8398429435</v>
      </c>
      <c r="J95" s="91">
        <f>D95-SUM(E95:I95,K95)</f>
        <v>268641361.68043923</v>
      </c>
      <c r="K95" s="91"/>
      <c r="L95" s="91">
        <f>SUM(L93:L94)</f>
        <v>0</v>
      </c>
      <c r="M95" s="91">
        <f>SUM(M93:M94)</f>
        <v>70421307.360154912</v>
      </c>
      <c r="N95" s="91">
        <f>SUM(N93:N94)</f>
        <v>269494061.47804195</v>
      </c>
      <c r="O95" s="91">
        <f>SUM(O93:O94)</f>
        <v>670582188.58604765</v>
      </c>
      <c r="P95" s="145">
        <f>ROUND(O95-D95,0)</f>
        <v>339915369</v>
      </c>
      <c r="Q95" s="176">
        <f>SUM(Q93:Q94)</f>
        <v>7042130736.0154905</v>
      </c>
      <c r="R95" s="92">
        <f t="shared" si="43"/>
        <v>4.6955507096272031</v>
      </c>
      <c r="S95" s="92">
        <f t="shared" si="43"/>
        <v>0.33831675974240311</v>
      </c>
      <c r="T95" s="92">
        <f t="shared" si="43"/>
        <v>0.20401059007804859</v>
      </c>
      <c r="U95" s="92">
        <f t="shared" si="43"/>
        <v>0.158</v>
      </c>
      <c r="V95" s="92">
        <f t="shared" si="43"/>
        <v>0.16144951150925119</v>
      </c>
      <c r="W95" s="92">
        <f t="shared" si="43"/>
        <v>1.9000000000000003E-2</v>
      </c>
      <c r="X95" s="92">
        <f t="shared" si="43"/>
        <v>3.8147738482975009</v>
      </c>
      <c r="Y95" s="92">
        <f t="shared" si="43"/>
        <v>0</v>
      </c>
      <c r="Z95" s="92">
        <f t="shared" si="43"/>
        <v>0</v>
      </c>
      <c r="AA95" s="281">
        <f t="shared" si="43"/>
        <v>1</v>
      </c>
      <c r="AB95" s="92">
        <f t="shared" si="43"/>
        <v>3.8268823965418801</v>
      </c>
      <c r="AC95" s="92">
        <f t="shared" si="43"/>
        <v>9.5224331061690837</v>
      </c>
      <c r="AD95" s="92"/>
      <c r="AE95" s="93"/>
      <c r="AF95" s="74">
        <f>(AC95-AG95)/AG95</f>
        <v>0.67190735218515252</v>
      </c>
      <c r="AG95" s="92">
        <f t="shared" si="33"/>
        <v>5.6955507096272031</v>
      </c>
      <c r="AH95" s="92"/>
      <c r="AI95" s="74"/>
      <c r="AJ95" s="74"/>
      <c r="AK95" s="74"/>
      <c r="AL95" s="74"/>
      <c r="AM95" s="74"/>
      <c r="AN95" s="86"/>
      <c r="AO95" s="86"/>
      <c r="AP95" s="86"/>
      <c r="AQ95" s="82"/>
      <c r="AR95" s="86"/>
      <c r="AS95" s="87"/>
      <c r="AT95" s="87"/>
      <c r="AU95" s="86"/>
      <c r="AV95" s="87"/>
      <c r="AW95" s="86"/>
      <c r="AX95" s="87"/>
      <c r="AY95" s="86"/>
      <c r="AZ95" s="87"/>
      <c r="BA95" s="86"/>
      <c r="BB95" s="87"/>
      <c r="BC95" s="86"/>
      <c r="BD95" s="87"/>
      <c r="BE95" s="86"/>
      <c r="BF95" s="88"/>
    </row>
    <row r="96" spans="1:58" s="11" customFormat="1" ht="8.25" customHeight="1">
      <c r="A96" s="72"/>
      <c r="B96" s="89"/>
      <c r="C96" s="77"/>
      <c r="D96" s="106"/>
      <c r="E96" s="144"/>
      <c r="F96" s="106"/>
      <c r="G96" s="106"/>
      <c r="H96" s="106"/>
      <c r="I96" s="106"/>
      <c r="J96" s="91"/>
      <c r="K96" s="91"/>
      <c r="L96" s="91"/>
      <c r="M96" s="91"/>
      <c r="N96" s="91"/>
      <c r="O96" s="91"/>
      <c r="P96" s="145"/>
      <c r="Q96" s="176"/>
      <c r="R96" s="92"/>
      <c r="S96" s="92"/>
      <c r="T96" s="92"/>
      <c r="U96" s="92"/>
      <c r="V96" s="92"/>
      <c r="W96" s="92"/>
      <c r="X96" s="92"/>
      <c r="Y96" s="92"/>
      <c r="Z96" s="92"/>
      <c r="AA96" s="281"/>
      <c r="AB96" s="92"/>
      <c r="AC96" s="92"/>
      <c r="AD96" s="92"/>
      <c r="AE96" s="93"/>
      <c r="AF96" s="74"/>
      <c r="AG96" s="92">
        <f t="shared" si="33"/>
        <v>0</v>
      </c>
      <c r="AH96" s="92"/>
      <c r="AI96" s="74"/>
      <c r="AJ96" s="74"/>
      <c r="AK96" s="74"/>
      <c r="AL96" s="74"/>
      <c r="AM96" s="74"/>
      <c r="AN96" s="82"/>
      <c r="AO96" s="82"/>
      <c r="AP96" s="86"/>
      <c r="AQ96" s="82"/>
      <c r="AR96" s="86"/>
      <c r="AS96" s="87"/>
      <c r="AT96" s="87"/>
      <c r="AU96" s="86"/>
      <c r="AV96" s="87"/>
      <c r="AW96" s="86"/>
      <c r="AX96" s="87"/>
      <c r="AY96" s="86"/>
      <c r="AZ96" s="87"/>
      <c r="BA96" s="86"/>
      <c r="BB96" s="87"/>
      <c r="BC96" s="86"/>
      <c r="BD96" s="87"/>
      <c r="BE96" s="82"/>
      <c r="BF96" s="88"/>
    </row>
    <row r="97" spans="1:58" s="11" customFormat="1">
      <c r="A97" s="72"/>
      <c r="B97" s="89" t="s">
        <v>103</v>
      </c>
      <c r="C97" s="77" t="s">
        <v>27</v>
      </c>
      <c r="D97" s="106">
        <v>362915721.76694965</v>
      </c>
      <c r="E97" s="186">
        <v>17630689.134538576</v>
      </c>
      <c r="F97" s="106">
        <v>11319241.842320396</v>
      </c>
      <c r="G97" s="106">
        <v>11047947.376450799</v>
      </c>
      <c r="H97" s="106">
        <v>53730660.647698797</v>
      </c>
      <c r="I97" s="106">
        <v>1459162.9931161432</v>
      </c>
      <c r="J97" s="91">
        <f>D97-SUM(E97:I97,K97)</f>
        <v>267728019.77282494</v>
      </c>
      <c r="K97" s="90"/>
      <c r="L97" s="90">
        <f>IF(allocation_method&gt;=6,CHOOSE(gen_choice,'Generation Calculations'!H101-'Generation Calculations'!I101+'Generation Calculations'!J101,'Generation Calculations'!G101+'Generation Calculations'!H101-'Generation Calculations'!I101+'Generation Calculations'!J101),0)</f>
        <v>0</v>
      </c>
      <c r="M97" s="90">
        <f>'Test Year 2001 Sales and Revs.'!K101</f>
        <v>52112964.03986226</v>
      </c>
      <c r="N97" s="90">
        <f>CHOOSE(allocation_method,'RSP Surch Allocations'!E98,'RSP Surch Allocations'!J98,'RSP Surch Allocations'!N98,'RSP Surch Allocations'!Q98,'RSP Surch Allocations'!AA98,'RSP Surch Allocations'!AH98,'RSP Surch Allocations'!AS98,'RSP Surch Allocations'!BD98,'RSP Surch Allocations'!BO98,'RSP Surch Allocations'!BZ98,)</f>
        <v>199430184.71576893</v>
      </c>
      <c r="O97" s="91">
        <f>SUM(E97:N97)</f>
        <v>614458870.52258086</v>
      </c>
      <c r="P97" s="145">
        <f>ROUND(O97-D97,0)</f>
        <v>251543149</v>
      </c>
      <c r="Q97" s="177">
        <v>5211296403.986227</v>
      </c>
      <c r="R97" s="92">
        <f t="shared" ref="R97:AC99" si="44">D97/$Q97*100</f>
        <v>6.9640199603566586</v>
      </c>
      <c r="S97" s="92">
        <f t="shared" si="44"/>
        <v>0.33831675974240311</v>
      </c>
      <c r="T97" s="92">
        <f t="shared" si="44"/>
        <v>0.21720587287382226</v>
      </c>
      <c r="U97" s="92">
        <f t="shared" si="44"/>
        <v>0.21199998081091681</v>
      </c>
      <c r="V97" s="92">
        <f t="shared" si="44"/>
        <v>1.0310421147144713</v>
      </c>
      <c r="W97" s="92">
        <f t="shared" si="44"/>
        <v>2.7999999999999994E-2</v>
      </c>
      <c r="X97" s="92">
        <f t="shared" si="44"/>
        <v>5.1374552322150455</v>
      </c>
      <c r="Y97" s="92">
        <f t="shared" si="44"/>
        <v>0</v>
      </c>
      <c r="Z97" s="92">
        <f t="shared" si="44"/>
        <v>0</v>
      </c>
      <c r="AA97" s="281">
        <f t="shared" si="44"/>
        <v>0.99999999999999989</v>
      </c>
      <c r="AB97" s="92">
        <f t="shared" si="44"/>
        <v>3.8268823965418801</v>
      </c>
      <c r="AC97" s="92">
        <f t="shared" si="44"/>
        <v>11.790902356898538</v>
      </c>
      <c r="AD97" s="92"/>
      <c r="AE97" s="93"/>
      <c r="AF97" s="74">
        <f>(AC97-AG97)/AG97</f>
        <v>0.48052144715751033</v>
      </c>
      <c r="AG97" s="92">
        <f t="shared" si="33"/>
        <v>7.9640199603566586</v>
      </c>
      <c r="AH97" s="92"/>
      <c r="AI97" s="74"/>
      <c r="AJ97" s="74"/>
      <c r="AK97" s="74"/>
      <c r="AL97" s="74"/>
      <c r="AM97" s="74"/>
      <c r="AN97" s="86"/>
      <c r="AO97" s="86"/>
      <c r="AP97" s="86"/>
      <c r="AQ97" s="82"/>
      <c r="AR97" s="86"/>
      <c r="AS97" s="87"/>
      <c r="AT97" s="87"/>
      <c r="AU97" s="86"/>
      <c r="AV97" s="87"/>
      <c r="AW97" s="86"/>
      <c r="AX97" s="87"/>
      <c r="AY97" s="86"/>
      <c r="AZ97" s="87"/>
      <c r="BA97" s="86"/>
      <c r="BB97" s="87"/>
      <c r="BC97" s="86"/>
      <c r="BD97" s="87"/>
      <c r="BE97" s="86"/>
      <c r="BF97" s="88"/>
    </row>
    <row r="98" spans="1:58" s="11" customFormat="1">
      <c r="A98" s="72"/>
      <c r="B98" s="89" t="s">
        <v>104</v>
      </c>
      <c r="C98" s="77" t="s">
        <v>27</v>
      </c>
      <c r="D98" s="156">
        <v>62043108.647790752</v>
      </c>
      <c r="E98" s="187">
        <v>3561141.08258447</v>
      </c>
      <c r="F98" s="156">
        <v>2406327.9178936617</v>
      </c>
      <c r="G98" s="156">
        <v>2225257.5074351225</v>
      </c>
      <c r="H98" s="156">
        <v>11066854.530370899</v>
      </c>
      <c r="I98" s="156">
        <v>293901.93474426097</v>
      </c>
      <c r="J98" s="96">
        <f>D98-SUM(E98:I98,K98)</f>
        <v>42489625.674762338</v>
      </c>
      <c r="K98" s="95"/>
      <c r="L98" s="95">
        <f>IF(allocation_method&gt;=6,CHOOSE(gen_choice,'Generation Calculations'!H102-'Generation Calculations'!I102+'Generation Calculations'!J102,'Generation Calculations'!G102+'Generation Calculations'!H102-'Generation Calculations'!I102+'Generation Calculations'!J102),0)</f>
        <v>0</v>
      </c>
      <c r="M98" s="95">
        <f>'Test Year 2001 Sales and Revs.'!K102</f>
        <v>10496497.676580766</v>
      </c>
      <c r="N98" s="95">
        <f>CHOOSE(allocation_method,'RSP Surch Allocations'!E99,'RSP Surch Allocations'!J99,'RSP Surch Allocations'!N99,'RSP Surch Allocations'!Q99,'RSP Surch Allocations'!AA99,'RSP Surch Allocations'!AH99,'RSP Surch Allocations'!AS99,'RSP Surch Allocations'!BD99,'RSP Surch Allocations'!BO99,'RSP Surch Allocations'!BZ99,)</f>
        <v>40168862.183849677</v>
      </c>
      <c r="O98" s="91">
        <f>SUM(E98:N98)</f>
        <v>112708468.50822119</v>
      </c>
      <c r="P98" s="145">
        <f>ROUND(O98-D98,0)</f>
        <v>50665360</v>
      </c>
      <c r="Q98" s="178">
        <v>1049649767.6580766</v>
      </c>
      <c r="R98" s="97">
        <f t="shared" si="44"/>
        <v>5.9108390778971991</v>
      </c>
      <c r="S98" s="97">
        <f t="shared" si="44"/>
        <v>0.33926945847183876</v>
      </c>
      <c r="T98" s="97">
        <f t="shared" si="44"/>
        <v>0.22925055499821945</v>
      </c>
      <c r="U98" s="97">
        <f t="shared" si="44"/>
        <v>0.21199999999999999</v>
      </c>
      <c r="V98" s="97">
        <f t="shared" si="44"/>
        <v>1.0543378249930624</v>
      </c>
      <c r="W98" s="97">
        <f t="shared" si="44"/>
        <v>2.7999999980945978E-2</v>
      </c>
      <c r="X98" s="97">
        <f t="shared" si="44"/>
        <v>4.0479812394531329</v>
      </c>
      <c r="Y98" s="97">
        <f t="shared" si="44"/>
        <v>0</v>
      </c>
      <c r="Z98" s="97">
        <f t="shared" si="44"/>
        <v>0</v>
      </c>
      <c r="AA98" s="280">
        <f t="shared" si="44"/>
        <v>1</v>
      </c>
      <c r="AB98" s="97">
        <f t="shared" si="44"/>
        <v>3.8268823965418801</v>
      </c>
      <c r="AC98" s="97">
        <f t="shared" si="44"/>
        <v>10.737721474439079</v>
      </c>
      <c r="AD98" s="97"/>
      <c r="AE98" s="93"/>
      <c r="AF98" s="79">
        <f>(AC98-AG98)/AG98</f>
        <v>0.55375076071172347</v>
      </c>
      <c r="AG98" s="92">
        <f t="shared" si="33"/>
        <v>6.9108390778971991</v>
      </c>
      <c r="AH98" s="92"/>
      <c r="AI98" s="79"/>
      <c r="AJ98" s="79"/>
      <c r="AK98" s="79"/>
      <c r="AL98" s="79"/>
      <c r="AM98" s="79"/>
      <c r="AN98" s="99"/>
      <c r="AO98" s="99"/>
      <c r="AP98" s="99"/>
      <c r="AQ98" s="100"/>
      <c r="AR98" s="99"/>
      <c r="AS98" s="98"/>
      <c r="AT98" s="98"/>
      <c r="AU98" s="99"/>
      <c r="AV98" s="98"/>
      <c r="AW98" s="99"/>
      <c r="AX98" s="98"/>
      <c r="AY98" s="99"/>
      <c r="AZ98" s="98"/>
      <c r="BA98" s="99"/>
      <c r="BB98" s="98"/>
      <c r="BC98" s="99"/>
      <c r="BD98" s="98"/>
      <c r="BE98" s="99"/>
      <c r="BF98" s="101"/>
    </row>
    <row r="99" spans="1:58" s="113" customFormat="1">
      <c r="A99" s="72"/>
      <c r="B99" s="105" t="s">
        <v>3</v>
      </c>
      <c r="C99" s="189" t="s">
        <v>27</v>
      </c>
      <c r="D99" s="91">
        <f>SUM(D97:D98)</f>
        <v>424958830.41474038</v>
      </c>
      <c r="E99" s="144">
        <f>SUM(E97:E98)</f>
        <v>21191830.217123047</v>
      </c>
      <c r="F99" s="91">
        <v>13725669.7602141</v>
      </c>
      <c r="G99" s="91">
        <f>SUM(G97:G98)</f>
        <v>13273204.883885922</v>
      </c>
      <c r="H99" s="91">
        <f>SUM(H97:H98)</f>
        <v>64797515.178069696</v>
      </c>
      <c r="I99" s="91">
        <f>SUM(I97:I98)</f>
        <v>1753064.9278604041</v>
      </c>
      <c r="J99" s="91">
        <f>D99-SUM(E99:I99,K99)</f>
        <v>310217545.44758725</v>
      </c>
      <c r="K99" s="91"/>
      <c r="L99" s="91">
        <f>SUM(L97:L98)</f>
        <v>0</v>
      </c>
      <c r="M99" s="91">
        <f>SUM(M97:M98)</f>
        <v>62609461.716443025</v>
      </c>
      <c r="N99" s="91">
        <f>SUM(N97:N98)</f>
        <v>239599046.89961863</v>
      </c>
      <c r="O99" s="91">
        <f>SUM(O97:O98)</f>
        <v>727167339.03080201</v>
      </c>
      <c r="P99" s="145">
        <f>ROUND(O99-D99,0)</f>
        <v>302208509</v>
      </c>
      <c r="Q99" s="176">
        <f>SUM(Q97:Q98)</f>
        <v>6260946171.6443033</v>
      </c>
      <c r="R99" s="92">
        <f t="shared" si="44"/>
        <v>6.7874538251002727</v>
      </c>
      <c r="S99" s="92">
        <f t="shared" si="44"/>
        <v>0.33847648001032832</v>
      </c>
      <c r="T99" s="92">
        <f t="shared" si="44"/>
        <v>0.21922676515535905</v>
      </c>
      <c r="U99" s="92">
        <f t="shared" si="44"/>
        <v>0.21199998402797321</v>
      </c>
      <c r="V99" s="92">
        <f t="shared" si="44"/>
        <v>1.0349476485125573</v>
      </c>
      <c r="W99" s="92">
        <f t="shared" si="44"/>
        <v>2.799999999680558E-2</v>
      </c>
      <c r="X99" s="92">
        <f t="shared" si="44"/>
        <v>4.9548029473972504</v>
      </c>
      <c r="Y99" s="92">
        <f t="shared" si="44"/>
        <v>0</v>
      </c>
      <c r="Z99" s="92">
        <f t="shared" si="44"/>
        <v>0</v>
      </c>
      <c r="AA99" s="281">
        <f t="shared" si="44"/>
        <v>0.99999999999999989</v>
      </c>
      <c r="AB99" s="92">
        <f t="shared" si="44"/>
        <v>3.8268823965418801</v>
      </c>
      <c r="AC99" s="92">
        <f t="shared" si="44"/>
        <v>11.614336221642153</v>
      </c>
      <c r="AD99" s="92"/>
      <c r="AE99" s="93"/>
      <c r="AF99" s="74">
        <f>(AC99-AG99)/AG99</f>
        <v>0.4914163836461149</v>
      </c>
      <c r="AG99" s="92">
        <f t="shared" si="33"/>
        <v>7.7874538251002727</v>
      </c>
      <c r="AH99" s="92"/>
      <c r="AI99" s="74"/>
      <c r="AJ99" s="74"/>
      <c r="AK99" s="74"/>
      <c r="AL99" s="74"/>
      <c r="AM99" s="74"/>
      <c r="AN99" s="86"/>
      <c r="AO99" s="86"/>
      <c r="AP99" s="86"/>
      <c r="AQ99" s="82"/>
      <c r="AR99" s="86"/>
      <c r="AS99" s="87"/>
      <c r="AT99" s="87"/>
      <c r="AU99" s="86"/>
      <c r="AV99" s="87"/>
      <c r="AW99" s="86"/>
      <c r="AX99" s="87"/>
      <c r="AY99" s="86"/>
      <c r="AZ99" s="87"/>
      <c r="BA99" s="86"/>
      <c r="BB99" s="87"/>
      <c r="BC99" s="86"/>
      <c r="BD99" s="87"/>
      <c r="BE99" s="86"/>
      <c r="BF99" s="88"/>
    </row>
    <row r="100" spans="1:58" s="11" customFormat="1">
      <c r="A100" s="72"/>
      <c r="B100" s="89"/>
      <c r="C100" s="77"/>
      <c r="D100" s="106"/>
      <c r="E100" s="144"/>
      <c r="F100" s="106"/>
      <c r="G100" s="106"/>
      <c r="H100" s="106"/>
      <c r="I100" s="106"/>
      <c r="J100" s="91"/>
      <c r="K100" s="91"/>
      <c r="L100" s="91"/>
      <c r="M100" s="91"/>
      <c r="N100" s="91"/>
      <c r="O100" s="91"/>
      <c r="P100" s="145"/>
      <c r="Q100" s="176"/>
      <c r="R100" s="92"/>
      <c r="S100" s="92"/>
      <c r="T100" s="92"/>
      <c r="U100" s="92"/>
      <c r="V100" s="92"/>
      <c r="W100" s="92"/>
      <c r="X100" s="92"/>
      <c r="Y100" s="92"/>
      <c r="Z100" s="92"/>
      <c r="AA100" s="281"/>
      <c r="AB100" s="92"/>
      <c r="AC100" s="92"/>
      <c r="AD100" s="92"/>
      <c r="AE100" s="93"/>
      <c r="AF100" s="74"/>
      <c r="AG100" s="92">
        <f t="shared" si="33"/>
        <v>0</v>
      </c>
      <c r="AH100" s="92"/>
      <c r="AI100" s="74"/>
      <c r="AJ100" s="74"/>
      <c r="AK100" s="74"/>
      <c r="AL100" s="74"/>
      <c r="AM100" s="74"/>
      <c r="AN100" s="86"/>
      <c r="AO100" s="86"/>
      <c r="AP100" s="86"/>
      <c r="AQ100" s="82"/>
      <c r="AR100" s="86"/>
      <c r="AS100" s="87"/>
      <c r="AT100" s="87"/>
      <c r="AU100" s="86"/>
      <c r="AV100" s="87"/>
      <c r="AW100" s="86"/>
      <c r="AX100" s="87"/>
      <c r="AY100" s="86"/>
      <c r="AZ100" s="87"/>
      <c r="BA100" s="86"/>
      <c r="BB100" s="87"/>
      <c r="BC100" s="86"/>
      <c r="BD100" s="87"/>
      <c r="BE100" s="86"/>
      <c r="BF100" s="88"/>
    </row>
    <row r="101" spans="1:58" s="11" customFormat="1">
      <c r="A101" s="72"/>
      <c r="B101" s="89" t="s">
        <v>103</v>
      </c>
      <c r="C101" s="77" t="s">
        <v>28</v>
      </c>
      <c r="D101" s="106">
        <v>250994563.90267399</v>
      </c>
      <c r="E101" s="186">
        <v>10235221.359523075</v>
      </c>
      <c r="F101" s="106">
        <v>6884087.0252529457</v>
      </c>
      <c r="G101" s="106">
        <v>7623847.6812290801</v>
      </c>
      <c r="H101" s="106">
        <v>57324701.143269099</v>
      </c>
      <c r="I101" s="106">
        <v>1058867.8723929278</v>
      </c>
      <c r="J101" s="91">
        <f>D101-SUM(E101:I101,K101)</f>
        <v>167867838.82100686</v>
      </c>
      <c r="K101" s="90"/>
      <c r="L101" s="90">
        <f>IF(allocation_method&gt;=6,CHOOSE(gen_choice,'Generation Calculations'!H105-'Generation Calculations'!I105+'Generation Calculations'!J105,'Generation Calculations'!G105+'Generation Calculations'!H105-'Generation Calculations'!I105+'Generation Calculations'!J105),0)</f>
        <v>0</v>
      </c>
      <c r="M101" s="90">
        <f>'Test Year 2001 Sales and Revs.'!K105</f>
        <v>30253367.782655079</v>
      </c>
      <c r="N101" s="90">
        <f>CHOOSE(allocation_method,'RSP Surch Allocations'!E102,'RSP Surch Allocations'!J102,'RSP Surch Allocations'!N102,'RSP Surch Allocations'!Q102,'RSP Surch Allocations'!AA102,'RSP Surch Allocations'!AH102,'RSP Surch Allocations'!AS102,'RSP Surch Allocations'!BD102,'RSP Surch Allocations'!BO102,'RSP Surch Allocations'!BZ102,)</f>
        <v>115776080.60354994</v>
      </c>
      <c r="O101" s="91">
        <f>SUM(E101:N101)</f>
        <v>397024012.28887904</v>
      </c>
      <c r="P101" s="145">
        <f>ROUND(O101-D101,0)</f>
        <v>146029448</v>
      </c>
      <c r="Q101" s="177">
        <v>3025336778.2656102</v>
      </c>
      <c r="R101" s="92">
        <f t="shared" ref="R101:AC103" si="45">D101/$Q101*100</f>
        <v>8.2964173015662137</v>
      </c>
      <c r="S101" s="92">
        <f t="shared" si="45"/>
        <v>0.33831675974239156</v>
      </c>
      <c r="T101" s="92">
        <f t="shared" si="45"/>
        <v>0.22754779152883309</v>
      </c>
      <c r="U101" s="92">
        <f t="shared" si="45"/>
        <v>0.25199996694582022</v>
      </c>
      <c r="V101" s="92">
        <f t="shared" si="45"/>
        <v>1.8948204892459168</v>
      </c>
      <c r="W101" s="92">
        <f t="shared" si="45"/>
        <v>3.4999999999998817E-2</v>
      </c>
      <c r="X101" s="92">
        <f t="shared" si="45"/>
        <v>5.5487322941032531</v>
      </c>
      <c r="Y101" s="92">
        <f t="shared" si="45"/>
        <v>0</v>
      </c>
      <c r="Z101" s="92">
        <f t="shared" si="45"/>
        <v>0</v>
      </c>
      <c r="AA101" s="281">
        <f t="shared" si="45"/>
        <v>0.99999999999996625</v>
      </c>
      <c r="AB101" s="92">
        <f t="shared" si="45"/>
        <v>3.8268823965417496</v>
      </c>
      <c r="AC101" s="92">
        <f t="shared" si="45"/>
        <v>13.123299698107932</v>
      </c>
      <c r="AD101" s="92"/>
      <c r="AE101" s="93"/>
      <c r="AF101" s="74">
        <f>(AC101-AG101)/AG101</f>
        <v>0.41165131387733978</v>
      </c>
      <c r="AG101" s="92">
        <f t="shared" si="33"/>
        <v>9.29641730156618</v>
      </c>
      <c r="AH101" s="92"/>
      <c r="AI101" s="74"/>
      <c r="AJ101" s="74"/>
      <c r="AK101" s="74"/>
      <c r="AL101" s="74"/>
      <c r="AM101" s="74"/>
      <c r="AN101" s="86"/>
      <c r="AO101" s="86"/>
      <c r="AP101" s="86"/>
      <c r="AQ101" s="82"/>
      <c r="AR101" s="86"/>
      <c r="AS101" s="87"/>
      <c r="AT101" s="87"/>
      <c r="AU101" s="86"/>
      <c r="AV101" s="87"/>
      <c r="AW101" s="86"/>
      <c r="AX101" s="87"/>
      <c r="AY101" s="86"/>
      <c r="AZ101" s="87"/>
      <c r="BA101" s="86"/>
      <c r="BB101" s="87"/>
      <c r="BC101" s="86"/>
      <c r="BD101" s="87"/>
      <c r="BE101" s="86"/>
      <c r="BF101" s="88"/>
    </row>
    <row r="102" spans="1:58" s="11" customFormat="1">
      <c r="A102" s="72"/>
      <c r="B102" s="89" t="s">
        <v>104</v>
      </c>
      <c r="C102" s="77" t="s">
        <v>28</v>
      </c>
      <c r="D102" s="156">
        <v>11798288.744451225</v>
      </c>
      <c r="E102" s="187">
        <v>547940.41060876695</v>
      </c>
      <c r="F102" s="156">
        <v>396292.18704785599</v>
      </c>
      <c r="G102" s="156">
        <v>408885.99068735773</v>
      </c>
      <c r="H102" s="156">
        <v>3197570.6891934699</v>
      </c>
      <c r="I102" s="156">
        <v>56789.720928799681</v>
      </c>
      <c r="J102" s="96">
        <f>D102-SUM(E102:I102,K102)</f>
        <v>7190809.7459849752</v>
      </c>
      <c r="K102" s="95"/>
      <c r="L102" s="95">
        <f>IF(allocation_method&gt;=6,CHOOSE(gen_choice,'Generation Calculations'!H106-'Generation Calculations'!I106+'Generation Calculations'!J106,'Generation Calculations'!G106+'Generation Calculations'!H106-'Generation Calculations'!I106+'Generation Calculations'!J106),0)</f>
        <v>0</v>
      </c>
      <c r="M102" s="95">
        <f>'Test Year 2001 Sales and Revs.'!K106</f>
        <v>1622563.4551085623</v>
      </c>
      <c r="N102" s="95">
        <f>CHOOSE(allocation_method,'RSP Surch Allocations'!E103,'RSP Surch Allocations'!J103,'RSP Surch Allocations'!N103,'RSP Surch Allocations'!Q103,'RSP Surch Allocations'!AA103,'RSP Surch Allocations'!AH103,'RSP Surch Allocations'!AS103,'RSP Surch Allocations'!BD103,'RSP Surch Allocations'!BO103,'RSP Surch Allocations'!BZ103,)</f>
        <v>6209359.5236271275</v>
      </c>
      <c r="O102" s="91">
        <f>SUM(E102:N102)</f>
        <v>19630211.723186914</v>
      </c>
      <c r="P102" s="145">
        <f>ROUND(O102-D102,0)</f>
        <v>7831923</v>
      </c>
      <c r="Q102" s="178">
        <v>162256345.51085621</v>
      </c>
      <c r="R102" s="97">
        <f t="shared" si="45"/>
        <v>7.2713881896605566</v>
      </c>
      <c r="S102" s="97">
        <f t="shared" si="45"/>
        <v>0.33770045102618523</v>
      </c>
      <c r="T102" s="97">
        <f t="shared" si="45"/>
        <v>0.24423832904663872</v>
      </c>
      <c r="U102" s="97">
        <f t="shared" si="45"/>
        <v>0.25200000000000006</v>
      </c>
      <c r="V102" s="97">
        <f t="shared" si="45"/>
        <v>1.970690686472738</v>
      </c>
      <c r="W102" s="97">
        <f t="shared" si="45"/>
        <v>3.5000000000000003E-2</v>
      </c>
      <c r="X102" s="97">
        <f t="shared" si="45"/>
        <v>4.4317587231149949</v>
      </c>
      <c r="Y102" s="97">
        <f t="shared" si="45"/>
        <v>0</v>
      </c>
      <c r="Z102" s="97">
        <f t="shared" si="45"/>
        <v>0</v>
      </c>
      <c r="AA102" s="280">
        <f t="shared" si="45"/>
        <v>1</v>
      </c>
      <c r="AB102" s="97">
        <f t="shared" si="45"/>
        <v>3.8268823965418801</v>
      </c>
      <c r="AC102" s="97">
        <f t="shared" si="45"/>
        <v>12.098270586202437</v>
      </c>
      <c r="AD102" s="97"/>
      <c r="AE102" s="93"/>
      <c r="AF102" s="79">
        <f>(AC102-AG102)/AG102</f>
        <v>0.46266507009374569</v>
      </c>
      <c r="AG102" s="92">
        <f t="shared" si="33"/>
        <v>8.2713881896605557</v>
      </c>
      <c r="AH102" s="92"/>
      <c r="AI102" s="79"/>
      <c r="AJ102" s="79"/>
      <c r="AK102" s="79"/>
      <c r="AL102" s="79"/>
      <c r="AM102" s="79"/>
      <c r="AN102" s="99"/>
      <c r="AO102" s="99"/>
      <c r="AP102" s="99"/>
      <c r="AQ102" s="100"/>
      <c r="AR102" s="99"/>
      <c r="AS102" s="98"/>
      <c r="AT102" s="98"/>
      <c r="AU102" s="99"/>
      <c r="AV102" s="98"/>
      <c r="AW102" s="99"/>
      <c r="AX102" s="98"/>
      <c r="AY102" s="99"/>
      <c r="AZ102" s="98"/>
      <c r="BA102" s="99"/>
      <c r="BB102" s="98"/>
      <c r="BC102" s="99"/>
      <c r="BD102" s="98"/>
      <c r="BE102" s="99"/>
      <c r="BF102" s="101"/>
    </row>
    <row r="103" spans="1:58" s="113" customFormat="1">
      <c r="A103" s="72"/>
      <c r="B103" s="105" t="s">
        <v>3</v>
      </c>
      <c r="C103" s="189" t="s">
        <v>28</v>
      </c>
      <c r="D103" s="91">
        <v>262792842.64712483</v>
      </c>
      <c r="E103" s="144">
        <f>SUM(E101:E102)</f>
        <v>10783161.770131841</v>
      </c>
      <c r="F103" s="91">
        <v>7280379.2123028021</v>
      </c>
      <c r="G103" s="91">
        <f>SUM(G101:G102)</f>
        <v>8032733.6719164383</v>
      </c>
      <c r="H103" s="91">
        <f>SUM(H101:H102)</f>
        <v>60522271.832462572</v>
      </c>
      <c r="I103" s="91">
        <f>SUM(I101:I102)</f>
        <v>1115657.5933217274</v>
      </c>
      <c r="J103" s="91">
        <f>D103-SUM(E103:I103,K103)</f>
        <v>175058638.56698942</v>
      </c>
      <c r="K103" s="91"/>
      <c r="L103" s="91">
        <f>SUM(L101:L102)</f>
        <v>0</v>
      </c>
      <c r="M103" s="91">
        <f>SUM(M101:M102)</f>
        <v>31875931.23776364</v>
      </c>
      <c r="N103" s="91">
        <f>SUM(N101:N102)</f>
        <v>121985440.12717707</v>
      </c>
      <c r="O103" s="91">
        <f>SUM(O101:O102)</f>
        <v>416654224.01206595</v>
      </c>
      <c r="P103" s="145">
        <f>ROUND(O103-D103,0)</f>
        <v>153861381</v>
      </c>
      <c r="Q103" s="176">
        <f>SUM(Q101:Q102)</f>
        <v>3187593123.7764664</v>
      </c>
      <c r="R103" s="92">
        <f t="shared" si="45"/>
        <v>8.2442404799701627</v>
      </c>
      <c r="S103" s="92">
        <f t="shared" si="45"/>
        <v>0.33828538810990433</v>
      </c>
      <c r="T103" s="92">
        <f t="shared" si="45"/>
        <v>0.22839738102074497</v>
      </c>
      <c r="U103" s="92">
        <f t="shared" si="45"/>
        <v>0.25199996862835944</v>
      </c>
      <c r="V103" s="92">
        <f t="shared" si="45"/>
        <v>1.8986824692594224</v>
      </c>
      <c r="W103" s="92">
        <f t="shared" si="45"/>
        <v>3.4999999999998872E-2</v>
      </c>
      <c r="X103" s="92">
        <f t="shared" si="45"/>
        <v>5.4918752729517308</v>
      </c>
      <c r="Y103" s="92">
        <f t="shared" si="45"/>
        <v>0</v>
      </c>
      <c r="Z103" s="92">
        <f t="shared" si="45"/>
        <v>0</v>
      </c>
      <c r="AA103" s="281">
        <f t="shared" si="45"/>
        <v>0.99999999999996791</v>
      </c>
      <c r="AB103" s="92">
        <f t="shared" si="45"/>
        <v>3.8268823965417567</v>
      </c>
      <c r="AC103" s="92">
        <f t="shared" si="45"/>
        <v>13.071123190228223</v>
      </c>
      <c r="AD103" s="92"/>
      <c r="AE103" s="93"/>
      <c r="AF103" s="74">
        <f>(AC103-AG103)/AG103</f>
        <v>0.4139748115110109</v>
      </c>
      <c r="AG103" s="92">
        <f t="shared" si="33"/>
        <v>9.2442404799701308</v>
      </c>
      <c r="AH103" s="92"/>
      <c r="AI103" s="74"/>
      <c r="AJ103" s="74"/>
      <c r="AK103" s="74"/>
      <c r="AL103" s="74"/>
      <c r="AM103" s="74"/>
      <c r="AN103" s="86"/>
      <c r="AO103" s="86"/>
      <c r="AP103" s="86"/>
      <c r="AQ103" s="82"/>
      <c r="AR103" s="86"/>
      <c r="AS103" s="87"/>
      <c r="AT103" s="87"/>
      <c r="AU103" s="86"/>
      <c r="AV103" s="87"/>
      <c r="AW103" s="86"/>
      <c r="AX103" s="87"/>
      <c r="AY103" s="86"/>
      <c r="AZ103" s="87"/>
      <c r="BA103" s="86"/>
      <c r="BB103" s="87"/>
      <c r="BC103" s="86"/>
      <c r="BD103" s="87"/>
      <c r="BE103" s="86"/>
      <c r="BF103" s="88"/>
    </row>
    <row r="104" spans="1:58" s="11" customFormat="1">
      <c r="A104" s="72"/>
      <c r="B104" s="89"/>
      <c r="C104" s="73"/>
      <c r="D104" s="106"/>
      <c r="E104" s="144"/>
      <c r="F104" s="106"/>
      <c r="G104" s="106"/>
      <c r="H104" s="106"/>
      <c r="I104" s="106"/>
      <c r="J104" s="91"/>
      <c r="K104" s="91"/>
      <c r="L104" s="91"/>
      <c r="M104" s="91"/>
      <c r="N104" s="91"/>
      <c r="O104" s="91"/>
      <c r="P104" s="145"/>
      <c r="Q104" s="176"/>
      <c r="R104" s="92"/>
      <c r="S104" s="92"/>
      <c r="T104" s="92"/>
      <c r="U104" s="92"/>
      <c r="V104" s="92"/>
      <c r="W104" s="92"/>
      <c r="X104" s="92"/>
      <c r="Y104" s="92"/>
      <c r="Z104" s="92"/>
      <c r="AA104" s="281"/>
      <c r="AB104" s="92"/>
      <c r="AC104" s="92"/>
      <c r="AD104" s="92"/>
      <c r="AE104" s="93"/>
      <c r="AF104" s="74"/>
      <c r="AG104" s="92">
        <f t="shared" si="33"/>
        <v>0</v>
      </c>
      <c r="AH104" s="92"/>
      <c r="AI104" s="74"/>
      <c r="AJ104" s="74"/>
      <c r="AK104" s="74"/>
      <c r="AL104" s="74"/>
      <c r="AM104" s="74"/>
      <c r="AN104" s="82"/>
      <c r="AO104" s="82"/>
      <c r="AP104" s="86"/>
      <c r="AQ104" s="82"/>
      <c r="AR104" s="86"/>
      <c r="AS104" s="87"/>
      <c r="AT104" s="87"/>
      <c r="AU104" s="86"/>
      <c r="AV104" s="87"/>
      <c r="AW104" s="86"/>
      <c r="AX104" s="87"/>
      <c r="AY104" s="86"/>
      <c r="AZ104" s="87"/>
      <c r="BA104" s="86"/>
      <c r="BB104" s="87"/>
      <c r="BC104" s="86"/>
      <c r="BD104" s="87"/>
      <c r="BE104" s="82"/>
      <c r="BF104" s="88"/>
    </row>
    <row r="105" spans="1:58" s="113" customFormat="1">
      <c r="A105" s="72"/>
      <c r="B105" s="190" t="s">
        <v>105</v>
      </c>
      <c r="C105" s="72"/>
      <c r="D105" s="91">
        <f t="shared" ref="D105:J105" si="46">D103+D99+D95</f>
        <v>1018418492.809716</v>
      </c>
      <c r="E105" s="91">
        <f t="shared" si="46"/>
        <v>55799700.51016634</v>
      </c>
      <c r="F105" s="91">
        <f t="shared" si="46"/>
        <v>35372741.441129729</v>
      </c>
      <c r="G105" s="91">
        <f t="shared" si="46"/>
        <v>32432505.118706837</v>
      </c>
      <c r="H105" s="91">
        <f t="shared" si="46"/>
        <v>136689272.6836721</v>
      </c>
      <c r="I105" s="91">
        <f t="shared" si="46"/>
        <v>4206727.3610250745</v>
      </c>
      <c r="J105" s="91">
        <f t="shared" si="46"/>
        <v>753917545.69501591</v>
      </c>
      <c r="K105" s="91"/>
      <c r="L105" s="91">
        <f>L103+L99+L95</f>
        <v>0</v>
      </c>
      <c r="M105" s="91">
        <f>M103+M99+M95</f>
        <v>164906700.31436157</v>
      </c>
      <c r="N105" s="91">
        <f>N103+N99+N95</f>
        <v>631078548.50483763</v>
      </c>
      <c r="O105" s="91">
        <f>O103+O99+O95</f>
        <v>1814403751.6289155</v>
      </c>
      <c r="P105" s="145">
        <f>ROUND(O105-D105,0)</f>
        <v>795985259</v>
      </c>
      <c r="Q105" s="176">
        <v>16470670031.436199</v>
      </c>
      <c r="R105" s="92">
        <f t="shared" ref="R105:AC105" si="47">D105/$Q105*100</f>
        <v>6.1832244278219717</v>
      </c>
      <c r="S105" s="92">
        <f t="shared" si="47"/>
        <v>0.33878221349626997</v>
      </c>
      <c r="T105" s="92">
        <f t="shared" si="47"/>
        <v>0.21476200648556931</v>
      </c>
      <c r="U105" s="92">
        <f t="shared" si="47"/>
        <v>0.19691066032411314</v>
      </c>
      <c r="V105" s="92">
        <f t="shared" si="47"/>
        <v>0.82989503415941568</v>
      </c>
      <c r="W105" s="92">
        <f t="shared" si="47"/>
        <v>2.55407178517695E-2</v>
      </c>
      <c r="X105" s="92">
        <f t="shared" si="47"/>
        <v>4.5773337955048348</v>
      </c>
      <c r="Y105" s="92">
        <f t="shared" si="47"/>
        <v>0</v>
      </c>
      <c r="Z105" s="92">
        <f t="shared" si="47"/>
        <v>0</v>
      </c>
      <c r="AA105" s="281">
        <f t="shared" si="47"/>
        <v>1.0012142796839343</v>
      </c>
      <c r="AB105" s="92">
        <f t="shared" si="47"/>
        <v>3.831529302088807</v>
      </c>
      <c r="AC105" s="92">
        <f t="shared" si="47"/>
        <v>11.0159680703087</v>
      </c>
      <c r="AD105" s="92"/>
      <c r="AE105" s="93"/>
      <c r="AF105" s="74">
        <f>(AC105-AG105)/AG105</f>
        <v>0.53330949275130191</v>
      </c>
      <c r="AG105" s="92">
        <f t="shared" si="33"/>
        <v>7.1844387075059064</v>
      </c>
      <c r="AH105" s="92"/>
      <c r="AI105" s="74"/>
      <c r="AJ105" s="74"/>
      <c r="AK105" s="74"/>
      <c r="AL105" s="74"/>
      <c r="AM105" s="74"/>
      <c r="AN105" s="86"/>
      <c r="AO105" s="86"/>
      <c r="AP105" s="86"/>
      <c r="AQ105" s="82"/>
      <c r="AR105" s="86"/>
      <c r="AS105" s="87"/>
      <c r="AT105" s="87"/>
      <c r="AU105" s="86"/>
      <c r="AV105" s="87"/>
      <c r="AW105" s="86"/>
      <c r="AX105" s="87"/>
      <c r="AY105" s="86"/>
      <c r="AZ105" s="87"/>
      <c r="BA105" s="86"/>
      <c r="BB105" s="87"/>
      <c r="BC105" s="86"/>
      <c r="BD105" s="87"/>
      <c r="BE105" s="86"/>
      <c r="BF105" s="88"/>
    </row>
    <row r="106" spans="1:58" s="11" customFormat="1">
      <c r="A106" s="72"/>
      <c r="B106" s="94"/>
      <c r="C106" s="73"/>
      <c r="D106" s="106"/>
      <c r="E106" s="144"/>
      <c r="F106" s="106"/>
      <c r="G106" s="106"/>
      <c r="H106" s="106"/>
      <c r="I106" s="106"/>
      <c r="J106" s="91"/>
      <c r="K106" s="91"/>
      <c r="L106" s="91"/>
      <c r="M106" s="91"/>
      <c r="N106" s="91"/>
      <c r="O106" s="91"/>
      <c r="P106" s="145"/>
      <c r="Q106" s="176"/>
      <c r="R106" s="92"/>
      <c r="S106" s="92"/>
      <c r="T106" s="92"/>
      <c r="U106" s="92"/>
      <c r="V106" s="92"/>
      <c r="W106" s="92"/>
      <c r="X106" s="92"/>
      <c r="Y106" s="92"/>
      <c r="Z106" s="92"/>
      <c r="AA106" s="281"/>
      <c r="AB106" s="92"/>
      <c r="AC106" s="92"/>
      <c r="AD106" s="92"/>
      <c r="AE106" s="93"/>
      <c r="AF106" s="74"/>
      <c r="AG106" s="92">
        <f t="shared" si="33"/>
        <v>0</v>
      </c>
      <c r="AH106" s="92"/>
      <c r="AI106" s="74"/>
      <c r="AJ106" s="74"/>
      <c r="AK106" s="74"/>
      <c r="AL106" s="74"/>
      <c r="AM106" s="74"/>
      <c r="AN106" s="82"/>
      <c r="AO106" s="82"/>
      <c r="AP106" s="86"/>
      <c r="AQ106" s="82"/>
      <c r="AR106" s="86"/>
      <c r="AS106" s="87"/>
      <c r="AT106" s="87"/>
      <c r="AU106" s="86"/>
      <c r="AV106" s="87"/>
      <c r="AW106" s="86"/>
      <c r="AX106" s="87"/>
      <c r="AY106" s="86"/>
      <c r="AZ106" s="87"/>
      <c r="BA106" s="86"/>
      <c r="BB106" s="87"/>
      <c r="BC106" s="86"/>
      <c r="BD106" s="87"/>
      <c r="BE106" s="82"/>
      <c r="BF106" s="88"/>
    </row>
    <row r="107" spans="1:58" s="11" customFormat="1">
      <c r="A107" s="72"/>
      <c r="B107" s="89" t="s">
        <v>81</v>
      </c>
      <c r="C107" s="77" t="s">
        <v>21</v>
      </c>
      <c r="D107" s="106">
        <v>224444.926740472</v>
      </c>
      <c r="E107" s="186">
        <v>11773.423239035628</v>
      </c>
      <c r="F107" s="106">
        <v>7298.1012193654178</v>
      </c>
      <c r="G107" s="106">
        <v>7472</v>
      </c>
      <c r="H107" s="106">
        <v>18000.8624736604</v>
      </c>
      <c r="I107" s="106">
        <v>1009.2</v>
      </c>
      <c r="J107" s="91">
        <f>D107-SUM(E107:I107,K107)</f>
        <v>178891.33980841056</v>
      </c>
      <c r="K107" s="90"/>
      <c r="L107" s="90">
        <f>IF(allocation_method&gt;=6,CHOOSE(gen_choice,'Generation Calculations'!H109-'Generation Calculations'!I109+'Generation Calculations'!J109,'Generation Calculations'!G109+'Generation Calculations'!H109-'Generation Calculations'!I109+'Generation Calculations'!J109),0)</f>
        <v>0</v>
      </c>
      <c r="M107" s="90">
        <f>'Test Year 2001 Sales and Revs.'!K109</f>
        <v>34800</v>
      </c>
      <c r="N107" s="90">
        <f>CHOOSE(allocation_method,'RSP Surch Allocations'!E108,'RSP Surch Allocations'!J108,'RSP Surch Allocations'!N108,'RSP Surch Allocations'!Q108,'RSP Surch Allocations'!AA108,'RSP Surch Allocations'!AH108,'RSP Surch Allocations'!AS108,'RSP Surch Allocations'!BD108,'RSP Surch Allocations'!BO108,'RSP Surch Allocations'!BZ108,)</f>
        <v>133175.50739965742</v>
      </c>
      <c r="O107" s="91">
        <f>SUM(E107:N107)</f>
        <v>392420.43414012942</v>
      </c>
      <c r="P107" s="145">
        <f>ROUND(O107-D107,0)</f>
        <v>167976</v>
      </c>
      <c r="Q107" s="177">
        <v>3480000</v>
      </c>
      <c r="R107" s="92">
        <f t="shared" ref="R107:AC109" si="48">D107/$Q107*100</f>
        <v>6.4495668603583916</v>
      </c>
      <c r="S107" s="92">
        <f t="shared" si="48"/>
        <v>0.33831675974240311</v>
      </c>
      <c r="T107" s="92">
        <f t="shared" si="48"/>
        <v>0.20971555228061545</v>
      </c>
      <c r="U107" s="92">
        <f t="shared" si="48"/>
        <v>0.21471264367816092</v>
      </c>
      <c r="V107" s="92">
        <f t="shared" si="48"/>
        <v>0.51726616303621842</v>
      </c>
      <c r="W107" s="92">
        <f t="shared" si="48"/>
        <v>2.9000000000000001E-2</v>
      </c>
      <c r="X107" s="92">
        <f t="shared" si="48"/>
        <v>5.140555741620993</v>
      </c>
      <c r="Y107" s="92">
        <f t="shared" si="48"/>
        <v>0</v>
      </c>
      <c r="Z107" s="92">
        <f t="shared" si="48"/>
        <v>0</v>
      </c>
      <c r="AA107" s="281">
        <f t="shared" si="48"/>
        <v>1</v>
      </c>
      <c r="AB107" s="92">
        <f t="shared" si="48"/>
        <v>3.8268823965418801</v>
      </c>
      <c r="AC107" s="92">
        <f t="shared" si="48"/>
        <v>11.276449256900271</v>
      </c>
      <c r="AD107" s="92"/>
      <c r="AE107" s="93"/>
      <c r="AF107" s="74">
        <f>(AC107-AG107)/AG107</f>
        <v>0.51370535606653678</v>
      </c>
      <c r="AG107" s="92">
        <f t="shared" si="33"/>
        <v>7.4495668603583916</v>
      </c>
      <c r="AH107" s="92"/>
      <c r="AI107" s="74"/>
      <c r="AJ107" s="74"/>
      <c r="AK107" s="74"/>
      <c r="AL107" s="74"/>
      <c r="AM107" s="74"/>
      <c r="AN107" s="86"/>
      <c r="AO107" s="86"/>
      <c r="AP107" s="86"/>
      <c r="AQ107" s="82"/>
      <c r="AR107" s="86"/>
      <c r="AS107" s="87"/>
      <c r="AT107" s="87"/>
      <c r="AU107" s="86"/>
      <c r="AV107" s="87"/>
      <c r="AW107" s="86"/>
      <c r="AX107" s="87"/>
      <c r="AY107" s="86"/>
      <c r="AZ107" s="87"/>
      <c r="BA107" s="86"/>
      <c r="BB107" s="87"/>
      <c r="BC107" s="86"/>
      <c r="BD107" s="87"/>
      <c r="BE107" s="86"/>
      <c r="BF107" s="88"/>
    </row>
    <row r="108" spans="1:58" s="11" customFormat="1">
      <c r="A108" s="72"/>
      <c r="B108" s="94"/>
      <c r="C108" s="77" t="s">
        <v>28</v>
      </c>
      <c r="D108" s="156">
        <v>25462163.43918119</v>
      </c>
      <c r="E108" s="187">
        <v>1193966.5193111147</v>
      </c>
      <c r="F108" s="156">
        <v>1000111.3065037268</v>
      </c>
      <c r="G108" s="156">
        <v>882284.47</v>
      </c>
      <c r="H108" s="156">
        <v>5047353.0463896589</v>
      </c>
      <c r="I108" s="156">
        <v>119990.69064000002</v>
      </c>
      <c r="J108" s="96">
        <f>D108-SUM(E108:I108,K108)</f>
        <v>17218457.406336691</v>
      </c>
      <c r="K108" s="95"/>
      <c r="L108" s="95">
        <f>IF(allocation_method&gt;=6,CHOOSE(gen_choice,'Generation Calculations'!H110-'Generation Calculations'!I110+'Generation Calculations'!J110,'Generation Calculations'!G110+'Generation Calculations'!H110-'Generation Calculations'!I110+'Generation Calculations'!J110),0)</f>
        <v>0</v>
      </c>
      <c r="M108" s="95">
        <f>'Test Year 2001 Sales and Revs.'!K110</f>
        <v>3529137.96</v>
      </c>
      <c r="N108" s="95">
        <f>CHOOSE(allocation_method,'RSP Surch Allocations'!E109,'RSP Surch Allocations'!J109,'RSP Surch Allocations'!N109,'RSP Surch Allocations'!Q109,'RSP Surch Allocations'!AA109,'RSP Surch Allocations'!AH109,'RSP Surch Allocations'!AS109,'RSP Surch Allocations'!BD109,'RSP Surch Allocations'!BO109,'RSP Surch Allocations'!BZ109,)</f>
        <v>13505595.934091723</v>
      </c>
      <c r="O108" s="91">
        <f>SUM(E108:N108)</f>
        <v>42496897.333272912</v>
      </c>
      <c r="P108" s="145">
        <f>ROUND(O108-D108,0)</f>
        <v>17034734</v>
      </c>
      <c r="Q108" s="178">
        <v>352913796</v>
      </c>
      <c r="R108" s="97">
        <f t="shared" si="48"/>
        <v>7.2148393539087348</v>
      </c>
      <c r="S108" s="97">
        <f t="shared" si="48"/>
        <v>0.33831675974240311</v>
      </c>
      <c r="T108" s="97">
        <f t="shared" si="48"/>
        <v>0.28338685476147457</v>
      </c>
      <c r="U108" s="97">
        <f t="shared" si="48"/>
        <v>0.24999999433289369</v>
      </c>
      <c r="V108" s="97">
        <f t="shared" si="48"/>
        <v>1.430194314758287</v>
      </c>
      <c r="W108" s="97">
        <f t="shared" si="48"/>
        <v>3.4000000000000002E-2</v>
      </c>
      <c r="X108" s="97">
        <f t="shared" si="48"/>
        <v>4.8789414303136773</v>
      </c>
      <c r="Y108" s="97">
        <f t="shared" si="48"/>
        <v>0</v>
      </c>
      <c r="Z108" s="97">
        <f t="shared" si="48"/>
        <v>0</v>
      </c>
      <c r="AA108" s="280">
        <f t="shared" si="48"/>
        <v>1</v>
      </c>
      <c r="AB108" s="97">
        <f t="shared" si="48"/>
        <v>3.8268823965418801</v>
      </c>
      <c r="AC108" s="97">
        <f t="shared" si="48"/>
        <v>12.041721750450614</v>
      </c>
      <c r="AD108" s="97"/>
      <c r="AE108" s="93"/>
      <c r="AF108" s="79">
        <f>(AC108-AG108)/AG108</f>
        <v>0.46584993712883693</v>
      </c>
      <c r="AG108" s="92">
        <f t="shared" si="33"/>
        <v>8.2148393539087348</v>
      </c>
      <c r="AH108" s="92"/>
      <c r="AI108" s="79"/>
      <c r="AJ108" s="79"/>
      <c r="AK108" s="79"/>
      <c r="AL108" s="79"/>
      <c r="AM108" s="79"/>
      <c r="AN108" s="99"/>
      <c r="AO108" s="99"/>
      <c r="AP108" s="99"/>
      <c r="AQ108" s="100"/>
      <c r="AR108" s="99"/>
      <c r="AS108" s="98"/>
      <c r="AT108" s="98"/>
      <c r="AU108" s="99"/>
      <c r="AV108" s="98"/>
      <c r="AW108" s="99"/>
      <c r="AX108" s="98"/>
      <c r="AY108" s="99"/>
      <c r="AZ108" s="98"/>
      <c r="BA108" s="99"/>
      <c r="BB108" s="98"/>
      <c r="BC108" s="99"/>
      <c r="BD108" s="98"/>
      <c r="BE108" s="99"/>
      <c r="BF108" s="101"/>
    </row>
    <row r="109" spans="1:58" s="113" customFormat="1">
      <c r="A109" s="72"/>
      <c r="B109" s="105" t="s">
        <v>106</v>
      </c>
      <c r="C109" s="72"/>
      <c r="D109" s="91">
        <f>SUM(D106:D108)</f>
        <v>25686608.365921661</v>
      </c>
      <c r="E109" s="91">
        <f>SUM(E106:E108)</f>
        <v>1205739.9425501502</v>
      </c>
      <c r="F109" s="91">
        <f>SUM(F106:F108)</f>
        <v>1007409.4077230921</v>
      </c>
      <c r="G109" s="91">
        <f>SUM(G106:G108)</f>
        <v>889756.47</v>
      </c>
      <c r="H109" s="91">
        <f>SUM(H106:H108)</f>
        <v>5065353.9088633191</v>
      </c>
      <c r="I109" s="91">
        <f t="shared" ref="I109:P109" si="49">SUM(I107:I108)</f>
        <v>120999.89064000001</v>
      </c>
      <c r="J109" s="91">
        <f t="shared" si="49"/>
        <v>17397348.746145103</v>
      </c>
      <c r="K109" s="91">
        <f t="shared" si="49"/>
        <v>0</v>
      </c>
      <c r="L109" s="91">
        <f t="shared" si="49"/>
        <v>0</v>
      </c>
      <c r="M109" s="91">
        <f t="shared" si="49"/>
        <v>3563937.96</v>
      </c>
      <c r="N109" s="91">
        <f>SUM(N107:N108)</f>
        <v>13638771.44149138</v>
      </c>
      <c r="O109" s="91">
        <f t="shared" si="49"/>
        <v>42889317.767413042</v>
      </c>
      <c r="P109" s="148">
        <f t="shared" si="49"/>
        <v>17202710</v>
      </c>
      <c r="Q109" s="176">
        <f>SUM(Q107:Q108)</f>
        <v>356393796</v>
      </c>
      <c r="R109" s="92">
        <f t="shared" si="48"/>
        <v>7.2073668661509647</v>
      </c>
      <c r="S109" s="92">
        <f t="shared" si="48"/>
        <v>0.33831675974240311</v>
      </c>
      <c r="T109" s="92">
        <f t="shared" si="48"/>
        <v>0.28266749282108494</v>
      </c>
      <c r="U109" s="92">
        <f t="shared" si="48"/>
        <v>0.24965543171239715</v>
      </c>
      <c r="V109" s="92">
        <f t="shared" si="48"/>
        <v>1.4212800463180113</v>
      </c>
      <c r="W109" s="92">
        <f t="shared" si="48"/>
        <v>3.3951177601307073E-2</v>
      </c>
      <c r="X109" s="92">
        <f t="shared" si="48"/>
        <v>4.881495957955762</v>
      </c>
      <c r="Y109" s="92">
        <f t="shared" si="48"/>
        <v>0</v>
      </c>
      <c r="Z109" s="92">
        <f t="shared" si="48"/>
        <v>0</v>
      </c>
      <c r="AA109" s="281">
        <f t="shared" si="48"/>
        <v>1</v>
      </c>
      <c r="AB109" s="92">
        <f t="shared" si="48"/>
        <v>3.8268823965418801</v>
      </c>
      <c r="AC109" s="92">
        <f t="shared" si="48"/>
        <v>12.034249262692844</v>
      </c>
      <c r="AD109" s="92"/>
      <c r="AE109" s="93"/>
      <c r="AF109" s="74">
        <f>(AC109-AG109)/AG109</f>
        <v>0.46627407534623649</v>
      </c>
      <c r="AG109" s="92">
        <f t="shared" si="33"/>
        <v>8.2073668661509647</v>
      </c>
      <c r="AH109" s="92"/>
      <c r="AI109" s="74"/>
      <c r="AJ109" s="74"/>
      <c r="AK109" s="74"/>
      <c r="AL109" s="74"/>
      <c r="AM109" s="74"/>
      <c r="AN109" s="86"/>
      <c r="AO109" s="86"/>
      <c r="AP109" s="86"/>
      <c r="AQ109" s="82"/>
      <c r="AR109" s="86"/>
      <c r="AS109" s="87"/>
      <c r="AT109" s="87"/>
      <c r="AU109" s="86"/>
      <c r="AV109" s="87"/>
      <c r="AW109" s="86"/>
      <c r="AX109" s="87"/>
      <c r="AY109" s="86"/>
      <c r="AZ109" s="87"/>
      <c r="BA109" s="86"/>
      <c r="BB109" s="87"/>
      <c r="BC109" s="86"/>
      <c r="BD109" s="87"/>
      <c r="BE109" s="86"/>
      <c r="BF109" s="88"/>
    </row>
    <row r="110" spans="1:58" s="11" customFormat="1" ht="14.25" customHeight="1">
      <c r="A110" s="72"/>
      <c r="B110" s="89"/>
      <c r="C110" s="73"/>
      <c r="D110" s="106"/>
      <c r="E110" s="144"/>
      <c r="F110" s="106"/>
      <c r="G110" s="106"/>
      <c r="H110" s="106"/>
      <c r="I110" s="106"/>
      <c r="J110" s="91"/>
      <c r="K110" s="91"/>
      <c r="L110" s="91"/>
      <c r="M110" s="91"/>
      <c r="N110" s="91"/>
      <c r="O110" s="91"/>
      <c r="P110" s="145"/>
      <c r="Q110" s="176"/>
      <c r="R110" s="92"/>
      <c r="S110" s="92"/>
      <c r="T110" s="92"/>
      <c r="U110" s="92"/>
      <c r="V110" s="92"/>
      <c r="W110" s="92"/>
      <c r="X110" s="92"/>
      <c r="Y110" s="92"/>
      <c r="Z110" s="92"/>
      <c r="AA110" s="281"/>
      <c r="AB110" s="92"/>
      <c r="AC110" s="92"/>
      <c r="AD110" s="92"/>
      <c r="AE110" s="93"/>
      <c r="AF110" s="74"/>
      <c r="AG110" s="92">
        <f t="shared" si="33"/>
        <v>0</v>
      </c>
      <c r="AH110" s="92"/>
      <c r="AI110" s="74"/>
      <c r="AJ110" s="74"/>
      <c r="AK110" s="74"/>
      <c r="AL110" s="74"/>
      <c r="AM110" s="74"/>
      <c r="AN110" s="82"/>
      <c r="AO110" s="82"/>
      <c r="AP110" s="86"/>
      <c r="AQ110" s="82"/>
      <c r="AR110" s="86"/>
      <c r="AS110" s="87"/>
      <c r="AT110" s="87"/>
      <c r="AU110" s="86"/>
      <c r="AV110" s="87"/>
      <c r="AW110" s="86"/>
      <c r="AX110" s="87"/>
      <c r="AY110" s="86"/>
      <c r="AZ110" s="87"/>
      <c r="BA110" s="86"/>
      <c r="BB110" s="87"/>
      <c r="BC110" s="86"/>
      <c r="BD110" s="87"/>
      <c r="BE110" s="82"/>
      <c r="BF110" s="88"/>
    </row>
    <row r="111" spans="1:58" s="113" customFormat="1">
      <c r="A111" s="72"/>
      <c r="B111" s="190" t="s">
        <v>107</v>
      </c>
      <c r="C111" s="72" t="s">
        <v>21</v>
      </c>
      <c r="D111" s="91">
        <f t="shared" ref="D111:J111" si="50">+D95+D107</f>
        <v>330891264.67459124</v>
      </c>
      <c r="E111" s="91">
        <f t="shared" si="50"/>
        <v>23836481.946150489</v>
      </c>
      <c r="F111" s="91">
        <f t="shared" si="50"/>
        <v>14373990.569832193</v>
      </c>
      <c r="G111" s="91">
        <f t="shared" si="50"/>
        <v>11134038.562904475</v>
      </c>
      <c r="H111" s="91">
        <f t="shared" si="50"/>
        <v>11387486.535613505</v>
      </c>
      <c r="I111" s="91">
        <f t="shared" si="50"/>
        <v>1339014.0398429434</v>
      </c>
      <c r="J111" s="91">
        <f t="shared" si="50"/>
        <v>268820253.02024764</v>
      </c>
      <c r="K111" s="91"/>
      <c r="L111" s="91">
        <f>+L95+L107</f>
        <v>0</v>
      </c>
      <c r="M111" s="91">
        <f>+M95+M107</f>
        <v>70456107.360154912</v>
      </c>
      <c r="N111" s="91">
        <f>+N95+N107</f>
        <v>269627236.98544163</v>
      </c>
      <c r="O111" s="91">
        <f>+O95+O107</f>
        <v>670974609.02018774</v>
      </c>
      <c r="P111" s="145">
        <f>ROUND(O111-D111,0)</f>
        <v>340083344</v>
      </c>
      <c r="Q111" s="176">
        <v>7045610736.0154696</v>
      </c>
      <c r="R111" s="92">
        <f t="shared" ref="R111:AC114" si="51">D111/$Q111*100</f>
        <v>4.6964170612372129</v>
      </c>
      <c r="S111" s="92">
        <f t="shared" si="51"/>
        <v>0.33831675974240416</v>
      </c>
      <c r="T111" s="92">
        <f t="shared" si="51"/>
        <v>0.20401340789884698</v>
      </c>
      <c r="U111" s="92">
        <f t="shared" si="51"/>
        <v>0.15802801176610487</v>
      </c>
      <c r="V111" s="92">
        <f t="shared" si="51"/>
        <v>0.16162525808307021</v>
      </c>
      <c r="W111" s="92">
        <f t="shared" si="51"/>
        <v>1.9004939245340725E-2</v>
      </c>
      <c r="X111" s="92">
        <f t="shared" si="51"/>
        <v>3.8154286845014456</v>
      </c>
      <c r="Y111" s="92">
        <f t="shared" si="51"/>
        <v>0</v>
      </c>
      <c r="Z111" s="92">
        <f t="shared" si="51"/>
        <v>0</v>
      </c>
      <c r="AA111" s="281">
        <f t="shared" si="51"/>
        <v>1.0000000000000031</v>
      </c>
      <c r="AB111" s="92">
        <f t="shared" si="51"/>
        <v>3.8268823965418921</v>
      </c>
      <c r="AC111" s="92">
        <f t="shared" si="51"/>
        <v>9.5232994577791068</v>
      </c>
      <c r="AD111" s="92"/>
      <c r="AE111" s="93"/>
      <c r="AF111" s="74">
        <f>(AC111-AG111)/AG111</f>
        <v>0.67180516373755861</v>
      </c>
      <c r="AG111" s="92">
        <f t="shared" si="33"/>
        <v>5.6964170612372165</v>
      </c>
      <c r="AH111" s="92"/>
      <c r="AI111" s="74"/>
      <c r="AJ111" s="74"/>
      <c r="AK111" s="74"/>
      <c r="AL111" s="74"/>
      <c r="AM111" s="74"/>
      <c r="AN111" s="86"/>
      <c r="AO111" s="86"/>
      <c r="AP111" s="86"/>
      <c r="AQ111" s="82"/>
      <c r="AR111" s="86"/>
      <c r="AS111" s="87"/>
      <c r="AT111" s="87"/>
      <c r="AU111" s="86"/>
      <c r="AV111" s="87"/>
      <c r="AW111" s="86"/>
      <c r="AX111" s="87"/>
      <c r="AY111" s="86"/>
      <c r="AZ111" s="87"/>
      <c r="BA111" s="86"/>
      <c r="BB111" s="87"/>
      <c r="BC111" s="86"/>
      <c r="BD111" s="87"/>
      <c r="BE111" s="86"/>
      <c r="BF111" s="88"/>
    </row>
    <row r="112" spans="1:58" s="113" customFormat="1">
      <c r="A112" s="72"/>
      <c r="B112" s="190"/>
      <c r="C112" s="72" t="s">
        <v>27</v>
      </c>
      <c r="D112" s="91">
        <f t="shared" ref="D112:J112" si="52">+D99</f>
        <v>424958830.41474038</v>
      </c>
      <c r="E112" s="91">
        <f t="shared" si="52"/>
        <v>21191830.217123047</v>
      </c>
      <c r="F112" s="91">
        <f t="shared" si="52"/>
        <v>13725669.7602141</v>
      </c>
      <c r="G112" s="91">
        <f t="shared" si="52"/>
        <v>13273204.883885922</v>
      </c>
      <c r="H112" s="91">
        <f t="shared" si="52"/>
        <v>64797515.178069696</v>
      </c>
      <c r="I112" s="91">
        <f t="shared" si="52"/>
        <v>1753064.9278604041</v>
      </c>
      <c r="J112" s="91">
        <f t="shared" si="52"/>
        <v>310217545.44758725</v>
      </c>
      <c r="K112" s="91"/>
      <c r="L112" s="91">
        <f>+L99</f>
        <v>0</v>
      </c>
      <c r="M112" s="91">
        <f>+M99</f>
        <v>62609461.716443025</v>
      </c>
      <c r="N112" s="91">
        <f>+N99</f>
        <v>239599046.89961863</v>
      </c>
      <c r="O112" s="91">
        <f>+O99</f>
        <v>727167339.03080201</v>
      </c>
      <c r="P112" s="145">
        <f>ROUND(O112-D112,0)</f>
        <v>302208509</v>
      </c>
      <c r="Q112" s="176">
        <v>6260946171.6443033</v>
      </c>
      <c r="R112" s="92">
        <f t="shared" si="51"/>
        <v>6.7874538251002727</v>
      </c>
      <c r="S112" s="92">
        <f t="shared" si="51"/>
        <v>0.33847648001032832</v>
      </c>
      <c r="T112" s="92">
        <f t="shared" si="51"/>
        <v>0.21922676515535905</v>
      </c>
      <c r="U112" s="92">
        <f t="shared" si="51"/>
        <v>0.21199998402797321</v>
      </c>
      <c r="V112" s="92">
        <f t="shared" si="51"/>
        <v>1.0349476485125573</v>
      </c>
      <c r="W112" s="92">
        <f t="shared" si="51"/>
        <v>2.799999999680558E-2</v>
      </c>
      <c r="X112" s="92">
        <f t="shared" si="51"/>
        <v>4.9548029473972504</v>
      </c>
      <c r="Y112" s="92">
        <f t="shared" si="51"/>
        <v>0</v>
      </c>
      <c r="Z112" s="92">
        <f t="shared" si="51"/>
        <v>0</v>
      </c>
      <c r="AA112" s="281">
        <f t="shared" si="51"/>
        <v>0.99999999999999989</v>
      </c>
      <c r="AB112" s="92">
        <f t="shared" si="51"/>
        <v>3.8268823965418801</v>
      </c>
      <c r="AC112" s="92">
        <f t="shared" si="51"/>
        <v>11.614336221642153</v>
      </c>
      <c r="AD112" s="92"/>
      <c r="AE112" s="93"/>
      <c r="AF112" s="74">
        <f>(AC112-AG112)/AG112</f>
        <v>0.4914163836461149</v>
      </c>
      <c r="AG112" s="92">
        <f t="shared" si="33"/>
        <v>7.7874538251002727</v>
      </c>
      <c r="AH112" s="92"/>
      <c r="AI112" s="74"/>
      <c r="AJ112" s="74"/>
      <c r="AK112" s="74"/>
      <c r="AL112" s="74"/>
      <c r="AM112" s="74"/>
      <c r="AN112" s="86"/>
      <c r="AO112" s="86"/>
      <c r="AP112" s="86"/>
      <c r="AQ112" s="82"/>
      <c r="AR112" s="86"/>
      <c r="AS112" s="87"/>
      <c r="AT112" s="87"/>
      <c r="AU112" s="86"/>
      <c r="AV112" s="87"/>
      <c r="AW112" s="86"/>
      <c r="AX112" s="87"/>
      <c r="AY112" s="86"/>
      <c r="AZ112" s="87"/>
      <c r="BA112" s="86"/>
      <c r="BB112" s="87"/>
      <c r="BC112" s="86"/>
      <c r="BD112" s="87"/>
      <c r="BE112" s="86"/>
      <c r="BF112" s="88"/>
    </row>
    <row r="113" spans="1:58" s="113" customFormat="1">
      <c r="A113" s="72"/>
      <c r="B113" s="190"/>
      <c r="C113" s="72" t="s">
        <v>28</v>
      </c>
      <c r="D113" s="96">
        <f t="shared" ref="D113:J113" si="53">+D108+D103</f>
        <v>288255006.08630604</v>
      </c>
      <c r="E113" s="96">
        <f t="shared" si="53"/>
        <v>11977128.289442956</v>
      </c>
      <c r="F113" s="96">
        <f t="shared" si="53"/>
        <v>8280490.5188065292</v>
      </c>
      <c r="G113" s="96">
        <f t="shared" si="53"/>
        <v>8915018.1419164389</v>
      </c>
      <c r="H113" s="96">
        <f t="shared" si="53"/>
        <v>65569624.878852233</v>
      </c>
      <c r="I113" s="96">
        <f t="shared" si="53"/>
        <v>1235648.2839617273</v>
      </c>
      <c r="J113" s="96">
        <f t="shared" si="53"/>
        <v>192277095.97332612</v>
      </c>
      <c r="K113" s="96"/>
      <c r="L113" s="96">
        <f>+L108+L103</f>
        <v>0</v>
      </c>
      <c r="M113" s="96">
        <f>+M108+M103</f>
        <v>35405069.197763637</v>
      </c>
      <c r="N113" s="96">
        <f>+N108+N103</f>
        <v>135491036.06126881</v>
      </c>
      <c r="O113" s="96">
        <f>+O108+O103</f>
        <v>459151121.34533888</v>
      </c>
      <c r="P113" s="145">
        <f>ROUND(O113-D113,0)</f>
        <v>170896115</v>
      </c>
      <c r="Q113" s="179">
        <v>3540506919.7763634</v>
      </c>
      <c r="R113" s="97">
        <f t="shared" si="51"/>
        <v>8.1416309194648804</v>
      </c>
      <c r="S113" s="97">
        <f t="shared" si="51"/>
        <v>0.33828851519938546</v>
      </c>
      <c r="T113" s="97">
        <f t="shared" si="51"/>
        <v>0.23387867066588217</v>
      </c>
      <c r="U113" s="97">
        <f t="shared" si="51"/>
        <v>0.25180061341271315</v>
      </c>
      <c r="V113" s="97">
        <f t="shared" si="51"/>
        <v>1.8519840905435638</v>
      </c>
      <c r="W113" s="97">
        <f t="shared" si="51"/>
        <v>3.4900321111073468E-2</v>
      </c>
      <c r="X113" s="97">
        <f t="shared" si="51"/>
        <v>5.4307787085322605</v>
      </c>
      <c r="Y113" s="97">
        <f t="shared" si="51"/>
        <v>0</v>
      </c>
      <c r="Z113" s="97">
        <f t="shared" si="51"/>
        <v>0</v>
      </c>
      <c r="AA113" s="280">
        <f t="shared" si="51"/>
        <v>1</v>
      </c>
      <c r="AB113" s="97">
        <f t="shared" si="51"/>
        <v>3.8268823965418801</v>
      </c>
      <c r="AC113" s="97">
        <f t="shared" si="51"/>
        <v>12.968513598452203</v>
      </c>
      <c r="AD113" s="97"/>
      <c r="AE113" s="93"/>
      <c r="AF113" s="79">
        <f>(AC113-AG113)/AG113</f>
        <v>0.41862143776105709</v>
      </c>
      <c r="AG113" s="92">
        <f t="shared" si="33"/>
        <v>9.1416309194648804</v>
      </c>
      <c r="AH113" s="92"/>
      <c r="AI113" s="79"/>
      <c r="AJ113" s="79"/>
      <c r="AK113" s="79"/>
      <c r="AL113" s="79"/>
      <c r="AM113" s="79"/>
      <c r="AN113" s="99"/>
      <c r="AO113" s="99"/>
      <c r="AP113" s="99"/>
      <c r="AQ113" s="100"/>
      <c r="AR113" s="99"/>
      <c r="AS113" s="98"/>
      <c r="AT113" s="98"/>
      <c r="AU113" s="99"/>
      <c r="AV113" s="98"/>
      <c r="AW113" s="99"/>
      <c r="AX113" s="98"/>
      <c r="AY113" s="99"/>
      <c r="AZ113" s="98"/>
      <c r="BA113" s="99"/>
      <c r="BB113" s="98"/>
      <c r="BC113" s="99"/>
      <c r="BD113" s="98"/>
      <c r="BE113" s="99"/>
      <c r="BF113" s="101"/>
    </row>
    <row r="114" spans="1:58" s="113" customFormat="1">
      <c r="A114" s="72"/>
      <c r="B114" s="190" t="s">
        <v>107</v>
      </c>
      <c r="C114" s="72"/>
      <c r="D114" s="91">
        <f t="shared" ref="D114:J114" si="54">SUM(D111:D113)</f>
        <v>1044105101.1756377</v>
      </c>
      <c r="E114" s="91">
        <f t="shared" si="54"/>
        <v>57005440.452716492</v>
      </c>
      <c r="F114" s="91">
        <f t="shared" si="54"/>
        <v>36380150.848852821</v>
      </c>
      <c r="G114" s="91">
        <f t="shared" si="54"/>
        <v>33322261.588706836</v>
      </c>
      <c r="H114" s="91">
        <f t="shared" si="54"/>
        <v>141754626.59253544</v>
      </c>
      <c r="I114" s="91">
        <f t="shared" si="54"/>
        <v>4327727.2516650744</v>
      </c>
      <c r="J114" s="91">
        <f t="shared" si="54"/>
        <v>771314894.44116104</v>
      </c>
      <c r="K114" s="91"/>
      <c r="L114" s="91">
        <f>SUM(L111:L113)</f>
        <v>0</v>
      </c>
      <c r="M114" s="91">
        <f>SUM(M111:M113)</f>
        <v>168470638.27436155</v>
      </c>
      <c r="N114" s="91">
        <f>SUM(N111:N113)</f>
        <v>644717319.94632912</v>
      </c>
      <c r="O114" s="91">
        <f>SUM(O111:O113)</f>
        <v>1857293069.3963284</v>
      </c>
      <c r="P114" s="145">
        <f>ROUND(O114-D114,0)</f>
        <v>813187968</v>
      </c>
      <c r="Q114" s="176">
        <v>16847063827.436157</v>
      </c>
      <c r="R114" s="92">
        <f t="shared" si="51"/>
        <v>6.1975493882516686</v>
      </c>
      <c r="S114" s="92">
        <f t="shared" si="51"/>
        <v>0.33837018151424536</v>
      </c>
      <c r="T114" s="92">
        <f t="shared" si="51"/>
        <v>0.21594356869240444</v>
      </c>
      <c r="U114" s="92">
        <f t="shared" si="51"/>
        <v>0.19779269509527306</v>
      </c>
      <c r="V114" s="92">
        <f t="shared" si="51"/>
        <v>0.84142036882226334</v>
      </c>
      <c r="W114" s="92">
        <f t="shared" si="51"/>
        <v>2.5688317537072469E-2</v>
      </c>
      <c r="X114" s="92">
        <f t="shared" si="51"/>
        <v>4.5783342565904102</v>
      </c>
      <c r="Y114" s="92">
        <f t="shared" si="51"/>
        <v>0</v>
      </c>
      <c r="Z114" s="92">
        <f t="shared" si="51"/>
        <v>0</v>
      </c>
      <c r="AA114" s="281">
        <f t="shared" si="51"/>
        <v>0.99999999999999989</v>
      </c>
      <c r="AB114" s="92">
        <f t="shared" si="51"/>
        <v>3.8268823965418806</v>
      </c>
      <c r="AC114" s="92">
        <f t="shared" si="51"/>
        <v>11.024431844151074</v>
      </c>
      <c r="AD114" s="92"/>
      <c r="AE114" s="93"/>
      <c r="AF114" s="74">
        <f>(AC114-AG114)/AG114</f>
        <v>0.53169242049883036</v>
      </c>
      <c r="AG114" s="92">
        <f t="shared" si="33"/>
        <v>7.1975493882516686</v>
      </c>
      <c r="AH114" s="92"/>
      <c r="AI114" s="74"/>
      <c r="AJ114" s="74"/>
      <c r="AK114" s="74"/>
      <c r="AL114" s="74"/>
      <c r="AM114" s="74"/>
      <c r="AN114" s="86"/>
      <c r="AO114" s="86"/>
      <c r="AP114" s="86"/>
      <c r="AQ114" s="82"/>
      <c r="AR114" s="86"/>
      <c r="AS114" s="87"/>
      <c r="AT114" s="87"/>
      <c r="AU114" s="86"/>
      <c r="AV114" s="87"/>
      <c r="AW114" s="86"/>
      <c r="AX114" s="87"/>
      <c r="AY114" s="86"/>
      <c r="AZ114" s="87"/>
      <c r="BA114" s="86"/>
      <c r="BB114" s="87"/>
      <c r="BC114" s="86"/>
      <c r="BD114" s="87"/>
      <c r="BE114" s="86"/>
      <c r="BF114" s="88"/>
    </row>
    <row r="115" spans="1:58" s="11" customFormat="1">
      <c r="A115" s="72"/>
      <c r="B115" s="94"/>
      <c r="C115" s="73"/>
      <c r="D115" s="106"/>
      <c r="E115" s="144"/>
      <c r="F115" s="106"/>
      <c r="G115" s="106"/>
      <c r="H115" s="106"/>
      <c r="I115" s="106"/>
      <c r="J115" s="91"/>
      <c r="K115" s="91"/>
      <c r="L115" s="91"/>
      <c r="M115" s="91"/>
      <c r="N115" s="91"/>
      <c r="O115" s="91"/>
      <c r="P115" s="145"/>
      <c r="Q115" s="176"/>
      <c r="R115" s="92"/>
      <c r="S115" s="92"/>
      <c r="T115" s="92"/>
      <c r="U115" s="92"/>
      <c r="V115" s="92"/>
      <c r="W115" s="92"/>
      <c r="X115" s="92"/>
      <c r="Y115" s="92"/>
      <c r="Z115" s="92"/>
      <c r="AA115" s="281"/>
      <c r="AB115" s="92"/>
      <c r="AC115" s="92"/>
      <c r="AD115" s="92"/>
      <c r="AE115" s="93"/>
      <c r="AF115" s="74"/>
      <c r="AG115" s="92">
        <f t="shared" si="33"/>
        <v>0</v>
      </c>
      <c r="AH115" s="92"/>
      <c r="AI115" s="74"/>
      <c r="AJ115" s="74"/>
      <c r="AK115" s="74"/>
      <c r="AL115" s="74"/>
      <c r="AM115" s="74"/>
      <c r="AN115" s="82"/>
      <c r="AO115" s="82"/>
      <c r="AP115" s="86"/>
      <c r="AQ115" s="82"/>
      <c r="AR115" s="86"/>
      <c r="AS115" s="87"/>
      <c r="AT115" s="87"/>
      <c r="AU115" s="86"/>
      <c r="AV115" s="87"/>
      <c r="AW115" s="86"/>
      <c r="AX115" s="87"/>
      <c r="AY115" s="86"/>
      <c r="AZ115" s="87"/>
      <c r="BA115" s="86"/>
      <c r="BB115" s="87"/>
      <c r="BC115" s="86"/>
      <c r="BD115" s="87"/>
      <c r="BE115" s="82"/>
      <c r="BF115" s="88"/>
    </row>
    <row r="116" spans="1:58" s="11" customFormat="1">
      <c r="A116" s="72"/>
      <c r="B116" s="89" t="s">
        <v>85</v>
      </c>
      <c r="C116" s="77" t="s">
        <v>21</v>
      </c>
      <c r="D116" s="106">
        <v>17626446.149999999</v>
      </c>
      <c r="E116" s="186">
        <v>1214042.9260004186</v>
      </c>
      <c r="F116" s="106">
        <v>724357.12032090197</v>
      </c>
      <c r="G116" s="106">
        <v>760757.76000000001</v>
      </c>
      <c r="H116" s="106">
        <v>352064.79240533157</v>
      </c>
      <c r="I116" s="106">
        <v>100477.44</v>
      </c>
      <c r="J116" s="91">
        <f>D116-SUM(E116:I116,K116)</f>
        <v>14474746.111273346</v>
      </c>
      <c r="K116" s="90"/>
      <c r="L116" s="90">
        <f>IF(allocation_method&gt;=6,CHOOSE(gen_choice,'Generation Calculations'!H118-'Generation Calculations'!I118+'Generation Calculations'!J118,'Generation Calculations'!G118+'Generation Calculations'!H118-'Generation Calculations'!I118+'Generation Calculations'!J118),0)</f>
        <v>0</v>
      </c>
      <c r="M116" s="90">
        <f>'Test Year 2001 Sales and Revs.'!K118</f>
        <v>3588480</v>
      </c>
      <c r="N116" s="90">
        <f>CHOOSE(allocation_method,'RSP Surch Allocations'!E117,'RSP Surch Allocations'!J117,'RSP Surch Allocations'!N117,'RSP Surch Allocations'!Q117,'RSP Surch Allocations'!AA117,'RSP Surch Allocations'!AH117,'RSP Surch Allocations'!AS117,'RSP Surch Allocations'!BD117,'RSP Surch Allocations'!BO117,'RSP Surch Allocations'!BZ117,)</f>
        <v>13732690.942342605</v>
      </c>
      <c r="O116" s="91">
        <f>SUM(E116:N116)</f>
        <v>34947617.0923426</v>
      </c>
      <c r="P116" s="145">
        <f>ROUND(O116-D116,0)</f>
        <v>17321171</v>
      </c>
      <c r="Q116" s="177">
        <v>358847000</v>
      </c>
      <c r="R116" s="92">
        <f t="shared" ref="R116:AC116" si="55">D116/$Q116*100</f>
        <v>4.9119669803565298</v>
      </c>
      <c r="S116" s="92">
        <f t="shared" si="55"/>
        <v>0.33831770253072163</v>
      </c>
      <c r="T116" s="92">
        <f t="shared" si="55"/>
        <v>0.20185681371751807</v>
      </c>
      <c r="U116" s="92">
        <f t="shared" si="55"/>
        <v>0.21200059078102926</v>
      </c>
      <c r="V116" s="92">
        <f t="shared" si="55"/>
        <v>9.811000019655497E-2</v>
      </c>
      <c r="W116" s="92">
        <f t="shared" si="55"/>
        <v>2.8000078027683107E-2</v>
      </c>
      <c r="X116" s="92">
        <f t="shared" si="55"/>
        <v>4.0336817951030239</v>
      </c>
      <c r="Y116" s="92">
        <f t="shared" si="55"/>
        <v>0</v>
      </c>
      <c r="Z116" s="92">
        <f t="shared" si="55"/>
        <v>0</v>
      </c>
      <c r="AA116" s="281">
        <f t="shared" si="55"/>
        <v>1.0000027867029682</v>
      </c>
      <c r="AB116" s="92">
        <f t="shared" si="55"/>
        <v>3.8268930609264133</v>
      </c>
      <c r="AC116" s="92">
        <f t="shared" si="55"/>
        <v>9.7388628279859102</v>
      </c>
      <c r="AD116" s="92"/>
      <c r="AE116" s="93"/>
      <c r="AF116" s="74">
        <f>(AC116-AG116)/AG116</f>
        <v>0.64731269132146407</v>
      </c>
      <c r="AG116" s="92">
        <f t="shared" si="33"/>
        <v>5.9119697670594977</v>
      </c>
      <c r="AH116" s="92"/>
      <c r="AI116" s="74"/>
      <c r="AJ116" s="74"/>
      <c r="AK116" s="74"/>
      <c r="AL116" s="74"/>
      <c r="AM116" s="74"/>
      <c r="AN116" s="86"/>
      <c r="AO116" s="86"/>
      <c r="AP116" s="86"/>
      <c r="AQ116" s="82"/>
      <c r="AR116" s="86"/>
      <c r="AS116" s="87"/>
      <c r="AT116" s="87"/>
      <c r="AU116" s="86"/>
      <c r="AV116" s="87"/>
      <c r="AW116" s="86"/>
      <c r="AX116" s="87"/>
      <c r="AY116" s="86"/>
      <c r="AZ116" s="87"/>
      <c r="BA116" s="86"/>
      <c r="BB116" s="87"/>
      <c r="BC116" s="86"/>
      <c r="BD116" s="87"/>
      <c r="BE116" s="86"/>
      <c r="BF116" s="88"/>
    </row>
    <row r="117" spans="1:58" s="11" customFormat="1">
      <c r="A117" s="72"/>
      <c r="B117" s="94"/>
      <c r="C117" s="77" t="s">
        <v>27</v>
      </c>
      <c r="D117" s="106">
        <v>0</v>
      </c>
      <c r="E117" s="186">
        <v>0</v>
      </c>
      <c r="F117" s="106">
        <v>0</v>
      </c>
      <c r="G117" s="106">
        <v>0</v>
      </c>
      <c r="H117" s="106">
        <v>0</v>
      </c>
      <c r="I117" s="106">
        <v>0</v>
      </c>
      <c r="J117" s="91">
        <f>D117-SUM(E117:I117,K117)</f>
        <v>0</v>
      </c>
      <c r="K117" s="90"/>
      <c r="L117" s="90">
        <f>IF(allocation_method&gt;=6,CHOOSE(gen_choice,'Generation Calculations'!H119-'Generation Calculations'!I119+'Generation Calculations'!J119,'Generation Calculations'!G119+'Generation Calculations'!H119-'Generation Calculations'!I119+'Generation Calculations'!J119),0)</f>
        <v>0</v>
      </c>
      <c r="M117" s="90">
        <f>'Test Year 2001 Sales and Revs.'!K119</f>
        <v>0</v>
      </c>
      <c r="N117" s="90">
        <f>CHOOSE(allocation_method,'RSP Surch Allocations'!E118,'RSP Surch Allocations'!J118,'RSP Surch Allocations'!N118,'RSP Surch Allocations'!Q118,'RSP Surch Allocations'!AA118,'RSP Surch Allocations'!AH118,'RSP Surch Allocations'!AS118,'RSP Surch Allocations'!BD118,'RSP Surch Allocations'!BO118,'RSP Surch Allocations'!BZ118,)</f>
        <v>0</v>
      </c>
      <c r="O117" s="91">
        <f>SUM(E117:N117)</f>
        <v>0</v>
      </c>
      <c r="P117" s="145">
        <f>ROUND(O117-D117,0)</f>
        <v>0</v>
      </c>
      <c r="Q117" s="177">
        <v>0</v>
      </c>
      <c r="R117" s="92"/>
      <c r="S117" s="92"/>
      <c r="T117" s="92"/>
      <c r="U117" s="92"/>
      <c r="V117" s="92"/>
      <c r="W117" s="92"/>
      <c r="X117" s="92"/>
      <c r="Y117" s="92"/>
      <c r="Z117" s="92"/>
      <c r="AA117" s="281"/>
      <c r="AB117" s="92"/>
      <c r="AC117" s="92"/>
      <c r="AD117" s="92"/>
      <c r="AE117" s="93"/>
      <c r="AF117" s="74"/>
      <c r="AG117" s="92">
        <f t="shared" si="33"/>
        <v>0</v>
      </c>
      <c r="AH117" s="92"/>
      <c r="AI117" s="74"/>
      <c r="AJ117" s="74"/>
      <c r="AK117" s="74"/>
      <c r="AL117" s="74"/>
      <c r="AM117" s="74"/>
      <c r="AN117" s="82"/>
      <c r="AO117" s="82"/>
      <c r="AP117" s="86"/>
      <c r="AQ117" s="82"/>
      <c r="AR117" s="86"/>
      <c r="AS117" s="87"/>
      <c r="AT117" s="87"/>
      <c r="AU117" s="86"/>
      <c r="AV117" s="87"/>
      <c r="AW117" s="86"/>
      <c r="AX117" s="87"/>
      <c r="AY117" s="86"/>
      <c r="AZ117" s="87"/>
      <c r="BA117" s="86"/>
      <c r="BB117" s="87"/>
      <c r="BC117" s="86"/>
      <c r="BD117" s="87"/>
      <c r="BE117" s="82"/>
      <c r="BF117" s="88"/>
    </row>
    <row r="118" spans="1:58" s="11" customFormat="1">
      <c r="A118" s="72"/>
      <c r="B118" s="94"/>
      <c r="C118" s="77" t="s">
        <v>28</v>
      </c>
      <c r="D118" s="156">
        <v>1782797.25</v>
      </c>
      <c r="E118" s="187">
        <v>96537.584479857964</v>
      </c>
      <c r="F118" s="156">
        <v>65035.336707171969</v>
      </c>
      <c r="G118" s="156">
        <v>71907.378469999996</v>
      </c>
      <c r="H118" s="156">
        <v>543893.50654721283</v>
      </c>
      <c r="I118" s="156">
        <v>9987.1359000000011</v>
      </c>
      <c r="J118" s="96">
        <f>D118-SUM(E118:I118,K118)</f>
        <v>995436.30789575726</v>
      </c>
      <c r="K118" s="95"/>
      <c r="L118" s="95">
        <f>IF(allocation_method&gt;=6,CHOOSE(gen_choice,'Generation Calculations'!H120-'Generation Calculations'!I120+'Generation Calculations'!J120,'Generation Calculations'!G120+'Generation Calculations'!H120-'Generation Calculations'!I120+'Generation Calculations'!J120),0)</f>
        <v>0</v>
      </c>
      <c r="M118" s="95">
        <f>'Test Year 2001 Sales and Revs.'!K120</f>
        <v>285346.74</v>
      </c>
      <c r="N118" s="95">
        <f>CHOOSE(allocation_method,'RSP Surch Allocations'!E119,'RSP Surch Allocations'!J119,'RSP Surch Allocations'!N119,'RSP Surch Allocations'!Q119,'RSP Surch Allocations'!AA119,'RSP Surch Allocations'!AH119,'RSP Surch Allocations'!AS119,'RSP Surch Allocations'!BD119,'RSP Surch Allocations'!BO119,'RSP Surch Allocations'!BZ119,)</f>
        <v>1091988.4162166128</v>
      </c>
      <c r="O118" s="91">
        <f>SUM(E118:N118)</f>
        <v>3160132.406216613</v>
      </c>
      <c r="P118" s="145">
        <f>ROUND(O118-D118,0)</f>
        <v>1377335</v>
      </c>
      <c r="Q118" s="178">
        <v>28534674</v>
      </c>
      <c r="R118" s="97">
        <f t="shared" ref="R118:AC119" si="56">D118/$Q118*100</f>
        <v>6.2478276429581783</v>
      </c>
      <c r="S118" s="97">
        <f t="shared" si="56"/>
        <v>0.33831675974240311</v>
      </c>
      <c r="T118" s="97">
        <f t="shared" si="56"/>
        <v>0.22791687301972319</v>
      </c>
      <c r="U118" s="97">
        <f t="shared" si="56"/>
        <v>0.25199999996495492</v>
      </c>
      <c r="V118" s="97">
        <f t="shared" si="56"/>
        <v>1.9060792723519915</v>
      </c>
      <c r="W118" s="97">
        <f t="shared" si="56"/>
        <v>3.5000000000000003E-2</v>
      </c>
      <c r="X118" s="97">
        <f t="shared" si="56"/>
        <v>3.4885147378791053</v>
      </c>
      <c r="Y118" s="97">
        <f t="shared" si="56"/>
        <v>0</v>
      </c>
      <c r="Z118" s="97">
        <f t="shared" si="56"/>
        <v>0</v>
      </c>
      <c r="AA118" s="280">
        <f t="shared" si="56"/>
        <v>1</v>
      </c>
      <c r="AB118" s="97">
        <f t="shared" si="56"/>
        <v>3.8268823965418801</v>
      </c>
      <c r="AC118" s="97">
        <f t="shared" si="56"/>
        <v>11.07471003950006</v>
      </c>
      <c r="AD118" s="97"/>
      <c r="AE118" s="93"/>
      <c r="AF118" s="79">
        <f>(AC118-AG118)/AG118</f>
        <v>0.5280040565340971</v>
      </c>
      <c r="AG118" s="92">
        <f t="shared" si="33"/>
        <v>7.2478276429581783</v>
      </c>
      <c r="AH118" s="92"/>
      <c r="AI118" s="79"/>
      <c r="AJ118" s="79"/>
      <c r="AK118" s="79"/>
      <c r="AL118" s="79"/>
      <c r="AM118" s="79"/>
      <c r="AN118" s="99"/>
      <c r="AO118" s="99"/>
      <c r="AP118" s="99"/>
      <c r="AQ118" s="100"/>
      <c r="AR118" s="99"/>
      <c r="AS118" s="98"/>
      <c r="AT118" s="98"/>
      <c r="AU118" s="99"/>
      <c r="AV118" s="98"/>
      <c r="AW118" s="99"/>
      <c r="AX118" s="98"/>
      <c r="AY118" s="99"/>
      <c r="AZ118" s="98"/>
      <c r="BA118" s="99"/>
      <c r="BB118" s="98"/>
      <c r="BC118" s="99"/>
      <c r="BD118" s="98"/>
      <c r="BE118" s="99"/>
      <c r="BF118" s="101"/>
    </row>
    <row r="119" spans="1:58" s="113" customFormat="1">
      <c r="A119" s="72"/>
      <c r="B119" s="105" t="s">
        <v>108</v>
      </c>
      <c r="C119" s="72"/>
      <c r="D119" s="91">
        <f t="shared" ref="D119:I119" si="57">SUM(D116:D118)</f>
        <v>19409243.399999999</v>
      </c>
      <c r="E119" s="91">
        <f t="shared" si="57"/>
        <v>1310580.5104802765</v>
      </c>
      <c r="F119" s="91">
        <f t="shared" si="57"/>
        <v>789392.45702807396</v>
      </c>
      <c r="G119" s="91">
        <f t="shared" si="57"/>
        <v>832665.13847000001</v>
      </c>
      <c r="H119" s="91">
        <f t="shared" si="57"/>
        <v>895958.29895254434</v>
      </c>
      <c r="I119" s="91">
        <f t="shared" si="57"/>
        <v>110464.5759</v>
      </c>
      <c r="J119" s="91">
        <f>D119-SUM(E119:I119,K119)</f>
        <v>15470182.419169104</v>
      </c>
      <c r="K119" s="91"/>
      <c r="L119" s="91">
        <f>SUM(L116:L118)</f>
        <v>0</v>
      </c>
      <c r="M119" s="91">
        <f>SUM(M116:M118)</f>
        <v>3873826.74</v>
      </c>
      <c r="N119" s="91">
        <f>SUM(N116:N118)</f>
        <v>14824679.358559217</v>
      </c>
      <c r="O119" s="91">
        <f>SUM(O116:O118)</f>
        <v>38107749.498559214</v>
      </c>
      <c r="P119" s="145">
        <f>ROUND(O119-D119,0)</f>
        <v>18698506</v>
      </c>
      <c r="Q119" s="176">
        <v>387382674</v>
      </c>
      <c r="R119" s="92">
        <f t="shared" si="56"/>
        <v>5.0103540252809546</v>
      </c>
      <c r="S119" s="92">
        <f t="shared" si="56"/>
        <v>0.33831675974240305</v>
      </c>
      <c r="T119" s="92">
        <f t="shared" si="56"/>
        <v>0.20377588106278441</v>
      </c>
      <c r="U119" s="92">
        <f t="shared" si="56"/>
        <v>0.21494640683646063</v>
      </c>
      <c r="V119" s="92">
        <f t="shared" si="56"/>
        <v>0.23128507263919201</v>
      </c>
      <c r="W119" s="92">
        <f t="shared" si="56"/>
        <v>2.8515621196832361E-2</v>
      </c>
      <c r="X119" s="92">
        <f t="shared" si="56"/>
        <v>3.9935142838032824</v>
      </c>
      <c r="Y119" s="92">
        <f t="shared" si="56"/>
        <v>0</v>
      </c>
      <c r="Z119" s="92">
        <f t="shared" si="56"/>
        <v>0</v>
      </c>
      <c r="AA119" s="281">
        <f t="shared" si="56"/>
        <v>1</v>
      </c>
      <c r="AB119" s="92">
        <f t="shared" si="56"/>
        <v>3.8268823965418801</v>
      </c>
      <c r="AC119" s="92">
        <f t="shared" si="56"/>
        <v>9.8372364218228334</v>
      </c>
      <c r="AD119" s="92"/>
      <c r="AE119" s="93"/>
      <c r="AF119" s="74">
        <f>(AC119-AG119)/AG119</f>
        <v>0.63671497227037155</v>
      </c>
      <c r="AG119" s="92">
        <f t="shared" si="33"/>
        <v>6.0103540252809546</v>
      </c>
      <c r="AH119" s="92"/>
      <c r="AI119" s="74"/>
      <c r="AJ119" s="74"/>
      <c r="AK119" s="74"/>
      <c r="AL119" s="74"/>
      <c r="AM119" s="74"/>
      <c r="AN119" s="86"/>
      <c r="AO119" s="86"/>
      <c r="AP119" s="86"/>
      <c r="AQ119" s="82"/>
      <c r="AR119" s="86"/>
      <c r="AS119" s="87"/>
      <c r="AT119" s="87"/>
      <c r="AU119" s="86"/>
      <c r="AV119" s="87"/>
      <c r="AW119" s="86"/>
      <c r="AX119" s="87"/>
      <c r="AY119" s="86"/>
      <c r="AZ119" s="87"/>
      <c r="BA119" s="86"/>
      <c r="BB119" s="87"/>
      <c r="BC119" s="86"/>
      <c r="BD119" s="87"/>
      <c r="BE119" s="86"/>
      <c r="BF119" s="88"/>
    </row>
    <row r="120" spans="1:58" s="11" customFormat="1">
      <c r="A120" s="72"/>
      <c r="B120" s="94"/>
      <c r="C120" s="73"/>
      <c r="D120" s="106"/>
      <c r="E120" s="144"/>
      <c r="F120" s="106"/>
      <c r="G120" s="106"/>
      <c r="H120" s="106"/>
      <c r="I120" s="106"/>
      <c r="J120" s="91"/>
      <c r="K120" s="91"/>
      <c r="L120" s="91"/>
      <c r="M120" s="91"/>
      <c r="N120" s="91"/>
      <c r="O120" s="91"/>
      <c r="P120" s="145"/>
      <c r="Q120" s="176"/>
      <c r="R120" s="92"/>
      <c r="S120" s="92"/>
      <c r="T120" s="92"/>
      <c r="U120" s="92"/>
      <c r="V120" s="92"/>
      <c r="W120" s="92"/>
      <c r="X120" s="92"/>
      <c r="Y120" s="92"/>
      <c r="Z120" s="92"/>
      <c r="AA120" s="281"/>
      <c r="AB120" s="92"/>
      <c r="AC120" s="92"/>
      <c r="AD120" s="92"/>
      <c r="AE120" s="93"/>
      <c r="AF120" s="74"/>
      <c r="AG120" s="92">
        <f t="shared" si="33"/>
        <v>0</v>
      </c>
      <c r="AH120" s="92"/>
      <c r="AI120" s="74"/>
      <c r="AJ120" s="74"/>
      <c r="AK120" s="74"/>
      <c r="AL120" s="74"/>
      <c r="AM120" s="74"/>
      <c r="AN120" s="82"/>
      <c r="AO120" s="82"/>
      <c r="AP120" s="86"/>
      <c r="AQ120" s="82"/>
      <c r="AR120" s="86"/>
      <c r="AS120" s="87"/>
      <c r="AT120" s="87"/>
      <c r="AU120" s="86"/>
      <c r="AV120" s="87"/>
      <c r="AW120" s="86"/>
      <c r="AX120" s="87"/>
      <c r="AY120" s="86"/>
      <c r="AZ120" s="87"/>
      <c r="BA120" s="86"/>
      <c r="BB120" s="87"/>
      <c r="BC120" s="86"/>
      <c r="BD120" s="87"/>
      <c r="BE120" s="82"/>
      <c r="BF120" s="88"/>
    </row>
    <row r="121" spans="1:58" s="113" customFormat="1">
      <c r="A121" s="72"/>
      <c r="B121" s="190" t="s">
        <v>109</v>
      </c>
      <c r="C121" s="72" t="s">
        <v>21</v>
      </c>
      <c r="D121" s="91">
        <f t="shared" ref="D121:J121" si="58">D111+D116</f>
        <v>348517710.82459122</v>
      </c>
      <c r="E121" s="91">
        <f t="shared" si="58"/>
        <v>25050524.872150909</v>
      </c>
      <c r="F121" s="91">
        <f t="shared" si="58"/>
        <v>15098347.690153094</v>
      </c>
      <c r="G121" s="91">
        <f t="shared" si="58"/>
        <v>11894796.322904475</v>
      </c>
      <c r="H121" s="91">
        <f t="shared" si="58"/>
        <v>11739551.328018837</v>
      </c>
      <c r="I121" s="91">
        <f t="shared" si="58"/>
        <v>1439491.4798429434</v>
      </c>
      <c r="J121" s="91">
        <f t="shared" si="58"/>
        <v>283294999.13152099</v>
      </c>
      <c r="K121" s="91"/>
      <c r="L121" s="91">
        <f>L111+L116</f>
        <v>0</v>
      </c>
      <c r="M121" s="91">
        <f>M111+M116</f>
        <v>74044587.360154912</v>
      </c>
      <c r="N121" s="91">
        <f>N111+N116</f>
        <v>283359927.9277842</v>
      </c>
      <c r="O121" s="91">
        <f>O111+O116</f>
        <v>705922226.11253035</v>
      </c>
      <c r="P121" s="145">
        <f>ROUND(O121-D121,0)</f>
        <v>357404515</v>
      </c>
      <c r="Q121" s="176">
        <v>7404458736.0154696</v>
      </c>
      <c r="R121" s="92">
        <f t="shared" ref="R121:AC124" si="59">D121/$Q121*100</f>
        <v>4.706862759993415</v>
      </c>
      <c r="S121" s="92">
        <f t="shared" si="59"/>
        <v>0.33831675974240411</v>
      </c>
      <c r="T121" s="92">
        <f t="shared" si="59"/>
        <v>0.20390886394861465</v>
      </c>
      <c r="U121" s="92">
        <f t="shared" si="59"/>
        <v>0.16064369789850935</v>
      </c>
      <c r="V121" s="92">
        <f t="shared" si="59"/>
        <v>0.15854705585591786</v>
      </c>
      <c r="W121" s="92">
        <f t="shared" si="59"/>
        <v>1.9440873818922393E-2</v>
      </c>
      <c r="X121" s="92">
        <f t="shared" si="59"/>
        <v>3.8260055087290468</v>
      </c>
      <c r="Y121" s="92">
        <f t="shared" si="59"/>
        <v>0</v>
      </c>
      <c r="Z121" s="92">
        <f t="shared" si="59"/>
        <v>0</v>
      </c>
      <c r="AA121" s="281">
        <f t="shared" si="59"/>
        <v>1.0000000000000029</v>
      </c>
      <c r="AB121" s="92">
        <f t="shared" si="59"/>
        <v>3.8268823965418912</v>
      </c>
      <c r="AC121" s="92">
        <f t="shared" si="59"/>
        <v>9.5337451565353089</v>
      </c>
      <c r="AD121" s="92"/>
      <c r="AE121" s="93"/>
      <c r="AF121" s="74">
        <f>(AC121-AG121)/AG121</f>
        <v>0.67057550838077362</v>
      </c>
      <c r="AG121" s="92">
        <f t="shared" si="33"/>
        <v>5.7068627599934176</v>
      </c>
      <c r="AH121" s="92"/>
      <c r="AI121" s="74"/>
      <c r="AJ121" s="74"/>
      <c r="AK121" s="74"/>
      <c r="AL121" s="74"/>
      <c r="AM121" s="74"/>
      <c r="AN121" s="86"/>
      <c r="AO121" s="86"/>
      <c r="AP121" s="86"/>
      <c r="AQ121" s="82"/>
      <c r="AR121" s="86"/>
      <c r="AS121" s="87"/>
      <c r="AT121" s="87"/>
      <c r="AU121" s="86"/>
      <c r="AV121" s="87"/>
      <c r="AW121" s="86"/>
      <c r="AX121" s="87"/>
      <c r="AY121" s="86"/>
      <c r="AZ121" s="87"/>
      <c r="BA121" s="86"/>
      <c r="BB121" s="87"/>
      <c r="BC121" s="86"/>
      <c r="BD121" s="87"/>
      <c r="BE121" s="86"/>
      <c r="BF121" s="88"/>
    </row>
    <row r="122" spans="1:58" s="113" customFormat="1">
      <c r="A122" s="72"/>
      <c r="B122" s="190"/>
      <c r="C122" s="72" t="s">
        <v>27</v>
      </c>
      <c r="D122" s="91">
        <f t="shared" ref="D122:J123" si="60">D117+D112</f>
        <v>424958830.41474038</v>
      </c>
      <c r="E122" s="91">
        <f t="shared" si="60"/>
        <v>21191830.217123047</v>
      </c>
      <c r="F122" s="91">
        <f t="shared" si="60"/>
        <v>13725669.7602141</v>
      </c>
      <c r="G122" s="91">
        <f t="shared" si="60"/>
        <v>13273204.883885922</v>
      </c>
      <c r="H122" s="91">
        <f t="shared" si="60"/>
        <v>64797515.178069696</v>
      </c>
      <c r="I122" s="91">
        <f t="shared" si="60"/>
        <v>1753064.9278604041</v>
      </c>
      <c r="J122" s="91">
        <f t="shared" si="60"/>
        <v>310217545.44758725</v>
      </c>
      <c r="K122" s="91"/>
      <c r="L122" s="91">
        <f>L117+L112</f>
        <v>0</v>
      </c>
      <c r="M122" s="91">
        <f t="shared" ref="M122:O123" si="61">M117+M112</f>
        <v>62609461.716443025</v>
      </c>
      <c r="N122" s="91">
        <f>N117+N112</f>
        <v>239599046.89961863</v>
      </c>
      <c r="O122" s="91">
        <f t="shared" si="61"/>
        <v>727167339.03080201</v>
      </c>
      <c r="P122" s="145">
        <f>ROUND(O122-D122,0)</f>
        <v>302208509</v>
      </c>
      <c r="Q122" s="176">
        <v>6260946171.6443033</v>
      </c>
      <c r="R122" s="92">
        <f t="shared" si="59"/>
        <v>6.7874538251002727</v>
      </c>
      <c r="S122" s="92">
        <f t="shared" si="59"/>
        <v>0.33847648001032832</v>
      </c>
      <c r="T122" s="92">
        <f t="shared" si="59"/>
        <v>0.21922676515535905</v>
      </c>
      <c r="U122" s="92">
        <f t="shared" si="59"/>
        <v>0.21199998402797321</v>
      </c>
      <c r="V122" s="92">
        <f t="shared" si="59"/>
        <v>1.0349476485125573</v>
      </c>
      <c r="W122" s="92">
        <f t="shared" si="59"/>
        <v>2.799999999680558E-2</v>
      </c>
      <c r="X122" s="92">
        <f t="shared" si="59"/>
        <v>4.9548029473972504</v>
      </c>
      <c r="Y122" s="92">
        <f t="shared" si="59"/>
        <v>0</v>
      </c>
      <c r="Z122" s="92">
        <f t="shared" si="59"/>
        <v>0</v>
      </c>
      <c r="AA122" s="281">
        <f t="shared" si="59"/>
        <v>0.99999999999999989</v>
      </c>
      <c r="AB122" s="92">
        <f t="shared" si="59"/>
        <v>3.8268823965418801</v>
      </c>
      <c r="AC122" s="92">
        <f t="shared" si="59"/>
        <v>11.614336221642153</v>
      </c>
      <c r="AD122" s="92"/>
      <c r="AE122" s="93"/>
      <c r="AF122" s="74">
        <f>(AC122-AG122)/AG122</f>
        <v>0.4914163836461149</v>
      </c>
      <c r="AG122" s="92">
        <f t="shared" si="33"/>
        <v>7.7874538251002727</v>
      </c>
      <c r="AH122" s="92"/>
      <c r="AI122" s="74"/>
      <c r="AJ122" s="74"/>
      <c r="AK122" s="74"/>
      <c r="AL122" s="74"/>
      <c r="AM122" s="74"/>
      <c r="AN122" s="86"/>
      <c r="AO122" s="86"/>
      <c r="AP122" s="86"/>
      <c r="AQ122" s="82"/>
      <c r="AR122" s="86"/>
      <c r="AS122" s="87"/>
      <c r="AT122" s="87"/>
      <c r="AU122" s="86"/>
      <c r="AV122" s="87"/>
      <c r="AW122" s="86"/>
      <c r="AX122" s="87"/>
      <c r="AY122" s="86"/>
      <c r="AZ122" s="87"/>
      <c r="BA122" s="86"/>
      <c r="BB122" s="87"/>
      <c r="BC122" s="86"/>
      <c r="BD122" s="87"/>
      <c r="BE122" s="86"/>
      <c r="BF122" s="88"/>
    </row>
    <row r="123" spans="1:58" s="113" customFormat="1">
      <c r="A123" s="72"/>
      <c r="B123" s="190"/>
      <c r="C123" s="72" t="s">
        <v>28</v>
      </c>
      <c r="D123" s="96">
        <f t="shared" si="60"/>
        <v>290037803.33630604</v>
      </c>
      <c r="E123" s="96">
        <f t="shared" si="60"/>
        <v>12073665.873922814</v>
      </c>
      <c r="F123" s="96">
        <f t="shared" si="60"/>
        <v>8345525.8555137012</v>
      </c>
      <c r="G123" s="96">
        <f t="shared" si="60"/>
        <v>8986925.5203864388</v>
      </c>
      <c r="H123" s="96">
        <f t="shared" si="60"/>
        <v>66113518.385399446</v>
      </c>
      <c r="I123" s="96">
        <f t="shared" si="60"/>
        <v>1245635.4198617274</v>
      </c>
      <c r="J123" s="96">
        <f t="shared" si="60"/>
        <v>193272532.28122187</v>
      </c>
      <c r="K123" s="96"/>
      <c r="L123" s="96">
        <f>L118+L113</f>
        <v>0</v>
      </c>
      <c r="M123" s="96">
        <f t="shared" si="61"/>
        <v>35690415.937763639</v>
      </c>
      <c r="N123" s="96">
        <f>N118+N113</f>
        <v>136583024.47748542</v>
      </c>
      <c r="O123" s="96">
        <f t="shared" si="61"/>
        <v>462311253.7515555</v>
      </c>
      <c r="P123" s="145">
        <f>ROUND(O123-D123,0)</f>
        <v>172273450</v>
      </c>
      <c r="Q123" s="179">
        <v>3569041593.7763634</v>
      </c>
      <c r="R123" s="97">
        <f t="shared" si="59"/>
        <v>8.1264898633310754</v>
      </c>
      <c r="S123" s="97">
        <f t="shared" si="59"/>
        <v>0.33828874101598244</v>
      </c>
      <c r="T123" s="97">
        <f t="shared" si="59"/>
        <v>0.23383100578223837</v>
      </c>
      <c r="U123" s="97">
        <f t="shared" si="59"/>
        <v>0.25180220751861487</v>
      </c>
      <c r="V123" s="97">
        <f t="shared" si="59"/>
        <v>1.8524165843482217</v>
      </c>
      <c r="W123" s="97">
        <f t="shared" si="59"/>
        <v>3.4901118048997974E-2</v>
      </c>
      <c r="X123" s="97">
        <f t="shared" si="59"/>
        <v>5.4152502066170189</v>
      </c>
      <c r="Y123" s="97">
        <f t="shared" si="59"/>
        <v>0</v>
      </c>
      <c r="Z123" s="97">
        <f t="shared" si="59"/>
        <v>0</v>
      </c>
      <c r="AA123" s="280">
        <f t="shared" si="59"/>
        <v>1.0000000000000002</v>
      </c>
      <c r="AB123" s="97">
        <f t="shared" si="59"/>
        <v>3.8268823965418801</v>
      </c>
      <c r="AC123" s="97">
        <f t="shared" si="59"/>
        <v>12.953372540060231</v>
      </c>
      <c r="AD123" s="97"/>
      <c r="AE123" s="93"/>
      <c r="AF123" s="79">
        <f>(AC123-AG123)/AG123</f>
        <v>0.41931594008612449</v>
      </c>
      <c r="AG123" s="92">
        <f t="shared" si="33"/>
        <v>9.1264898633310754</v>
      </c>
      <c r="AH123" s="92"/>
      <c r="AI123" s="79"/>
      <c r="AJ123" s="79"/>
      <c r="AK123" s="79"/>
      <c r="AL123" s="79"/>
      <c r="AM123" s="79"/>
      <c r="AN123" s="99"/>
      <c r="AO123" s="99"/>
      <c r="AP123" s="99"/>
      <c r="AQ123" s="100"/>
      <c r="AR123" s="99"/>
      <c r="AS123" s="98"/>
      <c r="AT123" s="98"/>
      <c r="AU123" s="99"/>
      <c r="AV123" s="98"/>
      <c r="AW123" s="99"/>
      <c r="AX123" s="98"/>
      <c r="AY123" s="99"/>
      <c r="AZ123" s="98"/>
      <c r="BA123" s="99"/>
      <c r="BB123" s="98"/>
      <c r="BC123" s="99"/>
      <c r="BD123" s="98"/>
      <c r="BE123" s="99"/>
      <c r="BF123" s="101"/>
    </row>
    <row r="124" spans="1:58" s="113" customFormat="1">
      <c r="A124" s="72"/>
      <c r="B124" s="190" t="s">
        <v>109</v>
      </c>
      <c r="C124" s="72"/>
      <c r="D124" s="91">
        <f t="shared" ref="D124:J124" si="62">SUM(D121:D123)</f>
        <v>1063514344.5756376</v>
      </c>
      <c r="E124" s="91">
        <f t="shared" si="62"/>
        <v>58316020.963196769</v>
      </c>
      <c r="F124" s="91">
        <f t="shared" si="62"/>
        <v>37169543.305880897</v>
      </c>
      <c r="G124" s="91">
        <f t="shared" si="62"/>
        <v>34154926.72717683</v>
      </c>
      <c r="H124" s="91">
        <f t="shared" si="62"/>
        <v>142650584.89148796</v>
      </c>
      <c r="I124" s="91">
        <f t="shared" si="62"/>
        <v>4438191.8275650749</v>
      </c>
      <c r="J124" s="91">
        <f t="shared" si="62"/>
        <v>786785076.8603301</v>
      </c>
      <c r="K124" s="91"/>
      <c r="L124" s="91">
        <f>SUM(L121:L123)</f>
        <v>0</v>
      </c>
      <c r="M124" s="91">
        <f>SUM(M121:M123)</f>
        <v>172344465.01436156</v>
      </c>
      <c r="N124" s="91">
        <f>SUM(N121:N123)</f>
        <v>659541999.30488825</v>
      </c>
      <c r="O124" s="91">
        <f>SUM(O121:O123)</f>
        <v>1895400818.8948879</v>
      </c>
      <c r="P124" s="145">
        <f>ROUND(O124-D124,0)</f>
        <v>831886474</v>
      </c>
      <c r="Q124" s="176">
        <v>17234446501.436157</v>
      </c>
      <c r="R124" s="92">
        <f t="shared" si="59"/>
        <v>6.170864521161235</v>
      </c>
      <c r="S124" s="92">
        <f t="shared" si="59"/>
        <v>0.33836898074061883</v>
      </c>
      <c r="T124" s="92">
        <f t="shared" si="59"/>
        <v>0.21567007273940322</v>
      </c>
      <c r="U124" s="92">
        <f t="shared" si="59"/>
        <v>0.19817826307523528</v>
      </c>
      <c r="V124" s="92">
        <f t="shared" si="59"/>
        <v>0.82770621545403733</v>
      </c>
      <c r="W124" s="92">
        <f t="shared" si="59"/>
        <v>2.5751867500910096E-2</v>
      </c>
      <c r="X124" s="92">
        <f t="shared" si="59"/>
        <v>4.5651891216510307</v>
      </c>
      <c r="Y124" s="92">
        <f t="shared" si="59"/>
        <v>0</v>
      </c>
      <c r="Z124" s="92">
        <f t="shared" si="59"/>
        <v>0</v>
      </c>
      <c r="AA124" s="281">
        <f t="shared" si="59"/>
        <v>0.99999999999999989</v>
      </c>
      <c r="AB124" s="92">
        <f t="shared" si="59"/>
        <v>3.8268823965418801</v>
      </c>
      <c r="AC124" s="92">
        <f t="shared" si="59"/>
        <v>10.99774697572645</v>
      </c>
      <c r="AD124" s="92"/>
      <c r="AE124" s="93"/>
      <c r="AF124" s="74">
        <f>(AC124-AG124)/AG124</f>
        <v>0.53367100204892692</v>
      </c>
      <c r="AG124" s="92">
        <f t="shared" si="33"/>
        <v>7.170864521161235</v>
      </c>
      <c r="AH124" s="92"/>
      <c r="AI124" s="74"/>
      <c r="AJ124" s="74"/>
      <c r="AK124" s="74"/>
      <c r="AL124" s="74"/>
      <c r="AM124" s="74"/>
      <c r="AN124" s="86"/>
      <c r="AO124" s="86"/>
      <c r="AP124" s="86"/>
      <c r="AQ124" s="82"/>
      <c r="AR124" s="86"/>
      <c r="AS124" s="87"/>
      <c r="AT124" s="87"/>
      <c r="AU124" s="86"/>
      <c r="AV124" s="87"/>
      <c r="AW124" s="86"/>
      <c r="AX124" s="87"/>
      <c r="AY124" s="86"/>
      <c r="AZ124" s="87"/>
      <c r="BA124" s="86"/>
      <c r="BB124" s="87"/>
      <c r="BC124" s="86"/>
      <c r="BD124" s="87"/>
      <c r="BE124" s="86"/>
      <c r="BF124" s="88"/>
    </row>
    <row r="125" spans="1:58" s="11" customFormat="1">
      <c r="A125" s="72"/>
      <c r="B125" s="94"/>
      <c r="C125" s="73"/>
      <c r="D125" s="106"/>
      <c r="E125" s="144"/>
      <c r="F125" s="106"/>
      <c r="G125" s="106"/>
      <c r="H125" s="106"/>
      <c r="I125" s="106"/>
      <c r="J125" s="91"/>
      <c r="K125" s="91"/>
      <c r="L125" s="91"/>
      <c r="M125" s="91"/>
      <c r="N125" s="91"/>
      <c r="O125" s="91"/>
      <c r="P125" s="145"/>
      <c r="Q125" s="176"/>
      <c r="R125" s="92"/>
      <c r="S125" s="92"/>
      <c r="T125" s="92"/>
      <c r="U125" s="92"/>
      <c r="V125" s="92"/>
      <c r="W125" s="92"/>
      <c r="X125" s="92"/>
      <c r="Y125" s="92"/>
      <c r="Z125" s="92"/>
      <c r="AA125" s="281"/>
      <c r="AB125" s="92"/>
      <c r="AC125" s="92"/>
      <c r="AD125" s="92"/>
      <c r="AE125" s="93"/>
      <c r="AF125" s="74"/>
      <c r="AG125" s="92">
        <f t="shared" si="33"/>
        <v>0</v>
      </c>
      <c r="AH125" s="92"/>
      <c r="AI125" s="74"/>
      <c r="AJ125" s="74"/>
      <c r="AK125" s="74"/>
      <c r="AL125" s="74"/>
      <c r="AM125" s="74"/>
      <c r="AN125" s="86"/>
      <c r="AO125" s="86"/>
      <c r="AP125" s="86"/>
      <c r="AQ125" s="82"/>
      <c r="AR125" s="86"/>
      <c r="AS125" s="87"/>
      <c r="AT125" s="87"/>
      <c r="AU125" s="86"/>
      <c r="AV125" s="87"/>
      <c r="AW125" s="86"/>
      <c r="AX125" s="87"/>
      <c r="AY125" s="86"/>
      <c r="AZ125" s="87"/>
      <c r="BA125" s="86"/>
      <c r="BB125" s="87"/>
      <c r="BC125" s="86"/>
      <c r="BD125" s="87"/>
      <c r="BE125" s="86"/>
      <c r="BF125" s="88"/>
    </row>
    <row r="126" spans="1:58" s="11" customFormat="1">
      <c r="A126" s="72"/>
      <c r="B126" s="94" t="s">
        <v>110</v>
      </c>
      <c r="C126" s="73" t="s">
        <v>21</v>
      </c>
      <c r="D126" s="106">
        <v>744345.6097411206</v>
      </c>
      <c r="E126" s="144">
        <v>0</v>
      </c>
      <c r="F126" s="106"/>
      <c r="G126" s="106">
        <v>365156.07520000008</v>
      </c>
      <c r="H126" s="106">
        <v>374757.34763468901</v>
      </c>
      <c r="I126" s="106">
        <v>43911.173600000009</v>
      </c>
      <c r="J126" s="91"/>
      <c r="K126" s="90"/>
      <c r="L126" s="90"/>
      <c r="M126" s="90"/>
      <c r="N126" s="90"/>
      <c r="O126" s="91">
        <f>SUM(E126:N126)</f>
        <v>783824.59643468901</v>
      </c>
      <c r="P126" s="145">
        <f>ROUND(O126-D126,0)</f>
        <v>39479</v>
      </c>
      <c r="Q126" s="176">
        <v>231111440.00000003</v>
      </c>
      <c r="R126" s="92">
        <f t="shared" ref="R126:AC128" si="63">D126/$Q126*100</f>
        <v>0.32207216126606303</v>
      </c>
      <c r="S126" s="92">
        <f t="shared" si="63"/>
        <v>0</v>
      </c>
      <c r="T126" s="92">
        <f t="shared" si="63"/>
        <v>0</v>
      </c>
      <c r="U126" s="92">
        <f t="shared" si="63"/>
        <v>0.15800000000000003</v>
      </c>
      <c r="V126" s="92">
        <f t="shared" si="63"/>
        <v>0.16215439081453042</v>
      </c>
      <c r="W126" s="92">
        <f t="shared" si="63"/>
        <v>1.9E-2</v>
      </c>
      <c r="X126" s="92">
        <f t="shared" si="63"/>
        <v>0</v>
      </c>
      <c r="Y126" s="92">
        <f t="shared" si="63"/>
        <v>0</v>
      </c>
      <c r="Z126" s="92">
        <f t="shared" si="63"/>
        <v>0</v>
      </c>
      <c r="AA126" s="281">
        <f t="shared" si="63"/>
        <v>0</v>
      </c>
      <c r="AB126" s="92">
        <f t="shared" si="63"/>
        <v>0</v>
      </c>
      <c r="AC126" s="92">
        <f t="shared" si="63"/>
        <v>0.33915439081453042</v>
      </c>
      <c r="AD126" s="92"/>
      <c r="AE126" s="93"/>
      <c r="AF126" s="74">
        <f>(AC126-AG126)/AG126</f>
        <v>5.3038516217351048E-2</v>
      </c>
      <c r="AG126" s="92">
        <f t="shared" si="33"/>
        <v>0.32207216126606303</v>
      </c>
      <c r="AH126" s="92"/>
      <c r="AI126" s="74"/>
      <c r="AJ126" s="74"/>
      <c r="AK126" s="74"/>
      <c r="AL126" s="74"/>
      <c r="AM126" s="74"/>
      <c r="AN126" s="86"/>
      <c r="AO126" s="86"/>
      <c r="AP126" s="86"/>
      <c r="AQ126" s="82"/>
      <c r="AR126" s="86"/>
      <c r="AS126" s="87"/>
      <c r="AT126" s="87"/>
      <c r="AU126" s="86"/>
      <c r="AV126" s="87"/>
      <c r="AW126" s="86"/>
      <c r="AX126" s="87"/>
      <c r="AY126" s="86"/>
      <c r="AZ126" s="87"/>
      <c r="BA126" s="86"/>
      <c r="BB126" s="87"/>
      <c r="BC126" s="86"/>
      <c r="BD126" s="87"/>
      <c r="BE126" s="86"/>
      <c r="BF126" s="88"/>
    </row>
    <row r="127" spans="1:58" s="11" customFormat="1">
      <c r="A127" s="72"/>
      <c r="B127" s="94"/>
      <c r="C127" s="73" t="s">
        <v>28</v>
      </c>
      <c r="D127" s="156">
        <v>1288090.0592214575</v>
      </c>
      <c r="E127" s="165">
        <v>0</v>
      </c>
      <c r="F127" s="156"/>
      <c r="G127" s="156">
        <v>172591.17119999998</v>
      </c>
      <c r="H127" s="156">
        <v>1128328.2030404706</v>
      </c>
      <c r="I127" s="156">
        <v>23970.995999999999</v>
      </c>
      <c r="J127" s="96"/>
      <c r="K127" s="95"/>
      <c r="L127" s="95"/>
      <c r="M127" s="95"/>
      <c r="N127" s="95"/>
      <c r="O127" s="91">
        <f>SUM(E127:N127)</f>
        <v>1324890.3702404706</v>
      </c>
      <c r="P127" s="145">
        <f>ROUND(O127-D127,0)</f>
        <v>36800</v>
      </c>
      <c r="Q127" s="179">
        <v>68478560</v>
      </c>
      <c r="R127" s="97">
        <f t="shared" si="63"/>
        <v>1.8810121872034946</v>
      </c>
      <c r="S127" s="97">
        <f t="shared" si="63"/>
        <v>0</v>
      </c>
      <c r="T127" s="97">
        <f t="shared" si="63"/>
        <v>0</v>
      </c>
      <c r="U127" s="97">
        <f t="shared" si="63"/>
        <v>0.25203679983924893</v>
      </c>
      <c r="V127" s="97">
        <f t="shared" si="63"/>
        <v>1.6477101782520991</v>
      </c>
      <c r="W127" s="97">
        <f t="shared" si="63"/>
        <v>3.5005111088784575E-2</v>
      </c>
      <c r="X127" s="97">
        <f t="shared" si="63"/>
        <v>0</v>
      </c>
      <c r="Y127" s="97">
        <f t="shared" si="63"/>
        <v>0</v>
      </c>
      <c r="Z127" s="97">
        <f t="shared" si="63"/>
        <v>0</v>
      </c>
      <c r="AA127" s="280">
        <f t="shared" si="63"/>
        <v>0</v>
      </c>
      <c r="AB127" s="97">
        <f t="shared" si="63"/>
        <v>0</v>
      </c>
      <c r="AC127" s="97">
        <f t="shared" si="63"/>
        <v>1.9347520891801326</v>
      </c>
      <c r="AD127" s="97"/>
      <c r="AE127" s="93"/>
      <c r="AF127" s="79">
        <f>(AC127-AG127)/AG127</f>
        <v>2.8569672404160907E-2</v>
      </c>
      <c r="AG127" s="92">
        <f t="shared" si="33"/>
        <v>1.8810121872034946</v>
      </c>
      <c r="AH127" s="97"/>
      <c r="AI127" s="79"/>
      <c r="AJ127" s="79"/>
      <c r="AK127" s="79"/>
      <c r="AL127" s="79"/>
      <c r="AM127" s="79"/>
      <c r="AN127" s="99"/>
      <c r="AO127" s="99"/>
      <c r="AP127" s="99"/>
      <c r="AQ127" s="100"/>
      <c r="AR127" s="99"/>
      <c r="AS127" s="87"/>
      <c r="AT127" s="87"/>
      <c r="AU127" s="86"/>
      <c r="AV127" s="87"/>
      <c r="AW127" s="86"/>
      <c r="AX127" s="87"/>
      <c r="AY127" s="86"/>
      <c r="AZ127" s="87"/>
      <c r="BA127" s="86"/>
      <c r="BB127" s="87"/>
      <c r="BC127" s="86"/>
      <c r="BD127" s="87"/>
      <c r="BE127" s="86"/>
      <c r="BF127" s="88"/>
    </row>
    <row r="128" spans="1:58" s="113" customFormat="1">
      <c r="A128" s="72"/>
      <c r="B128" s="190" t="s">
        <v>89</v>
      </c>
      <c r="C128" s="72"/>
      <c r="D128" s="91">
        <v>2032435.6689625781</v>
      </c>
      <c r="E128" s="144">
        <v>0</v>
      </c>
      <c r="F128" s="91"/>
      <c r="G128" s="91">
        <f>SUM(G126:G127)</f>
        <v>537747.24640000006</v>
      </c>
      <c r="H128" s="91">
        <f>SUM(H126:H127)</f>
        <v>1503085.5506751596</v>
      </c>
      <c r="I128" s="91">
        <f>SUM(I126:I127)</f>
        <v>67882.169600000008</v>
      </c>
      <c r="J128" s="91"/>
      <c r="K128" s="91"/>
      <c r="L128" s="91"/>
      <c r="M128" s="91"/>
      <c r="N128" s="91"/>
      <c r="O128" s="91">
        <f>SUM(O126:O127)</f>
        <v>2108714.9666751595</v>
      </c>
      <c r="P128" s="145">
        <f>ROUND(O128-D128,0)</f>
        <v>76279</v>
      </c>
      <c r="Q128" s="176">
        <v>299600000</v>
      </c>
      <c r="R128" s="92">
        <f t="shared" si="63"/>
        <v>0.67838306707696194</v>
      </c>
      <c r="S128" s="92">
        <f t="shared" si="63"/>
        <v>0</v>
      </c>
      <c r="T128" s="92">
        <f t="shared" si="63"/>
        <v>0</v>
      </c>
      <c r="U128" s="92">
        <f t="shared" si="63"/>
        <v>0.17948840000000002</v>
      </c>
      <c r="V128" s="92">
        <f t="shared" si="63"/>
        <v>0.5016974468208143</v>
      </c>
      <c r="W128" s="92">
        <f t="shared" si="63"/>
        <v>2.2657600000000003E-2</v>
      </c>
      <c r="X128" s="92">
        <f t="shared" si="63"/>
        <v>0</v>
      </c>
      <c r="Y128" s="92">
        <f t="shared" si="63"/>
        <v>0</v>
      </c>
      <c r="Z128" s="92">
        <f t="shared" si="63"/>
        <v>0</v>
      </c>
      <c r="AA128" s="281">
        <f t="shared" si="63"/>
        <v>0</v>
      </c>
      <c r="AB128" s="92">
        <f t="shared" si="63"/>
        <v>0</v>
      </c>
      <c r="AC128" s="92">
        <f t="shared" si="63"/>
        <v>0.70384344682081434</v>
      </c>
      <c r="AD128" s="92"/>
      <c r="AE128" s="93"/>
      <c r="AF128" s="74">
        <f>(AC128-AG128)/AG128</f>
        <v>3.7530977672477699E-2</v>
      </c>
      <c r="AG128" s="92">
        <f t="shared" si="33"/>
        <v>0.67838306707696194</v>
      </c>
      <c r="AH128" s="92"/>
      <c r="AI128" s="74"/>
      <c r="AJ128" s="74"/>
      <c r="AK128" s="74"/>
      <c r="AL128" s="74"/>
      <c r="AM128" s="74"/>
      <c r="AN128" s="86"/>
      <c r="AO128" s="86"/>
      <c r="AP128" s="86"/>
      <c r="AQ128" s="82"/>
      <c r="AR128" s="86"/>
      <c r="AS128" s="87"/>
      <c r="AT128" s="87"/>
      <c r="AU128" s="86"/>
      <c r="AV128" s="87"/>
      <c r="AW128" s="86"/>
      <c r="AX128" s="87"/>
      <c r="AY128" s="86"/>
      <c r="AZ128" s="87"/>
      <c r="BA128" s="86"/>
      <c r="BB128" s="87"/>
      <c r="BC128" s="86"/>
      <c r="BD128" s="87"/>
      <c r="BE128" s="86"/>
      <c r="BF128" s="88"/>
    </row>
    <row r="129" spans="1:58" s="11" customFormat="1" ht="10.5" customHeight="1">
      <c r="A129" s="53"/>
      <c r="B129" s="107"/>
      <c r="C129" s="62"/>
      <c r="D129" s="106"/>
      <c r="E129" s="144"/>
      <c r="F129" s="106"/>
      <c r="G129" s="106"/>
      <c r="H129" s="106"/>
      <c r="I129" s="106"/>
      <c r="J129" s="91"/>
      <c r="K129" s="166"/>
      <c r="L129" s="166"/>
      <c r="M129" s="166"/>
      <c r="N129" s="166"/>
      <c r="O129" s="166"/>
      <c r="P129" s="142"/>
      <c r="Q129" s="181"/>
      <c r="R129" s="92"/>
      <c r="S129" s="92"/>
      <c r="T129" s="92"/>
      <c r="U129" s="92"/>
      <c r="V129" s="92"/>
      <c r="W129" s="92"/>
      <c r="X129" s="92"/>
      <c r="Y129" s="92"/>
      <c r="Z129" s="92"/>
      <c r="AA129" s="281"/>
      <c r="AB129" s="92"/>
      <c r="AC129" s="92"/>
      <c r="AD129" s="92"/>
      <c r="AE129" s="93"/>
      <c r="AF129" s="74"/>
      <c r="AG129" s="92">
        <f t="shared" si="33"/>
        <v>0</v>
      </c>
      <c r="AH129" s="92"/>
      <c r="AI129" s="74"/>
      <c r="AJ129" s="74"/>
      <c r="AK129" s="74"/>
      <c r="AL129" s="74"/>
      <c r="AM129" s="74"/>
      <c r="AN129" s="86"/>
      <c r="AO129" s="86"/>
      <c r="AP129" s="86"/>
      <c r="AQ129" s="82"/>
      <c r="AR129" s="86"/>
      <c r="AS129" s="87"/>
      <c r="AT129" s="87"/>
      <c r="AU129" s="86"/>
      <c r="AV129" s="87"/>
      <c r="AW129" s="86"/>
      <c r="AX129" s="87"/>
      <c r="AY129" s="86"/>
      <c r="AZ129" s="87"/>
      <c r="BA129" s="86"/>
      <c r="BB129" s="87"/>
      <c r="BC129" s="86"/>
      <c r="BD129" s="87"/>
      <c r="BE129" s="86"/>
      <c r="BF129" s="88"/>
    </row>
    <row r="130" spans="1:58" s="113" customFormat="1">
      <c r="A130" s="72"/>
      <c r="B130" s="191" t="s">
        <v>122</v>
      </c>
      <c r="C130" s="64"/>
      <c r="D130" s="192">
        <f t="shared" ref="D130:O130" si="64">D13+D20+D25+D51+D53+D69+D90+D124</f>
        <v>7717960459.2384481</v>
      </c>
      <c r="E130" s="192">
        <f t="shared" si="64"/>
        <v>395214478.27639675</v>
      </c>
      <c r="F130" s="192">
        <f t="shared" si="64"/>
        <v>208076721.60067394</v>
      </c>
      <c r="G130" s="192">
        <f t="shared" si="64"/>
        <v>241319418.59929407</v>
      </c>
      <c r="H130" s="192">
        <f t="shared" si="64"/>
        <v>2192624682.2283907</v>
      </c>
      <c r="I130" s="192">
        <f t="shared" si="64"/>
        <v>34313786.242808603</v>
      </c>
      <c r="J130" s="192">
        <f t="shared" si="64"/>
        <v>4262444341.7927413</v>
      </c>
      <c r="K130" s="192">
        <f t="shared" si="64"/>
        <v>383967030.49814355</v>
      </c>
      <c r="L130" s="192">
        <f>L13+L20+L25+L51+L53+L69+L90+L124</f>
        <v>0</v>
      </c>
      <c r="M130" s="192">
        <f t="shared" si="64"/>
        <v>799527593.37615752</v>
      </c>
      <c r="N130" s="192">
        <f t="shared" si="64"/>
        <v>3059698072.6407113</v>
      </c>
      <c r="O130" s="192">
        <f t="shared" si="64"/>
        <v>11577186135.255318</v>
      </c>
      <c r="P130" s="143">
        <f>(O130-D130)</f>
        <v>3859225676.0168695</v>
      </c>
      <c r="Q130" s="193">
        <v>81990970927</v>
      </c>
      <c r="R130" s="92">
        <f t="shared" ref="R130:AC131" si="65">D130/$Q130*100</f>
        <v>9.4131833932178601</v>
      </c>
      <c r="S130" s="92">
        <f t="shared" si="65"/>
        <v>0.48202195169547729</v>
      </c>
      <c r="T130" s="92">
        <f t="shared" si="65"/>
        <v>0.25378004339762411</v>
      </c>
      <c r="U130" s="92">
        <f t="shared" si="65"/>
        <v>0.29432438214953066</v>
      </c>
      <c r="V130" s="92">
        <f t="shared" si="65"/>
        <v>2.6742270001663675</v>
      </c>
      <c r="W130" s="92">
        <f t="shared" si="65"/>
        <v>4.1850688990327491E-2</v>
      </c>
      <c r="X130" s="92">
        <f t="shared" si="65"/>
        <v>5.1986752853405944</v>
      </c>
      <c r="Y130" s="92">
        <f t="shared" si="65"/>
        <v>0.46830404147793969</v>
      </c>
      <c r="Z130" s="92">
        <f t="shared" si="65"/>
        <v>0</v>
      </c>
      <c r="AA130" s="281">
        <f t="shared" si="65"/>
        <v>0.97514102386714074</v>
      </c>
      <c r="AB130" s="92">
        <f t="shared" si="65"/>
        <v>3.7317500183829866</v>
      </c>
      <c r="AC130" s="92">
        <f t="shared" si="65"/>
        <v>14.120074447664452</v>
      </c>
      <c r="AD130" s="92"/>
      <c r="AE130" s="108"/>
      <c r="AF130" s="74">
        <f>(AC130-AG130)/AG130</f>
        <v>0.35922540351570903</v>
      </c>
      <c r="AG130" s="92">
        <f t="shared" si="33"/>
        <v>10.388324417085</v>
      </c>
      <c r="AH130" s="92"/>
      <c r="AI130" s="74"/>
      <c r="AJ130" s="74"/>
      <c r="AK130" s="74"/>
      <c r="AL130" s="74"/>
      <c r="AM130" s="74"/>
      <c r="AN130" s="86"/>
      <c r="AO130" s="86"/>
      <c r="AP130" s="86"/>
      <c r="AQ130" s="82"/>
      <c r="AR130" s="86"/>
      <c r="AS130" s="87"/>
      <c r="AT130" s="87"/>
      <c r="AU130" s="86"/>
      <c r="AV130" s="87"/>
      <c r="AW130" s="86"/>
      <c r="AX130" s="87"/>
      <c r="AY130" s="86"/>
      <c r="AZ130" s="87"/>
      <c r="BA130" s="86"/>
      <c r="BB130" s="87"/>
      <c r="BC130" s="86"/>
      <c r="BD130" s="87"/>
      <c r="BE130" s="86"/>
      <c r="BF130" s="88"/>
    </row>
    <row r="131" spans="1:58" s="113" customFormat="1">
      <c r="A131" s="72"/>
      <c r="B131" s="191" t="s">
        <v>91</v>
      </c>
      <c r="C131" s="64"/>
      <c r="D131" s="91">
        <f t="shared" ref="D131:O131" si="66">D130+D128</f>
        <v>7719992894.9074106</v>
      </c>
      <c r="E131" s="91">
        <f t="shared" si="66"/>
        <v>395214478.27639675</v>
      </c>
      <c r="F131" s="91">
        <f t="shared" si="66"/>
        <v>208076721.60067394</v>
      </c>
      <c r="G131" s="91">
        <f t="shared" si="66"/>
        <v>241857165.84569407</v>
      </c>
      <c r="H131" s="91">
        <f t="shared" si="66"/>
        <v>2194127767.7790661</v>
      </c>
      <c r="I131" s="91">
        <f t="shared" si="66"/>
        <v>34381668.412408605</v>
      </c>
      <c r="J131" s="91">
        <f t="shared" si="66"/>
        <v>4262444341.7927413</v>
      </c>
      <c r="K131" s="91">
        <f t="shared" si="66"/>
        <v>383967030.49814355</v>
      </c>
      <c r="L131" s="91">
        <f t="shared" si="66"/>
        <v>0</v>
      </c>
      <c r="M131" s="91">
        <f t="shared" si="66"/>
        <v>799527593.37615752</v>
      </c>
      <c r="N131" s="91">
        <f t="shared" si="66"/>
        <v>3059698072.6407113</v>
      </c>
      <c r="O131" s="91">
        <f t="shared" si="66"/>
        <v>11579294850.221992</v>
      </c>
      <c r="P131" s="143">
        <f>(O131-D131)</f>
        <v>3859301955.3145819</v>
      </c>
      <c r="Q131" s="109">
        <v>82290570927</v>
      </c>
      <c r="R131" s="92">
        <f t="shared" si="65"/>
        <v>9.3813821048292638</v>
      </c>
      <c r="S131" s="92">
        <f t="shared" si="65"/>
        <v>0.48026702673747595</v>
      </c>
      <c r="T131" s="92">
        <f t="shared" si="65"/>
        <v>0.25285609184223412</v>
      </c>
      <c r="U131" s="92">
        <f t="shared" si="65"/>
        <v>0.29390629220478448</v>
      </c>
      <c r="V131" s="92">
        <f t="shared" si="65"/>
        <v>2.6663173472517014</v>
      </c>
      <c r="W131" s="92">
        <f t="shared" si="65"/>
        <v>4.1780811610735567E-2</v>
      </c>
      <c r="X131" s="92">
        <f t="shared" si="65"/>
        <v>5.1797481701444967</v>
      </c>
      <c r="Y131" s="92">
        <f t="shared" si="65"/>
        <v>0.46659906010223318</v>
      </c>
      <c r="Z131" s="92">
        <f t="shared" si="65"/>
        <v>0</v>
      </c>
      <c r="AA131" s="281">
        <f t="shared" si="65"/>
        <v>0.97159077202832733</v>
      </c>
      <c r="AB131" s="92">
        <f t="shared" si="65"/>
        <v>3.7181636221177401</v>
      </c>
      <c r="AC131" s="92">
        <f t="shared" si="65"/>
        <v>14.071229206191788</v>
      </c>
      <c r="AD131" s="92"/>
      <c r="AE131" s="108"/>
      <c r="AF131" s="74">
        <f>(AC131-AG131)/AG131</f>
        <v>0.35914865938128387</v>
      </c>
      <c r="AG131" s="92">
        <f t="shared" si="33"/>
        <v>10.35297287685759</v>
      </c>
      <c r="AH131" s="92"/>
      <c r="AI131" s="74"/>
      <c r="AJ131" s="74"/>
      <c r="AK131" s="74"/>
      <c r="AL131" s="74"/>
      <c r="AM131" s="74"/>
      <c r="AN131" s="86"/>
      <c r="AO131" s="86"/>
      <c r="AP131" s="86"/>
      <c r="AQ131" s="82"/>
      <c r="AR131" s="82"/>
      <c r="AS131" s="87"/>
      <c r="AT131" s="87"/>
      <c r="AU131" s="86"/>
      <c r="AV131" s="87"/>
      <c r="AW131" s="86"/>
      <c r="AX131" s="87"/>
      <c r="AY131" s="86"/>
      <c r="AZ131" s="87"/>
      <c r="BA131" s="86"/>
      <c r="BB131" s="87"/>
      <c r="BC131" s="86"/>
      <c r="BD131" s="87"/>
      <c r="BE131" s="86"/>
      <c r="BF131" s="88"/>
    </row>
    <row r="132" spans="1:58" s="11" customFormat="1">
      <c r="A132" s="72"/>
      <c r="C132" s="53"/>
      <c r="D132" s="168"/>
      <c r="E132" s="167"/>
      <c r="F132" s="168"/>
      <c r="G132" s="168"/>
      <c r="H132" s="168"/>
      <c r="I132" s="168"/>
      <c r="J132" s="115"/>
      <c r="K132" s="115"/>
      <c r="L132" s="115"/>
      <c r="M132" s="115"/>
      <c r="N132" s="115"/>
      <c r="O132" s="115"/>
      <c r="Q132" s="182"/>
      <c r="R132" s="110"/>
      <c r="S132" s="110"/>
      <c r="T132" s="197"/>
      <c r="U132" s="110"/>
      <c r="V132" s="110"/>
      <c r="W132" s="110"/>
      <c r="X132" s="110"/>
      <c r="Y132" s="110"/>
      <c r="Z132" s="110"/>
      <c r="AA132" s="283"/>
      <c r="AB132" s="110"/>
      <c r="AC132" s="110"/>
      <c r="AD132" s="110"/>
      <c r="AE132" s="111"/>
      <c r="AF132" s="151"/>
      <c r="AG132" s="92"/>
      <c r="AH132" s="110"/>
      <c r="AI132" s="53"/>
      <c r="AJ132" s="53"/>
      <c r="AK132" s="53"/>
      <c r="AL132" s="53"/>
      <c r="AM132" s="53"/>
    </row>
    <row r="133" spans="1:58" s="11" customFormat="1">
      <c r="A133" s="53"/>
      <c r="B133" s="107"/>
      <c r="C133" s="53"/>
      <c r="D133" s="168"/>
      <c r="E133" s="167"/>
      <c r="F133" s="168"/>
      <c r="G133" s="168"/>
      <c r="H133" s="168"/>
      <c r="I133" s="168"/>
      <c r="J133" s="168"/>
      <c r="K133" s="168"/>
      <c r="L133" s="168"/>
      <c r="M133" s="168"/>
      <c r="N133" s="168"/>
      <c r="O133" s="114"/>
      <c r="P133" s="114"/>
      <c r="Q133" s="182"/>
      <c r="R133" s="110"/>
      <c r="S133" s="110"/>
      <c r="T133" s="110"/>
      <c r="U133" s="110"/>
      <c r="V133" s="110"/>
      <c r="W133" s="110"/>
      <c r="X133" s="110"/>
      <c r="Y133" s="110"/>
      <c r="Z133" s="110"/>
      <c r="AA133" s="283"/>
      <c r="AB133" s="110"/>
      <c r="AC133" s="110"/>
      <c r="AD133" s="110"/>
      <c r="AE133" s="111"/>
      <c r="AF133" s="151"/>
      <c r="AG133" s="92"/>
      <c r="AH133" s="110"/>
      <c r="AI133" s="53"/>
      <c r="AJ133" s="53"/>
      <c r="AK133" s="53"/>
      <c r="AL133" s="53"/>
      <c r="AM133" s="53"/>
    </row>
    <row r="134" spans="1:58" s="11" customFormat="1">
      <c r="A134" s="53"/>
      <c r="B134" s="11" t="s">
        <v>167</v>
      </c>
      <c r="C134" s="53"/>
      <c r="D134" s="170"/>
      <c r="E134" s="170"/>
      <c r="F134" s="170"/>
      <c r="G134" s="170"/>
      <c r="H134" s="170"/>
      <c r="I134" s="170"/>
      <c r="J134" s="170"/>
      <c r="K134" s="169"/>
      <c r="L134" s="169"/>
      <c r="M134" s="169"/>
      <c r="N134" s="169"/>
      <c r="O134" s="114"/>
      <c r="P134" s="114"/>
      <c r="Q134" s="182"/>
      <c r="R134" s="110"/>
      <c r="S134" s="110"/>
      <c r="T134" s="110"/>
      <c r="U134" s="110"/>
      <c r="V134" s="110"/>
      <c r="W134" s="110"/>
      <c r="X134" s="110"/>
      <c r="Y134" s="110"/>
      <c r="Z134" s="110"/>
      <c r="AA134" s="283"/>
      <c r="AB134" s="110"/>
      <c r="AC134" s="110"/>
      <c r="AD134" s="110"/>
      <c r="AE134" s="111"/>
      <c r="AF134" s="151"/>
      <c r="AG134" s="92"/>
      <c r="AH134" s="110"/>
      <c r="AI134" s="53"/>
      <c r="AJ134" s="53"/>
      <c r="AK134" s="53"/>
      <c r="AL134" s="53"/>
      <c r="AM134" s="53"/>
    </row>
    <row r="135" spans="1:58" s="11" customFormat="1">
      <c r="A135" s="53"/>
      <c r="C135" s="53" t="s">
        <v>21</v>
      </c>
      <c r="D135" s="168"/>
      <c r="E135" s="167"/>
      <c r="F135" s="168"/>
      <c r="G135" s="168"/>
      <c r="H135" s="168"/>
      <c r="I135" s="168"/>
      <c r="J135" s="115"/>
      <c r="K135" s="115"/>
      <c r="L135" s="115"/>
      <c r="M135" s="115">
        <f>SUM(M47,M66,M121)</f>
        <v>75337447.480154917</v>
      </c>
      <c r="N135" s="115"/>
      <c r="O135" s="114"/>
      <c r="P135" s="114"/>
      <c r="Q135" s="183">
        <f>SUM(Q47,Q66,Q121)</f>
        <v>7533744748.0154696</v>
      </c>
      <c r="R135" s="218"/>
      <c r="AA135" s="281">
        <f>M135/$Q135*100</f>
        <v>1.0000000000000029</v>
      </c>
      <c r="AE135" s="111"/>
      <c r="AF135" s="151"/>
      <c r="AG135" s="92"/>
      <c r="AI135" s="53"/>
      <c r="AJ135" s="53"/>
      <c r="AK135" s="53"/>
      <c r="AL135" s="53"/>
      <c r="AM135" s="53"/>
    </row>
    <row r="136" spans="1:58" s="11" customFormat="1">
      <c r="A136" s="53"/>
      <c r="C136" s="53" t="s">
        <v>27</v>
      </c>
      <c r="D136" s="168"/>
      <c r="E136" s="167"/>
      <c r="F136" s="168"/>
      <c r="G136" s="168"/>
      <c r="H136" s="168"/>
      <c r="I136" s="168"/>
      <c r="J136" s="115"/>
      <c r="K136" s="115"/>
      <c r="L136" s="115"/>
      <c r="M136" s="115">
        <f>SUM(M23,M47,M67,M122)</f>
        <v>63813219.906443022</v>
      </c>
      <c r="N136" s="115"/>
      <c r="O136" s="171"/>
      <c r="P136" s="116"/>
      <c r="Q136" s="183">
        <f>SUM(Q23,Q47,Q67,Q122)</f>
        <v>6381321990.6443033</v>
      </c>
      <c r="R136" s="218"/>
      <c r="AA136" s="281">
        <f>M136/$Q136*100</f>
        <v>0.99999999999999989</v>
      </c>
      <c r="AE136" s="111"/>
      <c r="AF136" s="151"/>
      <c r="AG136" s="92"/>
      <c r="AI136" s="53"/>
      <c r="AJ136" s="53"/>
      <c r="AK136" s="53"/>
      <c r="AL136" s="53"/>
      <c r="AM136" s="53"/>
    </row>
    <row r="137" spans="1:58" s="11" customFormat="1">
      <c r="A137" s="53"/>
      <c r="C137" s="53" t="s">
        <v>28</v>
      </c>
      <c r="D137" s="168"/>
      <c r="E137" s="167"/>
      <c r="F137" s="168"/>
      <c r="G137" s="168"/>
      <c r="H137" s="168"/>
      <c r="I137" s="168"/>
      <c r="J137" s="115"/>
      <c r="K137" s="115"/>
      <c r="L137" s="115"/>
      <c r="M137" s="115">
        <f>SUM(M13,M20,M24,M50,M53,M68,M90,M123)</f>
        <v>652428910.24252391</v>
      </c>
      <c r="N137" s="115"/>
      <c r="O137" s="171"/>
      <c r="P137" s="111"/>
      <c r="Q137" s="183">
        <f>SUM(Q13,Q20,Q24,Q50,Q53,Q68,Q90,Q123)</f>
        <v>67281102612.923523</v>
      </c>
      <c r="R137" s="218"/>
      <c r="AA137" s="281">
        <f>M137/$Q137*100</f>
        <v>0.96970603171596026</v>
      </c>
      <c r="AE137" s="111"/>
      <c r="AF137" s="151"/>
      <c r="AG137" s="92"/>
      <c r="AI137" s="53"/>
      <c r="AJ137" s="53"/>
      <c r="AK137" s="53"/>
      <c r="AL137" s="53"/>
      <c r="AM137" s="53"/>
    </row>
    <row r="138" spans="1:58" s="11" customFormat="1">
      <c r="A138" s="53"/>
      <c r="B138" s="11" t="s">
        <v>18</v>
      </c>
      <c r="C138" s="53"/>
      <c r="D138" s="168"/>
      <c r="E138" s="167"/>
      <c r="F138" s="168"/>
      <c r="G138" s="168"/>
      <c r="H138" s="168"/>
      <c r="I138" s="168"/>
      <c r="J138" s="115"/>
      <c r="K138" s="115"/>
      <c r="L138" s="115"/>
      <c r="M138" s="115">
        <f>SUM(M135:M137)</f>
        <v>791579577.62912178</v>
      </c>
      <c r="N138" s="115"/>
      <c r="O138" s="171"/>
      <c r="P138" s="111"/>
      <c r="Q138" s="183">
        <f>SUM(Q135:Q137)</f>
        <v>81196169351.583298</v>
      </c>
      <c r="AA138" s="281">
        <f>M138/$Q138*100</f>
        <v>0.97489768784724851</v>
      </c>
      <c r="AE138" s="111"/>
      <c r="AF138" s="151"/>
      <c r="AG138" s="92"/>
      <c r="AI138" s="53"/>
      <c r="AJ138" s="53"/>
      <c r="AK138" s="53"/>
      <c r="AL138" s="53"/>
      <c r="AM138" s="53"/>
    </row>
    <row r="139" spans="1:58" s="11" customFormat="1">
      <c r="A139" s="53"/>
      <c r="C139" s="53"/>
      <c r="D139" s="168"/>
      <c r="E139" s="167"/>
      <c r="F139" s="168"/>
      <c r="G139" s="168"/>
      <c r="H139" s="168"/>
      <c r="I139" s="168"/>
      <c r="J139" s="115"/>
      <c r="K139" s="115"/>
      <c r="L139" s="115"/>
      <c r="M139" s="115"/>
      <c r="N139" s="115"/>
      <c r="O139" s="115"/>
      <c r="Q139" s="183"/>
      <c r="AA139" s="283"/>
      <c r="AE139" s="111"/>
      <c r="AF139" s="151"/>
      <c r="AG139" s="92"/>
      <c r="AI139" s="53"/>
      <c r="AJ139" s="53"/>
      <c r="AK139" s="53"/>
      <c r="AL139" s="53"/>
      <c r="AM139" s="53"/>
    </row>
    <row r="140" spans="1:58" s="11" customFormat="1">
      <c r="A140" s="53"/>
      <c r="C140" s="53"/>
      <c r="D140" s="168"/>
      <c r="E140" s="167"/>
      <c r="F140" s="168"/>
      <c r="G140" s="168"/>
      <c r="H140" s="168"/>
      <c r="I140" s="168"/>
      <c r="J140" s="115"/>
      <c r="K140" s="115"/>
      <c r="L140" s="115"/>
      <c r="M140" s="115"/>
      <c r="N140" s="115"/>
      <c r="O140" s="115"/>
      <c r="Q140" s="183"/>
      <c r="AA140" s="283"/>
      <c r="AE140" s="111"/>
      <c r="AF140" s="151"/>
      <c r="AG140" s="92"/>
      <c r="AI140" s="53"/>
      <c r="AJ140" s="53"/>
      <c r="AK140" s="53"/>
      <c r="AL140" s="53"/>
      <c r="AM140" s="53"/>
    </row>
    <row r="141" spans="1:58" s="11" customFormat="1">
      <c r="A141" s="53"/>
      <c r="C141" s="53"/>
      <c r="D141" s="168"/>
      <c r="E141" s="167"/>
      <c r="F141" s="168"/>
      <c r="G141" s="168"/>
      <c r="H141" s="168"/>
      <c r="I141" s="168"/>
      <c r="J141" s="115"/>
      <c r="K141" s="115"/>
      <c r="L141" s="115"/>
      <c r="M141" s="115"/>
      <c r="N141" s="115"/>
      <c r="O141" s="115"/>
      <c r="Q141" s="183"/>
      <c r="AA141" s="283"/>
      <c r="AE141" s="111"/>
      <c r="AF141" s="151"/>
      <c r="AG141" s="92"/>
      <c r="AI141" s="53"/>
      <c r="AJ141" s="53"/>
      <c r="AK141" s="53"/>
      <c r="AL141" s="53"/>
      <c r="AM141" s="53"/>
    </row>
    <row r="142" spans="1:58" s="11" customFormat="1">
      <c r="A142" s="53"/>
      <c r="C142" s="53"/>
      <c r="D142" s="168"/>
      <c r="E142" s="167"/>
      <c r="F142" s="168"/>
      <c r="G142" s="168"/>
      <c r="H142" s="168"/>
      <c r="I142" s="168"/>
      <c r="J142" s="115"/>
      <c r="K142" s="115"/>
      <c r="L142" s="115"/>
      <c r="M142" s="115"/>
      <c r="N142" s="115"/>
      <c r="O142" s="115"/>
      <c r="Q142" s="183"/>
      <c r="AA142" s="283"/>
      <c r="AE142" s="111"/>
      <c r="AF142" s="151"/>
      <c r="AG142" s="92"/>
      <c r="AI142" s="53"/>
      <c r="AJ142" s="53"/>
      <c r="AK142" s="53"/>
      <c r="AL142" s="53"/>
      <c r="AM142" s="53"/>
    </row>
    <row r="143" spans="1:58" s="11" customFormat="1">
      <c r="A143" s="53"/>
      <c r="C143" s="53"/>
      <c r="D143" s="168"/>
      <c r="E143" s="167"/>
      <c r="F143" s="168"/>
      <c r="G143" s="168"/>
      <c r="H143" s="168"/>
      <c r="I143" s="168"/>
      <c r="J143" s="115"/>
      <c r="K143" s="115"/>
      <c r="L143" s="115"/>
      <c r="M143" s="115"/>
      <c r="N143" s="115"/>
      <c r="O143" s="115"/>
      <c r="Q143" s="183"/>
      <c r="AA143" s="283"/>
      <c r="AE143" s="111"/>
      <c r="AF143" s="151"/>
      <c r="AG143" s="92"/>
      <c r="AI143" s="53"/>
      <c r="AJ143" s="53"/>
      <c r="AK143" s="53"/>
      <c r="AL143" s="53"/>
      <c r="AM143" s="53"/>
    </row>
    <row r="144" spans="1:58" s="11" customFormat="1">
      <c r="A144" s="53"/>
      <c r="C144" s="53"/>
      <c r="D144" s="168"/>
      <c r="E144" s="167"/>
      <c r="F144" s="168"/>
      <c r="G144" s="168"/>
      <c r="H144" s="168"/>
      <c r="I144" s="168"/>
      <c r="J144" s="115"/>
      <c r="K144" s="115"/>
      <c r="L144" s="115"/>
      <c r="M144" s="115"/>
      <c r="N144" s="115"/>
      <c r="O144" s="115"/>
      <c r="Q144" s="183"/>
      <c r="AA144" s="283"/>
      <c r="AE144" s="111"/>
      <c r="AF144" s="151"/>
      <c r="AG144" s="92"/>
      <c r="AI144" s="53"/>
      <c r="AJ144" s="53"/>
      <c r="AK144" s="53"/>
      <c r="AL144" s="53"/>
      <c r="AM144" s="53"/>
    </row>
    <row r="145" spans="1:39" s="11" customFormat="1">
      <c r="A145" s="53"/>
      <c r="C145" s="53"/>
      <c r="D145" s="168"/>
      <c r="E145" s="167"/>
      <c r="F145" s="168"/>
      <c r="G145" s="168"/>
      <c r="H145" s="168"/>
      <c r="I145" s="168"/>
      <c r="J145" s="115"/>
      <c r="K145" s="115"/>
      <c r="L145" s="115"/>
      <c r="M145" s="115"/>
      <c r="N145" s="115"/>
      <c r="O145" s="115"/>
      <c r="Q145" s="183"/>
      <c r="AA145" s="283"/>
      <c r="AE145" s="111"/>
      <c r="AF145" s="151"/>
      <c r="AG145" s="92"/>
      <c r="AI145" s="53"/>
      <c r="AJ145" s="53"/>
      <c r="AK145" s="53"/>
      <c r="AL145" s="53"/>
      <c r="AM145" s="53"/>
    </row>
    <row r="146" spans="1:39" s="11" customFormat="1">
      <c r="A146" s="53"/>
      <c r="C146" s="53"/>
      <c r="D146" s="168"/>
      <c r="E146" s="167"/>
      <c r="F146" s="168"/>
      <c r="G146" s="168"/>
      <c r="H146" s="168"/>
      <c r="I146" s="168"/>
      <c r="J146" s="115"/>
      <c r="K146" s="115"/>
      <c r="L146" s="115"/>
      <c r="M146" s="115"/>
      <c r="N146" s="115"/>
      <c r="O146" s="115"/>
      <c r="Q146" s="183"/>
      <c r="AA146" s="283"/>
      <c r="AE146" s="111"/>
      <c r="AF146" s="151"/>
      <c r="AI146" s="53"/>
      <c r="AJ146" s="53"/>
      <c r="AK146" s="53"/>
      <c r="AL146" s="53"/>
      <c r="AM146" s="53"/>
    </row>
    <row r="147" spans="1:39" s="11" customFormat="1">
      <c r="A147" s="53"/>
      <c r="C147" s="53"/>
      <c r="D147" s="168"/>
      <c r="E147" s="167"/>
      <c r="F147" s="168"/>
      <c r="G147" s="168"/>
      <c r="H147" s="168"/>
      <c r="I147" s="168"/>
      <c r="J147" s="115"/>
      <c r="K147" s="115"/>
      <c r="L147" s="115"/>
      <c r="M147" s="115"/>
      <c r="N147" s="115"/>
      <c r="O147" s="115"/>
      <c r="Q147" s="183"/>
      <c r="AA147" s="283"/>
      <c r="AE147" s="111"/>
      <c r="AF147" s="151"/>
      <c r="AI147" s="53"/>
      <c r="AJ147" s="53"/>
      <c r="AK147" s="53"/>
      <c r="AL147" s="53"/>
      <c r="AM147" s="53"/>
    </row>
    <row r="148" spans="1:39" s="11" customFormat="1">
      <c r="A148" s="53"/>
      <c r="C148" s="53"/>
      <c r="D148" s="168"/>
      <c r="E148" s="167"/>
      <c r="F148" s="168"/>
      <c r="G148" s="168"/>
      <c r="H148" s="168"/>
      <c r="I148" s="168"/>
      <c r="J148" s="115"/>
      <c r="K148" s="115"/>
      <c r="L148" s="115"/>
      <c r="M148" s="115"/>
      <c r="N148" s="115"/>
      <c r="O148" s="115"/>
      <c r="Q148" s="183"/>
      <c r="AA148" s="283"/>
      <c r="AE148" s="111"/>
      <c r="AF148" s="151"/>
      <c r="AI148" s="53"/>
      <c r="AJ148" s="53"/>
      <c r="AK148" s="53"/>
      <c r="AL148" s="53"/>
      <c r="AM148" s="53"/>
    </row>
    <row r="149" spans="1:39" s="11" customFormat="1">
      <c r="A149" s="53"/>
      <c r="C149" s="53"/>
      <c r="D149" s="168"/>
      <c r="E149" s="167"/>
      <c r="F149" s="168"/>
      <c r="G149" s="168"/>
      <c r="H149" s="168"/>
      <c r="I149" s="168"/>
      <c r="J149" s="115"/>
      <c r="K149" s="115"/>
      <c r="L149" s="115"/>
      <c r="M149" s="115"/>
      <c r="N149" s="115"/>
      <c r="O149" s="115"/>
      <c r="Q149" s="183"/>
      <c r="AA149" s="283"/>
      <c r="AE149" s="111"/>
      <c r="AF149" s="151"/>
      <c r="AI149" s="53"/>
      <c r="AJ149" s="53"/>
      <c r="AK149" s="53"/>
      <c r="AL149" s="53"/>
      <c r="AM149" s="53"/>
    </row>
    <row r="150" spans="1:39" s="11" customFormat="1">
      <c r="A150" s="53"/>
      <c r="C150" s="53"/>
      <c r="D150" s="168"/>
      <c r="E150" s="167"/>
      <c r="F150" s="168"/>
      <c r="G150" s="168"/>
      <c r="H150" s="168"/>
      <c r="I150" s="168"/>
      <c r="J150" s="115"/>
      <c r="K150" s="115"/>
      <c r="L150" s="115"/>
      <c r="M150" s="115"/>
      <c r="N150" s="115"/>
      <c r="O150" s="115"/>
      <c r="Q150" s="183"/>
      <c r="AA150" s="283"/>
      <c r="AE150" s="111"/>
      <c r="AF150" s="151"/>
      <c r="AI150" s="53"/>
      <c r="AJ150" s="53"/>
      <c r="AK150" s="53"/>
      <c r="AL150" s="53"/>
      <c r="AM150" s="53"/>
    </row>
    <row r="151" spans="1:39" s="11" customFormat="1">
      <c r="A151" s="53"/>
      <c r="C151" s="53"/>
      <c r="D151" s="168"/>
      <c r="E151" s="167"/>
      <c r="F151" s="168"/>
      <c r="G151" s="168"/>
      <c r="H151" s="168"/>
      <c r="I151" s="168"/>
      <c r="J151" s="115"/>
      <c r="K151" s="115"/>
      <c r="L151" s="115"/>
      <c r="M151" s="115"/>
      <c r="N151" s="115"/>
      <c r="O151" s="115"/>
      <c r="Q151" s="183"/>
      <c r="AA151" s="283"/>
      <c r="AE151" s="111"/>
      <c r="AF151" s="151"/>
      <c r="AI151" s="53"/>
      <c r="AJ151" s="53"/>
      <c r="AK151" s="53"/>
      <c r="AL151" s="53"/>
      <c r="AM151" s="53"/>
    </row>
    <row r="152" spans="1:39" s="11" customFormat="1">
      <c r="A152" s="53"/>
      <c r="C152" s="53"/>
      <c r="D152" s="168"/>
      <c r="E152" s="167"/>
      <c r="F152" s="168"/>
      <c r="G152" s="168"/>
      <c r="H152" s="168"/>
      <c r="I152" s="168"/>
      <c r="J152" s="115"/>
      <c r="K152" s="115"/>
      <c r="L152" s="115"/>
      <c r="M152" s="115"/>
      <c r="N152" s="115"/>
      <c r="O152" s="115"/>
      <c r="Q152" s="183"/>
      <c r="AA152" s="283"/>
      <c r="AE152" s="111"/>
      <c r="AF152" s="151"/>
      <c r="AI152" s="53"/>
      <c r="AJ152" s="53"/>
      <c r="AK152" s="53"/>
      <c r="AL152" s="53"/>
      <c r="AM152" s="53"/>
    </row>
    <row r="153" spans="1:39" s="11" customFormat="1">
      <c r="A153" s="53"/>
      <c r="C153" s="53"/>
      <c r="D153" s="168"/>
      <c r="E153" s="167"/>
      <c r="F153" s="168"/>
      <c r="G153" s="168"/>
      <c r="H153" s="168"/>
      <c r="I153" s="168"/>
      <c r="J153" s="115"/>
      <c r="K153" s="115"/>
      <c r="L153" s="115"/>
      <c r="M153" s="115"/>
      <c r="N153" s="115"/>
      <c r="O153" s="115"/>
      <c r="Q153" s="183"/>
      <c r="AA153" s="283"/>
      <c r="AE153" s="111"/>
      <c r="AF153" s="151"/>
      <c r="AI153" s="53"/>
      <c r="AJ153" s="53"/>
      <c r="AK153" s="53"/>
      <c r="AL153" s="53"/>
      <c r="AM153" s="53"/>
    </row>
    <row r="154" spans="1:39">
      <c r="AE154" s="118"/>
    </row>
    <row r="155" spans="1:39">
      <c r="AE155" s="118"/>
    </row>
    <row r="156" spans="1:39">
      <c r="AE156" s="118"/>
    </row>
    <row r="157" spans="1:39">
      <c r="AE157" s="118"/>
    </row>
    <row r="158" spans="1:39">
      <c r="AE158" s="118"/>
    </row>
    <row r="159" spans="1:39">
      <c r="AE159" s="118"/>
    </row>
    <row r="160" spans="1:39">
      <c r="AE160" s="118"/>
    </row>
    <row r="161" spans="31:31">
      <c r="AE161" s="118"/>
    </row>
    <row r="162" spans="31:31">
      <c r="AE162" s="118"/>
    </row>
    <row r="163" spans="31:31">
      <c r="AE163" s="118"/>
    </row>
    <row r="164" spans="31:31">
      <c r="AE164" s="118"/>
    </row>
    <row r="165" spans="31:31">
      <c r="AE165" s="118"/>
    </row>
    <row r="166" spans="31:31">
      <c r="AE166" s="118"/>
    </row>
    <row r="167" spans="31:31">
      <c r="AE167" s="118"/>
    </row>
    <row r="168" spans="31:31">
      <c r="AE168" s="118"/>
    </row>
    <row r="169" spans="31:31">
      <c r="AE169" s="118"/>
    </row>
    <row r="170" spans="31:31">
      <c r="AE170" s="118"/>
    </row>
    <row r="171" spans="31:31">
      <c r="AE171" s="118"/>
    </row>
    <row r="172" spans="31:31">
      <c r="AE172" s="118"/>
    </row>
    <row r="173" spans="31:31">
      <c r="AE173" s="118"/>
    </row>
    <row r="174" spans="31:31">
      <c r="AE174" s="118"/>
    </row>
    <row r="175" spans="31:31">
      <c r="AE175" s="118"/>
    </row>
    <row r="176" spans="31:31">
      <c r="AE176" s="118"/>
    </row>
    <row r="177" spans="31:31">
      <c r="AE177" s="118"/>
    </row>
    <row r="178" spans="31:31">
      <c r="AE178" s="118"/>
    </row>
    <row r="179" spans="31:31">
      <c r="AE179" s="118"/>
    </row>
    <row r="180" spans="31:31">
      <c r="AE180" s="118"/>
    </row>
    <row r="181" spans="31:31">
      <c r="AE181" s="118"/>
    </row>
    <row r="182" spans="31:31">
      <c r="AE182" s="118"/>
    </row>
    <row r="183" spans="31:31">
      <c r="AE183" s="118"/>
    </row>
    <row r="184" spans="31:31">
      <c r="AE184" s="118"/>
    </row>
    <row r="185" spans="31:31">
      <c r="AE185" s="118"/>
    </row>
    <row r="186" spans="31:31">
      <c r="AE186" s="118"/>
    </row>
    <row r="187" spans="31:31">
      <c r="AE187" s="118"/>
    </row>
    <row r="188" spans="31:31">
      <c r="AE188" s="118"/>
    </row>
    <row r="189" spans="31:31">
      <c r="AE189" s="118"/>
    </row>
    <row r="190" spans="31:31">
      <c r="AE190" s="118"/>
    </row>
    <row r="191" spans="31:31">
      <c r="AE191" s="118"/>
    </row>
    <row r="192" spans="31:31">
      <c r="AE192" s="118"/>
    </row>
    <row r="193" spans="31:31">
      <c r="AE193" s="118"/>
    </row>
    <row r="194" spans="31:31">
      <c r="AE194" s="118"/>
    </row>
    <row r="195" spans="31:31">
      <c r="AE195" s="118"/>
    </row>
    <row r="196" spans="31:31">
      <c r="AE196" s="118"/>
    </row>
    <row r="197" spans="31:31">
      <c r="AE197" s="118"/>
    </row>
    <row r="198" spans="31:31">
      <c r="AE198" s="118"/>
    </row>
    <row r="199" spans="31:31">
      <c r="AE199" s="118"/>
    </row>
    <row r="200" spans="31:31">
      <c r="AE200" s="118"/>
    </row>
    <row r="201" spans="31:31">
      <c r="AE201" s="118"/>
    </row>
    <row r="202" spans="31:31">
      <c r="AE202" s="118"/>
    </row>
    <row r="203" spans="31:31">
      <c r="AE203" s="118"/>
    </row>
    <row r="204" spans="31:31">
      <c r="AE204" s="118"/>
    </row>
    <row r="205" spans="31:31">
      <c r="AE205" s="118"/>
    </row>
    <row r="206" spans="31:31">
      <c r="AE206" s="118"/>
    </row>
    <row r="207" spans="31:31">
      <c r="AE207" s="118"/>
    </row>
    <row r="208" spans="31:31">
      <c r="AE208" s="118"/>
    </row>
    <row r="209" spans="31:31">
      <c r="AE209" s="118"/>
    </row>
    <row r="210" spans="31:31">
      <c r="AE210" s="118"/>
    </row>
    <row r="211" spans="31:31">
      <c r="AE211" s="118"/>
    </row>
    <row r="212" spans="31:31">
      <c r="AE212" s="118"/>
    </row>
    <row r="213" spans="31:31">
      <c r="AE213" s="118"/>
    </row>
    <row r="214" spans="31:31">
      <c r="AE214" s="118"/>
    </row>
  </sheetData>
  <mergeCells count="1">
    <mergeCell ref="G2:I2"/>
  </mergeCells>
  <phoneticPr fontId="0" type="noConversion"/>
  <pageMargins left="0.2" right="0.25" top="0.75" bottom="0.48" header="0.22" footer="0.21"/>
  <pageSetup scale="85" fitToWidth="2" fitToHeight="0" orientation="landscape" r:id="rId1"/>
  <headerFooter alignWithMargins="0">
    <oddHeader>&amp;CPacific Gas and Electric Company
Revenue Allocation Workpapers for the 3¢ Surcharge
Present and Proposed Revenues and Rates</oddHeader>
    <oddFooter>&amp;L&amp;9&amp;D
&amp;T&amp;R&amp;F
&amp;A</oddFooter>
  </headerFooter>
  <rowBreaks count="1" manualBreakCount="1">
    <brk id="109" min="1" max="31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Y65536"/>
  <sheetViews>
    <sheetView workbookViewId="0">
      <selection activeCell="D2" sqref="D2:E2"/>
    </sheetView>
  </sheetViews>
  <sheetFormatPr defaultRowHeight="12.75"/>
  <cols>
    <col min="1" max="1" width="20" bestFit="1" customWidth="1"/>
    <col min="2" max="2" width="2.6640625" bestFit="1" customWidth="1"/>
    <col min="3" max="3" width="0" hidden="1" customWidth="1"/>
    <col min="4" max="5" width="16.83203125" customWidth="1"/>
    <col min="6" max="6" width="2.83203125" customWidth="1"/>
    <col min="7" max="7" width="15.1640625" bestFit="1" customWidth="1"/>
    <col min="8" max="8" width="15.5" customWidth="1"/>
    <col min="9" max="10" width="15.1640625" bestFit="1" customWidth="1"/>
    <col min="11" max="11" width="2.83203125" customWidth="1"/>
    <col min="12" max="13" width="15.33203125" bestFit="1" customWidth="1"/>
    <col min="14" max="14" width="16.6640625" bestFit="1" customWidth="1"/>
    <col min="15" max="15" width="3.5" customWidth="1"/>
    <col min="16" max="16" width="11.1640625" bestFit="1" customWidth="1"/>
    <col min="17" max="17" width="17.6640625" bestFit="1" customWidth="1"/>
    <col min="18" max="18" width="3.5" customWidth="1"/>
    <col min="19" max="19" width="11.1640625" style="331" bestFit="1" customWidth="1"/>
    <col min="20" max="20" width="14" style="326" customWidth="1"/>
    <col min="21" max="21" width="14" style="340" customWidth="1"/>
    <col min="22" max="22" width="12" bestFit="1" customWidth="1"/>
    <col min="23" max="24" width="15.5" bestFit="1" customWidth="1"/>
    <col min="25" max="26" width="12.33203125" bestFit="1" customWidth="1"/>
    <col min="27" max="27" width="17.6640625" style="201" bestFit="1" customWidth="1"/>
    <col min="28" max="28" width="5.1640625" customWidth="1"/>
    <col min="29" max="29" width="15.1640625" bestFit="1" customWidth="1"/>
    <col min="30" max="31" width="11.6640625" bestFit="1" customWidth="1"/>
    <col min="32" max="32" width="11.6640625" customWidth="1"/>
    <col min="33" max="33" width="13.5" bestFit="1" customWidth="1"/>
    <col min="34" max="34" width="13.83203125" style="51" bestFit="1" customWidth="1"/>
    <col min="35" max="35" width="10.1640625" style="201" bestFit="1" customWidth="1"/>
    <col min="36" max="36" width="11.6640625" bestFit="1" customWidth="1"/>
    <col min="37" max="37" width="13.6640625" bestFit="1" customWidth="1"/>
    <col min="38" max="38" width="16.83203125" bestFit="1" customWidth="1"/>
    <col min="39" max="39" width="3.6640625" style="300" customWidth="1"/>
    <col min="40" max="40" width="15.1640625" style="117" bestFit="1" customWidth="1"/>
    <col min="41" max="41" width="11.6640625" style="117" bestFit="1" customWidth="1"/>
    <col min="42" max="42" width="16.83203125" style="117" bestFit="1" customWidth="1"/>
    <col min="43" max="43" width="11.6640625" style="117" customWidth="1"/>
    <col min="44" max="44" width="16.83203125" style="117" bestFit="1" customWidth="1"/>
    <col min="45" max="45" width="13.83203125" style="224" bestFit="1" customWidth="1"/>
    <col min="46" max="46" width="10.1640625" style="117" bestFit="1" customWidth="1"/>
    <col min="47" max="47" width="11.6640625" style="117" bestFit="1" customWidth="1"/>
    <col min="48" max="48" width="11.6640625" style="117" customWidth="1"/>
    <col min="49" max="49" width="16.83203125" style="117" bestFit="1" customWidth="1"/>
    <col min="50" max="50" width="3.6640625" style="300" customWidth="1"/>
    <col min="51" max="51" width="15.1640625" style="117" bestFit="1" customWidth="1"/>
    <col min="52" max="52" width="11.6640625" style="117" bestFit="1" customWidth="1"/>
    <col min="53" max="53" width="16.83203125" style="117" bestFit="1" customWidth="1"/>
    <col min="54" max="54" width="11.6640625" style="117" customWidth="1"/>
    <col min="55" max="55" width="16.83203125" style="117" bestFit="1" customWidth="1"/>
    <col min="56" max="56" width="13.83203125" style="224" bestFit="1" customWidth="1"/>
    <col min="57" max="57" width="10.1640625" style="117" bestFit="1" customWidth="1"/>
    <col min="58" max="58" width="11.6640625" style="117" bestFit="1" customWidth="1"/>
    <col min="59" max="59" width="11.6640625" style="117" customWidth="1"/>
    <col min="60" max="60" width="16.83203125" style="117" bestFit="1" customWidth="1"/>
    <col min="61" max="61" width="3.6640625" style="300" customWidth="1"/>
    <col min="62" max="62" width="15.1640625" style="117" bestFit="1" customWidth="1"/>
    <col min="63" max="63" width="11.6640625" style="117" bestFit="1" customWidth="1"/>
    <col min="64" max="64" width="16.83203125" style="117" bestFit="1" customWidth="1"/>
    <col min="65" max="65" width="11.6640625" style="117" customWidth="1"/>
    <col min="66" max="66" width="16.83203125" style="117" bestFit="1" customWidth="1"/>
    <col min="67" max="67" width="13.83203125" style="224" bestFit="1" customWidth="1"/>
    <col min="68" max="68" width="10.1640625" style="117" bestFit="1" customWidth="1"/>
    <col min="69" max="69" width="11.6640625" style="117" bestFit="1" customWidth="1"/>
    <col min="70" max="70" width="11.6640625" style="117" customWidth="1"/>
    <col min="71" max="71" width="16.83203125" style="117" bestFit="1" customWidth="1"/>
    <col min="72" max="72" width="3.6640625" style="300" customWidth="1"/>
    <col min="73" max="73" width="15.1640625" style="117" bestFit="1" customWidth="1"/>
    <col min="74" max="74" width="11.6640625" style="117" bestFit="1" customWidth="1"/>
    <col min="75" max="75" width="16.83203125" style="117" bestFit="1" customWidth="1"/>
    <col min="76" max="76" width="11.6640625" style="117" customWidth="1"/>
    <col min="77" max="77" width="16.83203125" style="117" bestFit="1" customWidth="1"/>
    <col min="78" max="78" width="13.83203125" style="224" bestFit="1" customWidth="1"/>
    <col min="79" max="79" width="10.1640625" style="117" bestFit="1" customWidth="1"/>
    <col min="80" max="80" width="11.6640625" style="117" bestFit="1" customWidth="1"/>
    <col min="81" max="81" width="11.6640625" style="117" customWidth="1"/>
    <col min="82" max="82" width="16.83203125" style="117" bestFit="1" customWidth="1"/>
    <col min="83" max="155" width="9.33203125" style="117"/>
  </cols>
  <sheetData>
    <row r="1" spans="1:82">
      <c r="D1" s="427" t="s">
        <v>224</v>
      </c>
      <c r="E1" s="427"/>
      <c r="F1" s="153"/>
      <c r="G1" s="427" t="s">
        <v>224</v>
      </c>
      <c r="H1" s="427"/>
      <c r="I1" s="427"/>
      <c r="J1" s="427"/>
      <c r="K1" s="153"/>
      <c r="L1" s="427" t="s">
        <v>224</v>
      </c>
      <c r="M1" s="427"/>
      <c r="N1" s="427"/>
      <c r="O1" s="427"/>
      <c r="P1" s="427" t="str">
        <f>L1</f>
        <v>Allocation of RSP Surcharge</v>
      </c>
      <c r="Q1" s="427"/>
      <c r="S1" s="427" t="str">
        <f>P1</f>
        <v>Allocation of RSP Surcharge</v>
      </c>
      <c r="T1" s="427"/>
      <c r="U1" s="427"/>
      <c r="V1" s="427"/>
      <c r="W1" s="427"/>
      <c r="X1" s="427"/>
      <c r="Y1" s="427"/>
      <c r="Z1" s="427"/>
      <c r="AA1" s="427"/>
      <c r="AC1" s="427" t="s">
        <v>205</v>
      </c>
      <c r="AD1" s="427"/>
      <c r="AE1" s="427"/>
      <c r="AF1" s="427"/>
      <c r="AG1" s="427"/>
      <c r="AH1" s="427"/>
      <c r="AI1" s="427"/>
      <c r="AJ1" s="427"/>
      <c r="AK1" s="427"/>
      <c r="AL1" s="427"/>
      <c r="AN1" s="427" t="s">
        <v>205</v>
      </c>
      <c r="AO1" s="427"/>
      <c r="AP1" s="427"/>
      <c r="AQ1" s="427"/>
      <c r="AR1" s="427"/>
      <c r="AS1" s="427"/>
      <c r="AT1" s="427"/>
      <c r="AU1" s="427"/>
      <c r="AV1" s="427"/>
      <c r="AW1" s="427"/>
      <c r="AY1" s="427" t="s">
        <v>205</v>
      </c>
      <c r="AZ1" s="427"/>
      <c r="BA1" s="427"/>
      <c r="BB1" s="427"/>
      <c r="BC1" s="427"/>
      <c r="BD1" s="427"/>
      <c r="BE1" s="427"/>
      <c r="BF1" s="427"/>
      <c r="BG1" s="427"/>
      <c r="BH1" s="427"/>
      <c r="BJ1" s="427" t="s">
        <v>205</v>
      </c>
      <c r="BK1" s="427"/>
      <c r="BL1" s="427"/>
      <c r="BM1" s="427"/>
      <c r="BN1" s="427"/>
      <c r="BO1" s="427"/>
      <c r="BP1" s="427"/>
      <c r="BQ1" s="427"/>
      <c r="BR1" s="427"/>
      <c r="BS1" s="427"/>
      <c r="BT1" s="406"/>
      <c r="BU1" s="427" t="s">
        <v>205</v>
      </c>
      <c r="BV1" s="427"/>
      <c r="BW1" s="427"/>
      <c r="BX1" s="427"/>
      <c r="BY1" s="427"/>
      <c r="BZ1" s="427"/>
      <c r="CA1" s="427"/>
      <c r="CB1" s="427"/>
      <c r="CC1" s="427"/>
      <c r="CD1" s="427"/>
    </row>
    <row r="2" spans="1:82">
      <c r="A2" s="117"/>
      <c r="B2" s="117"/>
      <c r="C2" s="117"/>
      <c r="D2" s="427" t="s">
        <v>204</v>
      </c>
      <c r="E2" s="427"/>
      <c r="F2" s="153"/>
      <c r="G2" s="427" t="s">
        <v>381</v>
      </c>
      <c r="H2" s="427"/>
      <c r="I2" s="427"/>
      <c r="J2" s="427"/>
      <c r="K2" s="153"/>
      <c r="L2" s="427" t="s">
        <v>382</v>
      </c>
      <c r="M2" s="427"/>
      <c r="N2" s="427"/>
      <c r="O2" s="427"/>
      <c r="P2" s="427" t="s">
        <v>383</v>
      </c>
      <c r="Q2" s="427"/>
      <c r="R2" s="199"/>
      <c r="S2" s="430" t="s">
        <v>368</v>
      </c>
      <c r="T2" s="430"/>
      <c r="U2" s="430"/>
      <c r="V2" s="430"/>
      <c r="W2" s="430"/>
      <c r="X2" s="430"/>
      <c r="Y2" s="430"/>
      <c r="Z2" s="430"/>
      <c r="AA2" s="430"/>
      <c r="AB2" s="252"/>
      <c r="AC2" s="427" t="s">
        <v>204</v>
      </c>
      <c r="AD2" s="427"/>
      <c r="AE2" s="427"/>
      <c r="AF2" s="427"/>
      <c r="AG2" s="427"/>
      <c r="AH2" s="427"/>
      <c r="AI2" s="427"/>
      <c r="AJ2" s="427"/>
      <c r="AK2" s="427"/>
      <c r="AL2" s="427"/>
      <c r="AM2" s="199"/>
      <c r="AN2" s="427" t="str">
        <f>G2</f>
        <v>1999 PX Weighted Loads</v>
      </c>
      <c r="AO2" s="427"/>
      <c r="AP2" s="427"/>
      <c r="AQ2" s="427"/>
      <c r="AR2" s="427"/>
      <c r="AS2" s="427"/>
      <c r="AT2" s="427"/>
      <c r="AU2" s="427"/>
      <c r="AV2" s="427"/>
      <c r="AW2" s="427"/>
      <c r="AX2" s="199"/>
      <c r="AY2" s="427" t="str">
        <f>$L$2</f>
        <v>2000 PX Weighted Loads</v>
      </c>
      <c r="AZ2" s="427"/>
      <c r="BA2" s="427"/>
      <c r="BB2" s="427"/>
      <c r="BC2" s="427"/>
      <c r="BD2" s="427"/>
      <c r="BE2" s="427"/>
      <c r="BF2" s="427"/>
      <c r="BG2" s="427"/>
      <c r="BH2" s="427"/>
      <c r="BI2" s="199"/>
      <c r="BJ2" s="427" t="s">
        <v>475</v>
      </c>
      <c r="BK2" s="427"/>
      <c r="BL2" s="427"/>
      <c r="BM2" s="427"/>
      <c r="BN2" s="427"/>
      <c r="BO2" s="427"/>
      <c r="BP2" s="427"/>
      <c r="BQ2" s="427"/>
      <c r="BR2" s="427"/>
      <c r="BS2" s="427"/>
      <c r="BT2" s="406"/>
      <c r="BU2" s="427" t="s">
        <v>387</v>
      </c>
      <c r="BV2" s="427"/>
      <c r="BW2" s="427"/>
      <c r="BX2" s="427"/>
      <c r="BY2" s="427"/>
      <c r="BZ2" s="427"/>
      <c r="CA2" s="427"/>
      <c r="CB2" s="427"/>
      <c r="CC2" s="427"/>
      <c r="CD2" s="427"/>
    </row>
    <row r="3" spans="1:82">
      <c r="A3" s="73"/>
      <c r="B3" s="73" t="s">
        <v>0</v>
      </c>
      <c r="C3" s="73"/>
      <c r="D3" s="174" t="s">
        <v>143</v>
      </c>
      <c r="E3" s="201"/>
      <c r="F3" s="199"/>
      <c r="G3" s="224"/>
      <c r="H3" s="244">
        <v>1999</v>
      </c>
      <c r="I3" s="154"/>
      <c r="J3" s="347">
        <v>1999</v>
      </c>
      <c r="K3" s="199"/>
      <c r="L3" s="244">
        <v>2000</v>
      </c>
      <c r="M3" s="154"/>
      <c r="N3" s="347">
        <v>2000</v>
      </c>
      <c r="O3" s="199"/>
      <c r="P3" s="233" t="s">
        <v>180</v>
      </c>
      <c r="Q3" s="233" t="s">
        <v>180</v>
      </c>
      <c r="R3" s="199"/>
      <c r="S3" s="331" t="s">
        <v>371</v>
      </c>
      <c r="T3" s="342">
        <v>1998</v>
      </c>
      <c r="U3" s="344" t="s">
        <v>375</v>
      </c>
      <c r="W3" s="342">
        <v>1999</v>
      </c>
      <c r="X3" s="344" t="s">
        <v>377</v>
      </c>
      <c r="AB3" s="252"/>
      <c r="AM3" s="199"/>
      <c r="AN3"/>
      <c r="AO3"/>
      <c r="AP3"/>
      <c r="AQ3"/>
      <c r="AR3"/>
      <c r="AS3" s="51"/>
      <c r="AT3" s="201"/>
      <c r="AU3"/>
      <c r="AV3"/>
      <c r="AW3"/>
      <c r="AX3" s="199"/>
      <c r="AY3"/>
      <c r="AZ3"/>
      <c r="BA3"/>
      <c r="BB3"/>
      <c r="BC3"/>
      <c r="BD3" s="51"/>
      <c r="BE3" s="201"/>
      <c r="BF3"/>
      <c r="BG3"/>
      <c r="BH3"/>
      <c r="BI3" s="199"/>
      <c r="BJ3"/>
      <c r="BK3"/>
      <c r="BL3"/>
      <c r="BM3"/>
      <c r="BN3"/>
      <c r="BO3" s="51"/>
      <c r="BP3" s="201"/>
      <c r="BQ3"/>
      <c r="BR3"/>
      <c r="BS3"/>
      <c r="BT3" s="199"/>
      <c r="BU3"/>
      <c r="BV3"/>
      <c r="BW3"/>
      <c r="BX3"/>
      <c r="BY3"/>
      <c r="BZ3" s="51"/>
      <c r="CA3" s="201"/>
      <c r="CB3"/>
      <c r="CC3"/>
      <c r="CD3"/>
    </row>
    <row r="4" spans="1:82">
      <c r="A4" s="76"/>
      <c r="B4" s="73" t="s">
        <v>5</v>
      </c>
      <c r="C4" s="73" t="s">
        <v>202</v>
      </c>
      <c r="D4" s="174" t="s">
        <v>97</v>
      </c>
      <c r="E4" s="241" t="s">
        <v>139</v>
      </c>
      <c r="F4" s="199"/>
      <c r="G4" s="224" t="s">
        <v>156</v>
      </c>
      <c r="H4" s="246" t="s">
        <v>156</v>
      </c>
      <c r="I4" s="154" t="s">
        <v>156</v>
      </c>
      <c r="J4" s="201" t="s">
        <v>156</v>
      </c>
      <c r="K4" s="199"/>
      <c r="L4" s="157" t="s">
        <v>156</v>
      </c>
      <c r="M4" s="154" t="s">
        <v>156</v>
      </c>
      <c r="N4" s="201" t="s">
        <v>156</v>
      </c>
      <c r="O4" s="199"/>
      <c r="P4" s="233" t="s">
        <v>183</v>
      </c>
      <c r="Q4" s="233" t="s">
        <v>184</v>
      </c>
      <c r="R4" s="199"/>
      <c r="S4" s="329" t="s">
        <v>369</v>
      </c>
      <c r="T4" s="336" t="s">
        <v>372</v>
      </c>
      <c r="U4" s="336" t="s">
        <v>372</v>
      </c>
      <c r="V4">
        <v>1998</v>
      </c>
      <c r="W4" s="336" t="s">
        <v>372</v>
      </c>
      <c r="X4" s="336" t="s">
        <v>372</v>
      </c>
      <c r="Y4">
        <v>1999</v>
      </c>
      <c r="Z4" s="233" t="s">
        <v>379</v>
      </c>
      <c r="AA4" s="246" t="s">
        <v>380</v>
      </c>
      <c r="AB4" s="252"/>
      <c r="AC4" t="s">
        <v>160</v>
      </c>
      <c r="AD4" s="211" t="s">
        <v>187</v>
      </c>
      <c r="AE4" t="s">
        <v>162</v>
      </c>
      <c r="AF4" t="s">
        <v>474</v>
      </c>
      <c r="AG4" t="s">
        <v>163</v>
      </c>
      <c r="AH4" s="51" t="s">
        <v>162</v>
      </c>
      <c r="AI4" s="201" t="s">
        <v>190</v>
      </c>
      <c r="AJ4" s="201" t="s">
        <v>187</v>
      </c>
      <c r="AK4" s="201" t="s">
        <v>160</v>
      </c>
      <c r="AL4" s="201" t="s">
        <v>18</v>
      </c>
      <c r="AM4" s="199"/>
      <c r="AN4" t="s">
        <v>160</v>
      </c>
      <c r="AO4" s="211" t="s">
        <v>187</v>
      </c>
      <c r="AP4" t="s">
        <v>162</v>
      </c>
      <c r="AQ4" t="s">
        <v>474</v>
      </c>
      <c r="AR4" t="s">
        <v>163</v>
      </c>
      <c r="AS4" s="51" t="s">
        <v>162</v>
      </c>
      <c r="AT4" s="201" t="s">
        <v>190</v>
      </c>
      <c r="AU4" s="201" t="s">
        <v>187</v>
      </c>
      <c r="AV4" s="201" t="s">
        <v>160</v>
      </c>
      <c r="AW4" s="201" t="s">
        <v>18</v>
      </c>
      <c r="AX4" s="199"/>
      <c r="AY4" t="s">
        <v>160</v>
      </c>
      <c r="AZ4" s="211" t="s">
        <v>187</v>
      </c>
      <c r="BA4" t="s">
        <v>162</v>
      </c>
      <c r="BB4" t="s">
        <v>474</v>
      </c>
      <c r="BC4" t="s">
        <v>163</v>
      </c>
      <c r="BD4" s="51" t="s">
        <v>162</v>
      </c>
      <c r="BE4" s="201" t="s">
        <v>190</v>
      </c>
      <c r="BF4" s="201" t="s">
        <v>187</v>
      </c>
      <c r="BG4" s="201" t="s">
        <v>160</v>
      </c>
      <c r="BH4" s="201" t="s">
        <v>18</v>
      </c>
      <c r="BI4" s="199"/>
      <c r="BJ4" t="s">
        <v>160</v>
      </c>
      <c r="BK4" s="211" t="s">
        <v>187</v>
      </c>
      <c r="BL4" t="s">
        <v>162</v>
      </c>
      <c r="BM4" t="s">
        <v>474</v>
      </c>
      <c r="BN4" t="s">
        <v>163</v>
      </c>
      <c r="BO4" s="51" t="s">
        <v>162</v>
      </c>
      <c r="BP4" s="201" t="s">
        <v>190</v>
      </c>
      <c r="BQ4" s="201" t="s">
        <v>187</v>
      </c>
      <c r="BR4" s="201" t="s">
        <v>160</v>
      </c>
      <c r="BS4" s="201" t="s">
        <v>18</v>
      </c>
      <c r="BT4" s="199"/>
      <c r="BU4" t="s">
        <v>160</v>
      </c>
      <c r="BV4" s="211" t="s">
        <v>187</v>
      </c>
      <c r="BW4" t="s">
        <v>162</v>
      </c>
      <c r="BX4" t="s">
        <v>474</v>
      </c>
      <c r="BY4" t="s">
        <v>163</v>
      </c>
      <c r="BZ4" s="51" t="s">
        <v>162</v>
      </c>
      <c r="CA4" s="201" t="s">
        <v>190</v>
      </c>
      <c r="CB4" s="201" t="s">
        <v>187</v>
      </c>
      <c r="CC4" s="201" t="s">
        <v>160</v>
      </c>
      <c r="CD4" s="201" t="s">
        <v>18</v>
      </c>
    </row>
    <row r="5" spans="1:82" ht="15.75">
      <c r="A5" s="77" t="s">
        <v>20</v>
      </c>
      <c r="B5" s="77" t="s">
        <v>11</v>
      </c>
      <c r="C5" s="77" t="s">
        <v>203</v>
      </c>
      <c r="D5" s="175" t="s">
        <v>129</v>
      </c>
      <c r="E5" s="242" t="s">
        <v>140</v>
      </c>
      <c r="F5" s="200"/>
      <c r="G5" s="225" t="s">
        <v>185</v>
      </c>
      <c r="H5" s="247" t="s">
        <v>185</v>
      </c>
      <c r="I5" s="198" t="s">
        <v>145</v>
      </c>
      <c r="J5" s="202" t="s">
        <v>146</v>
      </c>
      <c r="K5" s="200"/>
      <c r="L5" s="245" t="s">
        <v>147</v>
      </c>
      <c r="M5" s="198" t="s">
        <v>145</v>
      </c>
      <c r="N5" s="202" t="s">
        <v>146</v>
      </c>
      <c r="O5" s="200"/>
      <c r="P5" s="251" t="s">
        <v>167</v>
      </c>
      <c r="Q5" s="251" t="s">
        <v>146</v>
      </c>
      <c r="R5" s="200"/>
      <c r="S5" s="330" t="s">
        <v>370</v>
      </c>
      <c r="T5" s="337" t="s">
        <v>374</v>
      </c>
      <c r="U5" s="345" t="s">
        <v>376</v>
      </c>
      <c r="V5" t="s">
        <v>378</v>
      </c>
      <c r="W5" s="337" t="s">
        <v>374</v>
      </c>
      <c r="X5" s="345" t="s">
        <v>376</v>
      </c>
      <c r="Y5" t="s">
        <v>378</v>
      </c>
      <c r="Z5" s="251" t="str">
        <f>Y5</f>
        <v>Alloc Factor</v>
      </c>
      <c r="AA5" s="247" t="s">
        <v>146</v>
      </c>
      <c r="AB5" s="253"/>
      <c r="AC5" t="s">
        <v>117</v>
      </c>
      <c r="AD5" s="211" t="s">
        <v>161</v>
      </c>
      <c r="AE5" t="s">
        <v>117</v>
      </c>
      <c r="AF5" t="s">
        <v>117</v>
      </c>
      <c r="AG5" t="s">
        <v>164</v>
      </c>
      <c r="AH5" s="226" t="s">
        <v>19</v>
      </c>
      <c r="AI5" s="202"/>
      <c r="AJ5" s="202" t="s">
        <v>191</v>
      </c>
      <c r="AK5" s="202" t="s">
        <v>201</v>
      </c>
      <c r="AL5" s="202" t="s">
        <v>190</v>
      </c>
      <c r="AM5" s="200"/>
      <c r="AN5" t="s">
        <v>117</v>
      </c>
      <c r="AO5" s="211" t="s">
        <v>161</v>
      </c>
      <c r="AP5" t="s">
        <v>117</v>
      </c>
      <c r="AQ5" t="s">
        <v>117</v>
      </c>
      <c r="AR5" t="s">
        <v>164</v>
      </c>
      <c r="AS5" s="226" t="s">
        <v>19</v>
      </c>
      <c r="AT5" s="202"/>
      <c r="AU5" s="202" t="s">
        <v>191</v>
      </c>
      <c r="AV5" s="202" t="s">
        <v>201</v>
      </c>
      <c r="AW5" s="202" t="s">
        <v>190</v>
      </c>
      <c r="AX5" s="200"/>
      <c r="AY5" t="s">
        <v>117</v>
      </c>
      <c r="AZ5" s="211" t="s">
        <v>161</v>
      </c>
      <c r="BA5" t="s">
        <v>117</v>
      </c>
      <c r="BB5" t="s">
        <v>117</v>
      </c>
      <c r="BC5" t="s">
        <v>164</v>
      </c>
      <c r="BD5" s="226" t="s">
        <v>19</v>
      </c>
      <c r="BE5" s="202"/>
      <c r="BF5" s="202" t="s">
        <v>191</v>
      </c>
      <c r="BG5" s="202" t="s">
        <v>201</v>
      </c>
      <c r="BH5" s="202" t="s">
        <v>190</v>
      </c>
      <c r="BI5" s="200"/>
      <c r="BJ5" t="s">
        <v>117</v>
      </c>
      <c r="BK5" s="211" t="s">
        <v>161</v>
      </c>
      <c r="BL5" t="s">
        <v>117</v>
      </c>
      <c r="BM5" t="s">
        <v>117</v>
      </c>
      <c r="BN5" t="s">
        <v>164</v>
      </c>
      <c r="BO5" s="226" t="s">
        <v>19</v>
      </c>
      <c r="BP5" s="202"/>
      <c r="BQ5" s="202" t="s">
        <v>191</v>
      </c>
      <c r="BR5" s="202" t="s">
        <v>201</v>
      </c>
      <c r="BS5" s="202" t="s">
        <v>190</v>
      </c>
      <c r="BT5" s="200"/>
      <c r="BU5" t="s">
        <v>117</v>
      </c>
      <c r="BV5" s="211" t="s">
        <v>161</v>
      </c>
      <c r="BW5" t="s">
        <v>117</v>
      </c>
      <c r="BX5" t="s">
        <v>117</v>
      </c>
      <c r="BY5" t="s">
        <v>164</v>
      </c>
      <c r="BZ5" s="226" t="s">
        <v>19</v>
      </c>
      <c r="CA5" s="202"/>
      <c r="CB5" s="202" t="s">
        <v>191</v>
      </c>
      <c r="CC5" s="202" t="s">
        <v>201</v>
      </c>
      <c r="CD5" s="202" t="s">
        <v>190</v>
      </c>
    </row>
    <row r="6" spans="1:82">
      <c r="A6" s="72"/>
      <c r="B6" s="77" t="s">
        <v>21</v>
      </c>
      <c r="C6" s="77"/>
      <c r="D6" s="174"/>
      <c r="E6" s="201"/>
      <c r="F6" s="199"/>
      <c r="G6" s="224"/>
      <c r="H6" s="224"/>
      <c r="I6" s="154"/>
      <c r="J6" s="201"/>
      <c r="K6" s="199"/>
      <c r="L6" s="157"/>
      <c r="M6" s="154"/>
      <c r="N6" s="201"/>
      <c r="O6" s="199"/>
      <c r="P6" s="224"/>
      <c r="Q6" s="224"/>
      <c r="R6" s="199"/>
      <c r="S6" s="332"/>
      <c r="T6" s="338"/>
      <c r="U6" s="346"/>
      <c r="W6" s="338"/>
      <c r="X6" s="346"/>
      <c r="Y6" s="224"/>
      <c r="Z6" s="224"/>
      <c r="AA6" s="157"/>
      <c r="AB6" s="252"/>
      <c r="AD6" s="211"/>
      <c r="AJ6" s="201"/>
      <c r="AK6" s="201"/>
      <c r="AL6" s="201"/>
      <c r="AM6" s="199"/>
      <c r="AN6"/>
      <c r="AO6" s="211"/>
      <c r="AP6"/>
      <c r="AQ6"/>
      <c r="AR6"/>
      <c r="AS6" s="51"/>
      <c r="AT6" s="201"/>
      <c r="AU6" s="201"/>
      <c r="AV6" s="201"/>
      <c r="AW6" s="201"/>
      <c r="AX6" s="199"/>
      <c r="AY6"/>
      <c r="AZ6" s="211"/>
      <c r="BA6"/>
      <c r="BB6"/>
      <c r="BC6"/>
      <c r="BD6" s="51"/>
      <c r="BE6" s="201"/>
      <c r="BF6" s="201"/>
      <c r="BG6" s="201"/>
      <c r="BH6" s="201"/>
      <c r="BI6" s="199"/>
      <c r="BJ6"/>
      <c r="BK6" s="211"/>
      <c r="BL6"/>
      <c r="BM6"/>
      <c r="BN6"/>
      <c r="BO6" s="51"/>
      <c r="BP6" s="201"/>
      <c r="BQ6" s="201"/>
      <c r="BR6" s="201"/>
      <c r="BS6" s="201"/>
      <c r="BT6" s="199"/>
      <c r="BU6"/>
      <c r="BV6" s="211"/>
      <c r="BW6"/>
      <c r="BX6"/>
      <c r="BY6"/>
      <c r="BZ6" s="51"/>
      <c r="CA6" s="201"/>
      <c r="CB6" s="201"/>
      <c r="CC6" s="201"/>
      <c r="CD6" s="201"/>
    </row>
    <row r="7" spans="1:82">
      <c r="A7" s="81" t="s">
        <v>99</v>
      </c>
      <c r="B7" s="72"/>
      <c r="C7" s="72"/>
      <c r="D7" s="174"/>
      <c r="E7" s="201"/>
      <c r="F7" s="199"/>
      <c r="G7" s="224"/>
      <c r="H7" s="224"/>
      <c r="I7" s="154"/>
      <c r="J7" s="201"/>
      <c r="K7" s="199"/>
      <c r="L7" s="157"/>
      <c r="M7" s="154"/>
      <c r="N7" s="201"/>
      <c r="O7" s="199"/>
      <c r="P7" s="224"/>
      <c r="Q7" s="224"/>
      <c r="R7" s="199"/>
      <c r="S7" s="332"/>
      <c r="T7" s="338"/>
      <c r="U7" s="346"/>
      <c r="W7" s="338"/>
      <c r="X7" s="346"/>
      <c r="Y7" s="224"/>
      <c r="Z7" s="224"/>
      <c r="AA7" s="157"/>
      <c r="AB7" s="252"/>
      <c r="AD7" s="211"/>
      <c r="AJ7" s="201"/>
      <c r="AK7" s="201"/>
      <c r="AL7" s="201"/>
      <c r="AM7" s="199"/>
      <c r="AN7"/>
      <c r="AO7" s="211"/>
      <c r="AP7"/>
      <c r="AQ7"/>
      <c r="AR7"/>
      <c r="AS7" s="51"/>
      <c r="AT7" s="201"/>
      <c r="AU7" s="201"/>
      <c r="AV7" s="201"/>
      <c r="AW7" s="201"/>
      <c r="AX7" s="199"/>
      <c r="AY7"/>
      <c r="AZ7" s="211"/>
      <c r="BA7"/>
      <c r="BB7"/>
      <c r="BC7"/>
      <c r="BD7" s="51"/>
      <c r="BE7" s="201"/>
      <c r="BF7" s="201"/>
      <c r="BG7" s="201"/>
      <c r="BH7" s="201"/>
      <c r="BI7" s="199"/>
      <c r="BJ7"/>
      <c r="BK7" s="211"/>
      <c r="BL7"/>
      <c r="BM7"/>
      <c r="BN7"/>
      <c r="BO7" s="51"/>
      <c r="BP7" s="201"/>
      <c r="BQ7" s="201"/>
      <c r="BR7" s="201"/>
      <c r="BS7" s="201"/>
      <c r="BT7" s="199"/>
      <c r="BU7"/>
      <c r="BV7" s="211"/>
      <c r="BW7"/>
      <c r="BX7"/>
      <c r="BY7"/>
      <c r="BZ7" s="51"/>
      <c r="CA7" s="201"/>
      <c r="CB7" s="201"/>
      <c r="CC7" s="201"/>
      <c r="CD7" s="201"/>
    </row>
    <row r="8" spans="1:82">
      <c r="A8" s="117"/>
      <c r="B8" s="73"/>
      <c r="C8" s="73"/>
      <c r="D8" s="176"/>
      <c r="E8" s="201"/>
      <c r="F8" s="199"/>
      <c r="G8" s="238"/>
      <c r="H8" s="238"/>
      <c r="I8" s="154"/>
      <c r="J8" s="201"/>
      <c r="K8" s="199"/>
      <c r="L8" s="157"/>
      <c r="M8" s="154"/>
      <c r="N8" s="201"/>
      <c r="O8" s="199"/>
      <c r="P8" s="224"/>
      <c r="Q8" s="224"/>
      <c r="R8" s="199"/>
      <c r="S8" s="332"/>
      <c r="T8" s="338"/>
      <c r="U8" s="346"/>
      <c r="W8" s="338"/>
      <c r="X8" s="346"/>
      <c r="Y8" s="224"/>
      <c r="Z8" s="224"/>
      <c r="AA8" s="157"/>
      <c r="AB8" s="252"/>
      <c r="AD8" s="211"/>
      <c r="AH8" s="201"/>
      <c r="AJ8" s="201"/>
      <c r="AK8" s="201"/>
      <c r="AL8" s="201"/>
      <c r="AM8" s="199"/>
      <c r="AN8"/>
      <c r="AO8" s="211"/>
      <c r="AP8"/>
      <c r="AQ8"/>
      <c r="AR8"/>
      <c r="AS8" s="201"/>
      <c r="AT8" s="201"/>
      <c r="AU8" s="201"/>
      <c r="AV8" s="201"/>
      <c r="AW8" s="201"/>
      <c r="AX8" s="199"/>
      <c r="AY8"/>
      <c r="AZ8" s="211"/>
      <c r="BA8"/>
      <c r="BB8"/>
      <c r="BC8"/>
      <c r="BD8" s="201"/>
      <c r="BE8" s="201"/>
      <c r="BF8" s="201"/>
      <c r="BG8" s="201"/>
      <c r="BH8" s="201"/>
      <c r="BI8" s="199"/>
      <c r="BJ8"/>
      <c r="BK8" s="211"/>
      <c r="BL8"/>
      <c r="BM8"/>
      <c r="BN8"/>
      <c r="BO8" s="201"/>
      <c r="BP8" s="201"/>
      <c r="BQ8" s="201"/>
      <c r="BR8" s="201"/>
      <c r="BS8" s="201"/>
      <c r="BT8" s="199"/>
      <c r="BU8"/>
      <c r="BV8" s="211"/>
      <c r="BW8"/>
      <c r="BX8"/>
      <c r="BY8"/>
      <c r="BZ8" s="201"/>
      <c r="CA8" s="201"/>
      <c r="CB8" s="201"/>
      <c r="CC8" s="201"/>
      <c r="CD8" s="201"/>
    </row>
    <row r="9" spans="1:82">
      <c r="A9" s="2" t="s">
        <v>130</v>
      </c>
      <c r="B9" s="73" t="s">
        <v>28</v>
      </c>
      <c r="C9" s="73">
        <v>1</v>
      </c>
      <c r="D9" s="177">
        <f>'Test Year 2001 Sales and Revs.'!J7</f>
        <v>23367450385.910561</v>
      </c>
      <c r="E9" s="201">
        <f>surcharge_1*D9</f>
        <v>894244845.33906889</v>
      </c>
      <c r="F9" s="199"/>
      <c r="G9" s="238">
        <f>0.04026</f>
        <v>4.0259999999999997E-2</v>
      </c>
      <c r="H9" s="224">
        <f>G9*D9</f>
        <v>940773552.53675914</v>
      </c>
      <c r="I9" s="154">
        <f>H9/$H$127</f>
        <v>0.29927870509058774</v>
      </c>
      <c r="J9" s="201">
        <f>I9*$E$129</f>
        <v>736144548.24457753</v>
      </c>
      <c r="K9" s="199"/>
      <c r="L9" s="381">
        <v>2211495504.5225754</v>
      </c>
      <c r="M9" s="154">
        <f>L9/$L$127</f>
        <v>0.31674929461760382</v>
      </c>
      <c r="N9" s="201">
        <f>M9*$E$129</f>
        <v>779117466.18419135</v>
      </c>
      <c r="O9" s="199"/>
      <c r="P9" s="223">
        <f>S_Equal</f>
        <v>3.8569434685105937E-2</v>
      </c>
      <c r="Q9" s="224">
        <f>P9*D9</f>
        <v>901269351.4168309</v>
      </c>
      <c r="R9" s="199"/>
      <c r="S9" s="331">
        <f>$D9/($D$9+$D$12)</f>
        <v>0.91223650360696695</v>
      </c>
      <c r="T9" s="383">
        <v>636662102.52395892</v>
      </c>
      <c r="U9" s="340">
        <f>$S9*T9</f>
        <v>580786410.38551664</v>
      </c>
      <c r="V9" s="154">
        <f>U9/$U$127</f>
        <v>0.3596395934005257</v>
      </c>
      <c r="W9" s="383">
        <v>581430778.61318767</v>
      </c>
      <c r="X9" s="340">
        <f>$S9*W9</f>
        <v>530402380.57157075</v>
      </c>
      <c r="Y9" s="154">
        <f>X9/$X$127</f>
        <v>0.3499063854603312</v>
      </c>
      <c r="Z9" s="154">
        <f t="shared" ref="Z9:Z14" si="0">AVERAGE(V9,Y9)</f>
        <v>0.35477298943042845</v>
      </c>
      <c r="AA9" s="157">
        <f>$Z9*'Inputs and Assumptions'!$C$6</f>
        <v>872645455.86225414</v>
      </c>
      <c r="AB9" s="252"/>
      <c r="AC9" s="208">
        <f>CHOOSE(gen_choice,'Generation Calculations'!$O7,'Generation Calculations'!$P7)</f>
        <v>5.8439887877728983E-2</v>
      </c>
      <c r="AD9" s="290">
        <f>0.01</f>
        <v>0.01</v>
      </c>
      <c r="AE9" s="392">
        <f>AG9-SUM(AC9:AD9)+AF9</f>
        <v>3.7943396604161211E-2</v>
      </c>
      <c r="AF9" s="211">
        <f>AK9/$D9</f>
        <v>0</v>
      </c>
      <c r="AG9" s="211">
        <f>AL9/$D9</f>
        <v>0.10638328448189019</v>
      </c>
      <c r="AH9" s="201">
        <f>$D9*AE9-AI10</f>
        <v>781289685.83169734</v>
      </c>
      <c r="AI9" s="217">
        <f>CHOOSE(gen_choice,'Generation Calculations'!$M7,'Generation Calculations'!$N7)</f>
        <v>1365591180.541008</v>
      </c>
      <c r="AJ9" s="201">
        <f>$D9*AD9</f>
        <v>233674503.85910562</v>
      </c>
      <c r="AK9" s="201">
        <f>CHOOSE(gen_choice,'Generation Calculations'!K7,'Generation Calculations'!L7)</f>
        <v>0</v>
      </c>
      <c r="AL9" s="201">
        <f>$D9*gen_equal</f>
        <v>2485906122.0207777</v>
      </c>
      <c r="AM9" s="199"/>
      <c r="AN9" s="208">
        <f>CHOOSE(gen_choice,'Generation Calculations'!$O7,'Generation Calculations'!$P7)</f>
        <v>5.8439887877728983E-2</v>
      </c>
      <c r="AO9" s="290">
        <f>0.01</f>
        <v>0.01</v>
      </c>
      <c r="AP9" s="392">
        <f>AR9-SUM(AN9:AO9)+AQ9</f>
        <v>3.2811986065230142E-2</v>
      </c>
      <c r="AQ9" s="211">
        <f>AV9/$D9</f>
        <v>0</v>
      </c>
      <c r="AR9" s="211">
        <f>AW9/$D9</f>
        <v>0.10125187394295912</v>
      </c>
      <c r="AS9" s="201">
        <f>CHOOSE(gen_choice,$D9*AP9-AT10,AW9+AV9+AV10-SUM(AT9:AU10))</f>
        <v>661381704.65348697</v>
      </c>
      <c r="AT9" s="157">
        <f>$AI9</f>
        <v>1365591180.541008</v>
      </c>
      <c r="AU9" s="201">
        <f>$D9*AO9</f>
        <v>233674503.85910562</v>
      </c>
      <c r="AV9" s="157">
        <f>$AK9</f>
        <v>0</v>
      </c>
      <c r="AW9" s="201">
        <f>$I9*'Inputs and Assumptions'!$C$15</f>
        <v>2365998140.8425674</v>
      </c>
      <c r="AX9" s="199"/>
      <c r="AY9" s="208">
        <f>CHOOSE(gen_choice,'Generation Calculations'!$O7,'Generation Calculations'!$P7)</f>
        <v>5.8439887877728983E-2</v>
      </c>
      <c r="AZ9" s="290">
        <f>0.01</f>
        <v>0.01</v>
      </c>
      <c r="BA9" s="392">
        <f>BC9-SUM(AY9:AZ9)+BB9</f>
        <v>3.8722630218689644E-2</v>
      </c>
      <c r="BB9" s="211">
        <f>BG9/$D9</f>
        <v>0</v>
      </c>
      <c r="BC9" s="211">
        <f>BH9/$D9</f>
        <v>0.10716251809641862</v>
      </c>
      <c r="BD9" s="201">
        <f>CHOOSE(gen_choice,$D9*BA9-BE10,BH9+BG9+BG10-SUM(BE9:BF10))</f>
        <v>799498388.65822423</v>
      </c>
      <c r="BE9" s="157">
        <f>$AI9</f>
        <v>1365591180.541008</v>
      </c>
      <c r="BF9" s="201">
        <f>$D9*AZ9</f>
        <v>233674503.85910562</v>
      </c>
      <c r="BG9" s="157">
        <f>$AK9</f>
        <v>0</v>
      </c>
      <c r="BH9" s="201">
        <f>$M9*'Inputs and Assumptions'!$C$15</f>
        <v>2504114824.8473048</v>
      </c>
      <c r="BI9" s="199"/>
      <c r="BJ9" s="208">
        <f>CHOOSE(gen_choice,'Generation Calculations'!$O7,'Generation Calculations'!$P7)</f>
        <v>5.8439887877728983E-2</v>
      </c>
      <c r="BK9" s="290">
        <f>0.01</f>
        <v>0.01</v>
      </c>
      <c r="BL9" s="392">
        <f>BN9-SUM(BJ9:BK9)+BM9</f>
        <v>3.1216073567871136E-2</v>
      </c>
      <c r="BM9" s="211">
        <f>BR9/$D9</f>
        <v>0</v>
      </c>
      <c r="BN9" s="211">
        <f>BS9/$D9</f>
        <v>9.9655961445600114E-2</v>
      </c>
      <c r="BO9" s="201">
        <f>CHOOSE(gen_choice,$D9*BL9-BP10,BS9+BR9+BR10-SUM(BP9:BQ10))</f>
        <v>624089298.55119586</v>
      </c>
      <c r="BP9" s="157">
        <f>$AI9</f>
        <v>1365591180.541008</v>
      </c>
      <c r="BQ9" s="201">
        <f>$D9*BK9</f>
        <v>233674503.85910562</v>
      </c>
      <c r="BR9" s="157">
        <f>$AK9</f>
        <v>0</v>
      </c>
      <c r="BS9" s="201">
        <f>D9*s_equal_gen</f>
        <v>2328705734.7402763</v>
      </c>
      <c r="BT9" s="199"/>
      <c r="BU9" s="208">
        <f>CHOOSE(gen_choice,'Generation Calculations'!$O7,'Generation Calculations'!$P7)</f>
        <v>5.8439887877728983E-2</v>
      </c>
      <c r="BV9" s="290">
        <f>0.01</f>
        <v>0.01</v>
      </c>
      <c r="BW9" s="392">
        <f>BY9-SUM(BU9:BV9)+BX9</f>
        <v>5.1586794252239346E-2</v>
      </c>
      <c r="BX9" s="211">
        <f>CC9/$D9</f>
        <v>0</v>
      </c>
      <c r="BY9" s="211">
        <f>CD9/$D9</f>
        <v>0.12002668212996832</v>
      </c>
      <c r="BZ9" s="201">
        <f>CHOOSE(gen_choice,$D9*BW9-CA10,CD9+CC9+CC10-SUM(CA9:CB10))</f>
        <v>1100101103.4684119</v>
      </c>
      <c r="CA9" s="157">
        <f>$AI9</f>
        <v>1365591180.541008</v>
      </c>
      <c r="CB9" s="201">
        <f>$D9*BV9</f>
        <v>233674503.85910562</v>
      </c>
      <c r="CC9" s="157">
        <f>$AK9</f>
        <v>0</v>
      </c>
      <c r="CD9" s="201">
        <f>$Z9*'Inputs and Assumptions'!$C$15</f>
        <v>2804717539.6574926</v>
      </c>
    </row>
    <row r="10" spans="1:82">
      <c r="A10" s="2" t="s">
        <v>131</v>
      </c>
      <c r="B10" s="73" t="s">
        <v>28</v>
      </c>
      <c r="C10" s="73">
        <v>1</v>
      </c>
      <c r="D10" s="177">
        <v>0</v>
      </c>
      <c r="E10" s="201">
        <f>surcharge_1*D10</f>
        <v>0</v>
      </c>
      <c r="F10" s="199"/>
      <c r="G10" s="238"/>
      <c r="H10" s="224">
        <f t="shared" ref="H10:H73" si="1">G10*D10</f>
        <v>0</v>
      </c>
      <c r="I10" s="154">
        <f>H10/$H$127</f>
        <v>0</v>
      </c>
      <c r="J10" s="201">
        <f>I10*$E$129</f>
        <v>0</v>
      </c>
      <c r="K10" s="199"/>
      <c r="L10" s="381">
        <v>0</v>
      </c>
      <c r="M10" s="154">
        <f>L10/$L$127</f>
        <v>0</v>
      </c>
      <c r="N10" s="201">
        <f>M10*$E$129</f>
        <v>0</v>
      </c>
      <c r="O10" s="199"/>
      <c r="P10" s="223">
        <f>S_Equal</f>
        <v>3.8569434685105937E-2</v>
      </c>
      <c r="Q10" s="224">
        <f t="shared" ref="Q10:Q73" si="2">P10*D10</f>
        <v>0</v>
      </c>
      <c r="R10" s="199"/>
      <c r="T10" s="383"/>
      <c r="U10" s="340">
        <f>$S10*T10</f>
        <v>0</v>
      </c>
      <c r="V10" s="154">
        <f>U10/$U$127</f>
        <v>0</v>
      </c>
      <c r="W10" s="383"/>
      <c r="X10" s="340">
        <f>$S10*W10</f>
        <v>0</v>
      </c>
      <c r="Y10" s="154">
        <f>X10/$X$127</f>
        <v>0</v>
      </c>
      <c r="Z10" s="154">
        <f t="shared" si="0"/>
        <v>0</v>
      </c>
      <c r="AA10" s="157">
        <f>$Z10*'Inputs and Assumptions'!$C$6</f>
        <v>0</v>
      </c>
      <c r="AB10" s="252"/>
      <c r="AC10" s="208">
        <f>CHOOSE(gen_choice,'Generation Calculations'!$O8,'Generation Calculations'!$P8)</f>
        <v>5.4801812240376988E-2</v>
      </c>
      <c r="AD10" s="290">
        <v>0</v>
      </c>
      <c r="AE10" s="211">
        <v>0</v>
      </c>
      <c r="AF10" s="211">
        <f>AB10</f>
        <v>0</v>
      </c>
      <c r="AG10" s="211">
        <f>AC10</f>
        <v>5.4801812240376988E-2</v>
      </c>
      <c r="AH10" s="201"/>
      <c r="AI10" s="217">
        <f>CHOOSE(gen_choice,'Generation Calculations'!$M8,'Generation Calculations'!$N8)</f>
        <v>105350751.78896701</v>
      </c>
      <c r="AJ10" s="201">
        <f>$D10*AD10</f>
        <v>0</v>
      </c>
      <c r="AK10" s="201">
        <f>CHOOSE(gen_choice,'Generation Calculations'!K8,'Generation Calculations'!L8)</f>
        <v>0</v>
      </c>
      <c r="AL10" s="201"/>
      <c r="AM10" s="199"/>
      <c r="AN10" s="208">
        <f>CHOOSE(gen_choice,'Generation Calculations'!$O8,'Generation Calculations'!$P8)</f>
        <v>5.4801812240376988E-2</v>
      </c>
      <c r="AO10" s="290">
        <v>0</v>
      </c>
      <c r="AP10" s="211">
        <v>0</v>
      </c>
      <c r="AQ10" s="211">
        <f>AM10</f>
        <v>0</v>
      </c>
      <c r="AR10" s="211">
        <f>AN10</f>
        <v>5.4801812240376988E-2</v>
      </c>
      <c r="AS10" s="201"/>
      <c r="AT10" s="157">
        <f>$AI10</f>
        <v>105350751.78896701</v>
      </c>
      <c r="AU10" s="201">
        <f>$D10*AO10</f>
        <v>0</v>
      </c>
      <c r="AV10" s="157">
        <f>$AK10</f>
        <v>0</v>
      </c>
      <c r="AW10" s="201"/>
      <c r="AX10" s="199"/>
      <c r="AY10" s="208">
        <f>CHOOSE(gen_choice,'Generation Calculations'!$O8,'Generation Calculations'!$P8)</f>
        <v>5.4801812240376988E-2</v>
      </c>
      <c r="AZ10" s="290">
        <v>0</v>
      </c>
      <c r="BA10" s="211">
        <v>0</v>
      </c>
      <c r="BB10" s="211">
        <f>AX10</f>
        <v>0</v>
      </c>
      <c r="BC10" s="211">
        <f>AY10</f>
        <v>5.4801812240376988E-2</v>
      </c>
      <c r="BD10" s="201"/>
      <c r="BE10" s="157">
        <f>$AI10</f>
        <v>105350751.78896701</v>
      </c>
      <c r="BF10" s="201">
        <f>$D10*AZ10</f>
        <v>0</v>
      </c>
      <c r="BG10" s="157">
        <f>$AK10</f>
        <v>0</v>
      </c>
      <c r="BH10" s="201"/>
      <c r="BI10" s="199"/>
      <c r="BJ10" s="208">
        <f>CHOOSE(gen_choice,'Generation Calculations'!$O8,'Generation Calculations'!$P8)</f>
        <v>5.4801812240376988E-2</v>
      </c>
      <c r="BK10" s="290">
        <v>0</v>
      </c>
      <c r="BL10" s="211">
        <v>0</v>
      </c>
      <c r="BM10" s="211">
        <f>BI10</f>
        <v>0</v>
      </c>
      <c r="BN10" s="211">
        <f>BJ10</f>
        <v>5.4801812240376988E-2</v>
      </c>
      <c r="BO10" s="201"/>
      <c r="BP10" s="157">
        <f>$AI10</f>
        <v>105350751.78896701</v>
      </c>
      <c r="BQ10" s="201">
        <f>$D10*BK10</f>
        <v>0</v>
      </c>
      <c r="BR10" s="157">
        <f>$AK10</f>
        <v>0</v>
      </c>
      <c r="BS10" s="201"/>
      <c r="BT10" s="199"/>
      <c r="BU10" s="208">
        <f>CHOOSE(gen_choice,'Generation Calculations'!$O8,'Generation Calculations'!$P8)</f>
        <v>5.4801812240376988E-2</v>
      </c>
      <c r="BV10" s="290">
        <v>0</v>
      </c>
      <c r="BW10" s="211">
        <v>0</v>
      </c>
      <c r="BX10" s="211">
        <f>BT10</f>
        <v>0</v>
      </c>
      <c r="BY10" s="211">
        <f>BU10</f>
        <v>5.4801812240376988E-2</v>
      </c>
      <c r="BZ10" s="201"/>
      <c r="CA10" s="157">
        <f>$AI10</f>
        <v>105350751.78896701</v>
      </c>
      <c r="CB10" s="201">
        <f>$D10*BV10</f>
        <v>0</v>
      </c>
      <c r="CC10" s="157">
        <f>$AK10</f>
        <v>0</v>
      </c>
      <c r="CD10" s="201"/>
    </row>
    <row r="11" spans="1:82">
      <c r="A11" s="2" t="s">
        <v>29</v>
      </c>
      <c r="B11" s="73" t="s">
        <v>28</v>
      </c>
      <c r="C11" s="73">
        <v>1</v>
      </c>
      <c r="D11" s="177">
        <f>'Test Year 2001 Sales and Revs.'!J9</f>
        <v>1199011059.4666259</v>
      </c>
      <c r="E11" s="201">
        <f>surcharge_1*D11</f>
        <v>45884743.167318605</v>
      </c>
      <c r="F11" s="199"/>
      <c r="G11" s="238">
        <f>0.03954</f>
        <v>3.9539999999999999E-2</v>
      </c>
      <c r="H11" s="224">
        <f t="shared" si="1"/>
        <v>47408897.291310385</v>
      </c>
      <c r="I11" s="154">
        <f>H11/$H$127</f>
        <v>1.5081709464363003E-2</v>
      </c>
      <c r="J11" s="201">
        <f>I11*$E$129</f>
        <v>37096920.066661432</v>
      </c>
      <c r="K11" s="199"/>
      <c r="L11" s="381">
        <v>103784165.48634917</v>
      </c>
      <c r="M11" s="154">
        <f>L11/$L$127</f>
        <v>1.4864855543703493E-2</v>
      </c>
      <c r="N11" s="201">
        <f>M11*$E$129</f>
        <v>36563518.161535434</v>
      </c>
      <c r="O11" s="199"/>
      <c r="P11" s="223">
        <f>S_Equal</f>
        <v>3.8569434685105937E-2</v>
      </c>
      <c r="Q11" s="224">
        <f t="shared" si="2"/>
        <v>46245178.744817697</v>
      </c>
      <c r="R11" s="199"/>
      <c r="S11" s="331">
        <f>$D11/D11</f>
        <v>1</v>
      </c>
      <c r="T11" s="383">
        <v>23666519.160262059</v>
      </c>
      <c r="U11" s="340">
        <f>$S11*T11</f>
        <v>23666519.160262059</v>
      </c>
      <c r="V11" s="154">
        <f>U11/$U$127</f>
        <v>1.4654987058586059E-2</v>
      </c>
      <c r="W11" s="383">
        <v>20873161.430596501</v>
      </c>
      <c r="X11" s="340">
        <f>$S11*W11</f>
        <v>20873161.430596501</v>
      </c>
      <c r="Y11" s="154">
        <f>X11/$X$127</f>
        <v>1.377002203768293E-2</v>
      </c>
      <c r="Z11" s="154">
        <f t="shared" si="0"/>
        <v>1.4212504548134493E-2</v>
      </c>
      <c r="AA11" s="157">
        <f>$Z11*'Inputs and Assumptions'!$C$6</f>
        <v>34958911.416178517</v>
      </c>
      <c r="AB11" s="252"/>
      <c r="AC11" s="208">
        <f>CHOOSE(gen_choice,'Generation Calculations'!$O9,'Generation Calculations'!$P9)</f>
        <v>4.8434024619853008E-2</v>
      </c>
      <c r="AD11" s="291">
        <f>EPS</f>
        <v>0.01</v>
      </c>
      <c r="AE11" s="392">
        <f>AG11-SUM(AC11:AD11,AF11)</f>
        <v>4.7949259862037179E-2</v>
      </c>
      <c r="AF11" s="211">
        <f>AK11/$D11</f>
        <v>0</v>
      </c>
      <c r="AG11" s="211">
        <f>AL11/$D11</f>
        <v>0.10638328448189019</v>
      </c>
      <c r="AH11" s="201">
        <f>$D11*AE11</f>
        <v>57491692.86782176</v>
      </c>
      <c r="AI11" s="217">
        <f>CHOOSE(gen_choice,'Generation Calculations'!$M9,'Generation Calculations'!$N9)</f>
        <v>58743541.268163316</v>
      </c>
      <c r="AJ11" s="201">
        <f>$D11*AD11</f>
        <v>11990110.594666259</v>
      </c>
      <c r="AK11" s="201">
        <f>CHOOSE(gen_choice,'Generation Calculations'!K9,'Generation Calculations'!L9)</f>
        <v>0</v>
      </c>
      <c r="AL11" s="201">
        <f>$D11*gen_equal</f>
        <v>127554734.63617063</v>
      </c>
      <c r="AM11" s="199"/>
      <c r="AN11" s="208">
        <f>CHOOSE(gen_choice,'Generation Calculations'!$O9,'Generation Calculations'!$P9)</f>
        <v>4.8434024619853008E-2</v>
      </c>
      <c r="AO11" s="291">
        <f>EPS</f>
        <v>0.01</v>
      </c>
      <c r="AP11" s="392">
        <f>AR11-SUM(AN11:AO11,AQ11)</f>
        <v>4.1007085556615051E-2</v>
      </c>
      <c r="AQ11" s="211">
        <f>AV11/$D11</f>
        <v>0</v>
      </c>
      <c r="AR11" s="211">
        <f>AW11/$D11</f>
        <v>9.9441110176468062E-2</v>
      </c>
      <c r="AS11" s="201">
        <f>AW11+AV11-SUM(AT11:AU11)</f>
        <v>48497339.004394859</v>
      </c>
      <c r="AT11" s="157">
        <f>$AI11</f>
        <v>58743541.268163316</v>
      </c>
      <c r="AU11" s="201">
        <f>$D11*AO11</f>
        <v>11990110.594666259</v>
      </c>
      <c r="AV11" s="157">
        <f>$AK11</f>
        <v>0</v>
      </c>
      <c r="AW11" s="201">
        <f>$I11*'Inputs and Assumptions'!$C$15</f>
        <v>119230990.86722444</v>
      </c>
      <c r="AX11" s="199"/>
      <c r="AY11" s="208">
        <f>CHOOSE(gen_choice,'Generation Calculations'!$O9,'Generation Calculations'!$P9)</f>
        <v>4.8434024619853008E-2</v>
      </c>
      <c r="AZ11" s="291">
        <f>EPS</f>
        <v>0.01</v>
      </c>
      <c r="BA11" s="392">
        <f>BC11-SUM(AY11:AZ11,BB11)</f>
        <v>3.9577261260671938E-2</v>
      </c>
      <c r="BB11" s="211">
        <f>BG11/$D11</f>
        <v>0</v>
      </c>
      <c r="BC11" s="211">
        <f>BH11/$D11</f>
        <v>9.8011285880524948E-2</v>
      </c>
      <c r="BD11" s="201">
        <f>BH11+BG11-SUM(BE11:BF11)</f>
        <v>46782963.86046499</v>
      </c>
      <c r="BE11" s="157">
        <f>$AI11</f>
        <v>58743541.268163316</v>
      </c>
      <c r="BF11" s="201">
        <f>$D11*AZ11</f>
        <v>11990110.594666259</v>
      </c>
      <c r="BG11" s="157">
        <f>$AK11</f>
        <v>0</v>
      </c>
      <c r="BH11" s="201">
        <f>$M11*'Inputs and Assumptions'!$C$15</f>
        <v>117516615.72329457</v>
      </c>
      <c r="BI11" s="199"/>
      <c r="BJ11" s="208">
        <f>CHOOSE(gen_choice,'Generation Calculations'!$O9,'Generation Calculations'!$P9)</f>
        <v>4.8434024619853008E-2</v>
      </c>
      <c r="BK11" s="291">
        <f>EPS</f>
        <v>0.01</v>
      </c>
      <c r="BL11" s="392">
        <f>BN11-SUM(BJ11:BK11,BM11)</f>
        <v>4.1221936825747103E-2</v>
      </c>
      <c r="BM11" s="211">
        <f>BR11/$D11</f>
        <v>0</v>
      </c>
      <c r="BN11" s="211">
        <f>BS11/$D11</f>
        <v>9.9655961445600114E-2</v>
      </c>
      <c r="BO11" s="201">
        <f>BS11+BR11-SUM(BP11:BQ11)</f>
        <v>48754948.052224636</v>
      </c>
      <c r="BP11" s="157">
        <f>$AI11</f>
        <v>58743541.268163316</v>
      </c>
      <c r="BQ11" s="201">
        <f>$D11*BK11</f>
        <v>11990110.594666259</v>
      </c>
      <c r="BR11" s="157">
        <f>$AK11</f>
        <v>0</v>
      </c>
      <c r="BS11" s="201">
        <f>D11*s_equal_gen</f>
        <v>119488599.91505422</v>
      </c>
      <c r="BT11" s="199"/>
      <c r="BU11" s="208">
        <f>CHOOSE(gen_choice,'Generation Calculations'!$O9,'Generation Calculations'!$P9)</f>
        <v>4.8434024619853008E-2</v>
      </c>
      <c r="BV11" s="291">
        <f>EPS</f>
        <v>0.01</v>
      </c>
      <c r="BW11" s="392">
        <f>BY11-SUM(BU11:BV11,BX11)</f>
        <v>3.5275991077912482E-2</v>
      </c>
      <c r="BX11" s="211">
        <f>CC11/$D11</f>
        <v>0</v>
      </c>
      <c r="BY11" s="211">
        <f>CD11/$D11</f>
        <v>9.3710015697765492E-2</v>
      </c>
      <c r="BZ11" s="201">
        <f>CD11+CC11-SUM(CA11:CB11)</f>
        <v>41625693.341582373</v>
      </c>
      <c r="CA11" s="157">
        <f>$AI11</f>
        <v>58743541.268163316</v>
      </c>
      <c r="CB11" s="201">
        <f>$D11*BV11</f>
        <v>11990110.594666259</v>
      </c>
      <c r="CC11" s="157">
        <f>$AK11</f>
        <v>0</v>
      </c>
      <c r="CD11" s="201">
        <f>$Z11*'Inputs and Assumptions'!$C$15</f>
        <v>112359345.20441195</v>
      </c>
    </row>
    <row r="12" spans="1:82">
      <c r="A12" s="2" t="s">
        <v>132</v>
      </c>
      <c r="B12" s="73" t="s">
        <v>28</v>
      </c>
      <c r="C12" s="73">
        <v>1</v>
      </c>
      <c r="D12" s="177">
        <f>'Test Year 2001 Sales and Revs.'!J10</f>
        <v>2248111251.3579292</v>
      </c>
      <c r="E12" s="201">
        <f>surcharge_1*D12</f>
        <v>86032573.732893974</v>
      </c>
      <c r="F12" s="199"/>
      <c r="G12" s="238">
        <f>G9</f>
        <v>4.0259999999999997E-2</v>
      </c>
      <c r="H12" s="224">
        <f t="shared" si="1"/>
        <v>90508958.979670227</v>
      </c>
      <c r="I12" s="154">
        <f>H12/$H$127</f>
        <v>2.8792692959419088E-2</v>
      </c>
      <c r="J12" s="201">
        <f>I12*$E$129</f>
        <v>70822225.540373042</v>
      </c>
      <c r="K12" s="199"/>
      <c r="L12" s="381">
        <v>212761248.82851443</v>
      </c>
      <c r="M12" s="154">
        <f>L12/$L$127</f>
        <v>3.0473485182571609E-2</v>
      </c>
      <c r="N12" s="201">
        <f>M12*$E$129</f>
        <v>74956519.129457816</v>
      </c>
      <c r="O12" s="199"/>
      <c r="P12" s="223">
        <f>S_Equal</f>
        <v>3.8569434685105937E-2</v>
      </c>
      <c r="Q12" s="224">
        <f t="shared" si="2"/>
        <v>86708380.074101433</v>
      </c>
      <c r="R12" s="199"/>
      <c r="S12" s="331">
        <f>$D12/($D$9+$D$12)</f>
        <v>8.7763496393033061E-2</v>
      </c>
      <c r="T12" s="383">
        <v>636662102.52395892</v>
      </c>
      <c r="U12" s="340">
        <f>$S12*T12</f>
        <v>55875692.138442315</v>
      </c>
      <c r="V12" s="154">
        <f>U12/$U$127</f>
        <v>3.4599830234153611E-2</v>
      </c>
      <c r="W12" s="383">
        <v>581430778.61318767</v>
      </c>
      <c r="X12" s="340">
        <f>$S12*W12</f>
        <v>51028398.041616902</v>
      </c>
      <c r="Y12" s="154">
        <f>X12/$X$127</f>
        <v>3.3663427934339553E-2</v>
      </c>
      <c r="Z12" s="154">
        <f t="shared" si="0"/>
        <v>3.4131629084246579E-2</v>
      </c>
      <c r="AA12" s="157">
        <f>$Z12*'Inputs and Assumptions'!$C$6</f>
        <v>83954562.23812826</v>
      </c>
      <c r="AB12" s="252"/>
      <c r="AC12" s="208">
        <f>CHOOSE(gen_choice,'Generation Calculations'!$O10,'Generation Calculations'!$P10)</f>
        <v>5.2971572747230918E-2</v>
      </c>
      <c r="AD12" s="291">
        <f>EPS</f>
        <v>0.01</v>
      </c>
      <c r="AE12" s="392">
        <f>AG12-SUM(AC12:AD12,AF12)</f>
        <v>4.341171173465927E-2</v>
      </c>
      <c r="AF12" s="211">
        <f>AK12/$D12</f>
        <v>0</v>
      </c>
      <c r="AG12" s="211">
        <f>AL12/$D12</f>
        <v>0.10638328448189019</v>
      </c>
      <c r="AH12" s="201">
        <f>$D12*AE12-AI13</f>
        <v>92330478.686247468</v>
      </c>
      <c r="AI12" s="217">
        <f>CHOOSE(gen_choice,'Generation Calculations'!$M10,'Generation Calculations'!$N10)</f>
        <v>119085988.69517487</v>
      </c>
      <c r="AJ12" s="201">
        <f>$D12*AD12</f>
        <v>22481112.513579294</v>
      </c>
      <c r="AK12" s="201">
        <f>CHOOSE(gen_choice,'Generation Calculations'!K10,'Generation Calculations'!L10)</f>
        <v>0</v>
      </c>
      <c r="AL12" s="201">
        <f>$D12*gen_equal</f>
        <v>239161458.80014873</v>
      </c>
      <c r="AM12" s="199"/>
      <c r="AN12" s="208">
        <f>CHOOSE(gen_choice,'Generation Calculations'!$O10,'Generation Calculations'!$P10)</f>
        <v>5.2971572747230918E-2</v>
      </c>
      <c r="AO12" s="291">
        <f>EPS</f>
        <v>0.01</v>
      </c>
      <c r="AP12" s="392">
        <f>AR12-SUM(AN12:AO12,AQ12)</f>
        <v>3.82803011957282E-2</v>
      </c>
      <c r="AQ12" s="211">
        <f>AV12/$D12</f>
        <v>0</v>
      </c>
      <c r="AR12" s="211">
        <f>AW12/$D12</f>
        <v>0.10125187394295912</v>
      </c>
      <c r="AS12" s="201">
        <f>CHOOSE(gen_choice,$D12*AP12-AT13,AW12+AV12+AV13-SUM(AT12:AU13))</f>
        <v>80794496.918339863</v>
      </c>
      <c r="AT12" s="157">
        <f>$AI12</f>
        <v>119085988.69517487</v>
      </c>
      <c r="AU12" s="201">
        <f>$D12*AO12</f>
        <v>22481112.513579294</v>
      </c>
      <c r="AV12" s="157">
        <f>$AK12</f>
        <v>0</v>
      </c>
      <c r="AW12" s="201">
        <f>$I12*'Inputs and Assumptions'!$C$15</f>
        <v>227625477.03224114</v>
      </c>
      <c r="AX12" s="199"/>
      <c r="AY12" s="208">
        <f>CHOOSE(gen_choice,'Generation Calculations'!$O10,'Generation Calculations'!$P10)</f>
        <v>5.2971572747230918E-2</v>
      </c>
      <c r="AZ12" s="291">
        <f>EPS</f>
        <v>0.01</v>
      </c>
      <c r="BA12" s="392">
        <f>BC12-SUM(AY12:AZ12,BB12)</f>
        <v>4.4190945349187702E-2</v>
      </c>
      <c r="BB12" s="211">
        <f>BG12/$D12</f>
        <v>0</v>
      </c>
      <c r="BC12" s="211">
        <f>BH12/$D12</f>
        <v>0.10716251809641862</v>
      </c>
      <c r="BD12" s="201">
        <f>CHOOSE(gen_choice,$D12*BA12-BE13,BH12+BG12+BG13-SUM(BE12:BF13))</f>
        <v>94082282.54250513</v>
      </c>
      <c r="BE12" s="157">
        <f>$AI12</f>
        <v>119085988.69517487</v>
      </c>
      <c r="BF12" s="201">
        <f>$D12*AZ12</f>
        <v>22481112.513579294</v>
      </c>
      <c r="BG12" s="157">
        <f>$AK12</f>
        <v>0</v>
      </c>
      <c r="BH12" s="201">
        <f>$M12*'Inputs and Assumptions'!$C$15</f>
        <v>240913262.6564064</v>
      </c>
      <c r="BI12" s="199"/>
      <c r="BJ12" s="208">
        <f>CHOOSE(gen_choice,'Generation Calculations'!$O10,'Generation Calculations'!$P10)</f>
        <v>5.2971572747230918E-2</v>
      </c>
      <c r="BK12" s="291">
        <f>EPS</f>
        <v>0.01</v>
      </c>
      <c r="BL12" s="392">
        <f>BN12-SUM(BJ12:BK12,BM12)</f>
        <v>3.6684388698369194E-2</v>
      </c>
      <c r="BM12" s="211">
        <f>BR12/$D12</f>
        <v>0</v>
      </c>
      <c r="BN12" s="211">
        <f>BS12/$D12</f>
        <v>9.9655961445600114E-2</v>
      </c>
      <c r="BO12" s="201">
        <f>CHOOSE(gen_choice,$D12*BL12-BP13,BS12+BR12+BR13-SUM(BP12:BQ13))</f>
        <v>77206708.07684435</v>
      </c>
      <c r="BP12" s="157">
        <f>$AI12</f>
        <v>119085988.69517487</v>
      </c>
      <c r="BQ12" s="201">
        <f>$D12*BK12</f>
        <v>22481112.513579294</v>
      </c>
      <c r="BR12" s="157">
        <f>$AK12</f>
        <v>0</v>
      </c>
      <c r="BS12" s="201">
        <f>D12*s_equal_gen</f>
        <v>224037688.19074562</v>
      </c>
      <c r="BT12" s="199"/>
      <c r="BU12" s="208">
        <f>CHOOSE(gen_choice,'Generation Calculations'!$O10,'Generation Calculations'!$P10)</f>
        <v>5.2971572747230918E-2</v>
      </c>
      <c r="BV12" s="291">
        <f>EPS</f>
        <v>0.01</v>
      </c>
      <c r="BW12" s="392">
        <f>BY12-SUM(BU12:BV12,BX12)</f>
        <v>5.7055109382737404E-2</v>
      </c>
      <c r="BX12" s="211">
        <f>CC12/$D12</f>
        <v>0</v>
      </c>
      <c r="BY12" s="211">
        <f>CD12/$D12</f>
        <v>0.12002668212996832</v>
      </c>
      <c r="BZ12" s="201">
        <f>CHOOSE(gen_choice,$D12*BW12-CA13,CD12+CC12+CC13-SUM(CA12:CB13))</f>
        <v>123002354.44564222</v>
      </c>
      <c r="CA12" s="157">
        <f>$AI12</f>
        <v>119085988.69517487</v>
      </c>
      <c r="CB12" s="201">
        <f>$D12*BV12</f>
        <v>22481112.513579294</v>
      </c>
      <c r="CC12" s="157">
        <f>$AK12</f>
        <v>0</v>
      </c>
      <c r="CD12" s="201">
        <f>$Z12*'Inputs and Assumptions'!$C$15</f>
        <v>269833334.55954349</v>
      </c>
    </row>
    <row r="13" spans="1:82">
      <c r="A13" s="2" t="s">
        <v>133</v>
      </c>
      <c r="B13" s="73" t="s">
        <v>28</v>
      </c>
      <c r="C13" s="73">
        <v>1</v>
      </c>
      <c r="D13" s="178">
        <v>0</v>
      </c>
      <c r="E13" s="202">
        <f>surcharge_1*D13</f>
        <v>0</v>
      </c>
      <c r="F13" s="200"/>
      <c r="G13" s="243"/>
      <c r="H13" s="225">
        <f t="shared" si="1"/>
        <v>0</v>
      </c>
      <c r="I13" s="198">
        <f>H13/$H$127</f>
        <v>0</v>
      </c>
      <c r="J13" s="202">
        <f>I13*$E$129</f>
        <v>0</v>
      </c>
      <c r="K13" s="200"/>
      <c r="L13" s="382">
        <v>0</v>
      </c>
      <c r="M13" s="198">
        <f>L13/$L$127</f>
        <v>0</v>
      </c>
      <c r="N13" s="202">
        <f>M13*$E$129</f>
        <v>0</v>
      </c>
      <c r="O13" s="200"/>
      <c r="P13" s="223">
        <f>S_Equal</f>
        <v>3.8569434685105937E-2</v>
      </c>
      <c r="Q13" s="225">
        <f t="shared" si="2"/>
        <v>0</v>
      </c>
      <c r="R13" s="200"/>
      <c r="T13" s="383"/>
      <c r="U13" s="343">
        <f>$S13*T13</f>
        <v>0</v>
      </c>
      <c r="V13" s="198">
        <f>U13/$U$127</f>
        <v>0</v>
      </c>
      <c r="W13" s="383"/>
      <c r="X13" s="343">
        <f>$S13*W13</f>
        <v>0</v>
      </c>
      <c r="Y13" s="198">
        <f>X13/$X$127</f>
        <v>0</v>
      </c>
      <c r="Z13" s="198">
        <f t="shared" si="0"/>
        <v>0</v>
      </c>
      <c r="AA13" s="245">
        <f>$Z13*'Inputs and Assumptions'!$C$6</f>
        <v>0</v>
      </c>
      <c r="AB13" s="253"/>
      <c r="AC13" s="213">
        <f>CHOOSE(gen_choice,'Generation Calculations'!$O11,'Generation Calculations'!$P11)</f>
        <v>5.4371964926672525E-2</v>
      </c>
      <c r="AD13" s="214">
        <f>AD10</f>
        <v>0</v>
      </c>
      <c r="AE13" s="214">
        <v>0</v>
      </c>
      <c r="AF13" s="214">
        <f>AB13</f>
        <v>0</v>
      </c>
      <c r="AG13" s="214">
        <f>AC13</f>
        <v>5.4371964926672525E-2</v>
      </c>
      <c r="AH13" s="202"/>
      <c r="AI13" s="284">
        <f>CHOOSE(gen_choice,'Generation Calculations'!$M$11,'Generation Calculations'!$N$11)</f>
        <v>5263878.905147085</v>
      </c>
      <c r="AJ13" s="202">
        <f>$D13*AD13</f>
        <v>0</v>
      </c>
      <c r="AK13" s="202">
        <f>CHOOSE(gen_choice,'Generation Calculations'!K11,'Generation Calculations'!L11)</f>
        <v>0</v>
      </c>
      <c r="AL13" s="202"/>
      <c r="AM13" s="200"/>
      <c r="AN13" s="213">
        <f>CHOOSE(gen_choice,'Generation Calculations'!$O11,'Generation Calculations'!$P11)</f>
        <v>5.4371964926672525E-2</v>
      </c>
      <c r="AO13" s="214">
        <f>AO10</f>
        <v>0</v>
      </c>
      <c r="AP13" s="214">
        <v>0</v>
      </c>
      <c r="AQ13" s="214">
        <f>AM13</f>
        <v>0</v>
      </c>
      <c r="AR13" s="214">
        <f>AN13</f>
        <v>5.4371964926672525E-2</v>
      </c>
      <c r="AS13" s="202"/>
      <c r="AT13" s="245">
        <f>$AI13</f>
        <v>5263878.905147085</v>
      </c>
      <c r="AU13" s="202">
        <f>$D13*AO13</f>
        <v>0</v>
      </c>
      <c r="AV13" s="245">
        <f>$AK13</f>
        <v>0</v>
      </c>
      <c r="AW13" s="202"/>
      <c r="AX13" s="200"/>
      <c r="AY13" s="213">
        <f>CHOOSE(gen_choice,'Generation Calculations'!$O11,'Generation Calculations'!$P11)</f>
        <v>5.4371964926672525E-2</v>
      </c>
      <c r="AZ13" s="214">
        <f>AZ10</f>
        <v>0</v>
      </c>
      <c r="BA13" s="214">
        <v>0</v>
      </c>
      <c r="BB13" s="214">
        <f>AX13</f>
        <v>0</v>
      </c>
      <c r="BC13" s="214">
        <f>AY13</f>
        <v>5.4371964926672525E-2</v>
      </c>
      <c r="BD13" s="202"/>
      <c r="BE13" s="245">
        <f>$AI13</f>
        <v>5263878.905147085</v>
      </c>
      <c r="BF13" s="202">
        <f>$D13*AZ13</f>
        <v>0</v>
      </c>
      <c r="BG13" s="245">
        <f>$AK13</f>
        <v>0</v>
      </c>
      <c r="BH13" s="202"/>
      <c r="BI13" s="200"/>
      <c r="BJ13" s="213">
        <f>CHOOSE(gen_choice,'Generation Calculations'!$O11,'Generation Calculations'!$P11)</f>
        <v>5.4371964926672525E-2</v>
      </c>
      <c r="BK13" s="214">
        <f>BK10</f>
        <v>0</v>
      </c>
      <c r="BL13" s="214">
        <v>0</v>
      </c>
      <c r="BM13" s="214">
        <f>BI13</f>
        <v>0</v>
      </c>
      <c r="BN13" s="214">
        <f>BJ13</f>
        <v>5.4371964926672525E-2</v>
      </c>
      <c r="BO13" s="202"/>
      <c r="BP13" s="245">
        <f>$AI13</f>
        <v>5263878.905147085</v>
      </c>
      <c r="BQ13" s="202">
        <f>$D13*BK13</f>
        <v>0</v>
      </c>
      <c r="BR13" s="245">
        <f>$AK13</f>
        <v>0</v>
      </c>
      <c r="BS13" s="202"/>
      <c r="BT13" s="200"/>
      <c r="BU13" s="213">
        <f>CHOOSE(gen_choice,'Generation Calculations'!$O11,'Generation Calculations'!$P11)</f>
        <v>5.4371964926672525E-2</v>
      </c>
      <c r="BV13" s="214">
        <f>BV10</f>
        <v>0</v>
      </c>
      <c r="BW13" s="214">
        <v>0</v>
      </c>
      <c r="BX13" s="214">
        <f>BT13</f>
        <v>0</v>
      </c>
      <c r="BY13" s="214">
        <f>BU13</f>
        <v>5.4371964926672525E-2</v>
      </c>
      <c r="BZ13" s="202"/>
      <c r="CA13" s="245">
        <f>$AI13</f>
        <v>5263878.905147085</v>
      </c>
      <c r="CB13" s="202">
        <f>$D13*BV13</f>
        <v>0</v>
      </c>
      <c r="CC13" s="245">
        <f>$AK13</f>
        <v>0</v>
      </c>
      <c r="CD13" s="202"/>
    </row>
    <row r="14" spans="1:82">
      <c r="A14" s="81" t="s">
        <v>30</v>
      </c>
      <c r="B14" s="73"/>
      <c r="C14" s="73"/>
      <c r="D14" s="176">
        <f>SUM(D9:D13)</f>
        <v>26814572696.735115</v>
      </c>
      <c r="E14" s="201">
        <f>SUM(E9:E13)</f>
        <v>1026162162.2392814</v>
      </c>
      <c r="F14" s="199"/>
      <c r="G14" s="238"/>
      <c r="H14" s="224">
        <f>SUM(H9:H13)</f>
        <v>1078691408.8077397</v>
      </c>
      <c r="I14" s="154">
        <f>SUM(I9:I13)</f>
        <v>0.34315310751436984</v>
      </c>
      <c r="J14" s="201">
        <f>SUM(J9:J13)</f>
        <v>844063693.85161209</v>
      </c>
      <c r="K14" s="199"/>
      <c r="L14" s="157">
        <f>SUM(L9:L13)</f>
        <v>2528040918.8374391</v>
      </c>
      <c r="M14" s="154">
        <f>SUM(M9:M13)</f>
        <v>0.36208763534387889</v>
      </c>
      <c r="N14" s="201">
        <f>SUM(N9:N13)</f>
        <v>890637503.47518456</v>
      </c>
      <c r="O14" s="199"/>
      <c r="P14" s="223"/>
      <c r="Q14" s="224">
        <f>SUM(Q9:Q13)</f>
        <v>1034222910.2357501</v>
      </c>
      <c r="R14" s="199"/>
      <c r="T14" s="383"/>
      <c r="U14" s="340">
        <f>SUM(U9:U13)</f>
        <v>660328621.68422103</v>
      </c>
      <c r="V14" s="154">
        <f>SUM(V9:V13)</f>
        <v>0.40889441069326538</v>
      </c>
      <c r="W14" s="383"/>
      <c r="X14" s="340">
        <f>SUM(X9:X13)</f>
        <v>602303940.04378414</v>
      </c>
      <c r="Y14" s="154">
        <f>SUM(Y9:Y13)</f>
        <v>0.39733983543235368</v>
      </c>
      <c r="Z14" s="154">
        <f t="shared" si="0"/>
        <v>0.40311712306280956</v>
      </c>
      <c r="AA14" s="157">
        <f>SUM(AA9:AA13)</f>
        <v>991558929.51656091</v>
      </c>
      <c r="AB14" s="252"/>
      <c r="AC14" s="208">
        <f>CHOOSE(gen_choice,'Generation Calculations'!$O13,'Generation Calculations'!$P13)</f>
        <v>5.7336965026400663E-2</v>
      </c>
      <c r="AD14" s="215">
        <f>'Revenue Allocation'!AA13/100</f>
        <v>9.2952440532291253E-3</v>
      </c>
      <c r="AE14" s="211">
        <f>AH14/$D14</f>
        <v>3.4699089104059229E-2</v>
      </c>
      <c r="AF14" s="211">
        <f>AK14/$D14</f>
        <v>0</v>
      </c>
      <c r="AG14" s="211">
        <f>AL14/$D14</f>
        <v>0.10638328448189019</v>
      </c>
      <c r="AH14" s="201">
        <f>AL14+AK14-SUM(AI14:AJ14)</f>
        <v>930441247.29128551</v>
      </c>
      <c r="AI14" s="201">
        <f>SUM(AI9:AI13)</f>
        <v>1654035341.1984603</v>
      </c>
      <c r="AJ14" s="201">
        <f>SUM(AJ9:AJ13)</f>
        <v>268145726.9673512</v>
      </c>
      <c r="AK14" s="201">
        <f>SUM(AK9:AK13)</f>
        <v>0</v>
      </c>
      <c r="AL14" s="201">
        <f>SUM(AL9:AL13)</f>
        <v>2852622315.4570971</v>
      </c>
      <c r="AM14" s="199"/>
      <c r="AN14" s="208">
        <f>CHOOSE(gen_choice,'Generation Calculations'!$O13,'Generation Calculations'!$P13)</f>
        <v>5.7336965026400663E-2</v>
      </c>
      <c r="AO14" s="215">
        <f>'Revenue Allocation'!AK13/100</f>
        <v>0</v>
      </c>
      <c r="AP14" s="211">
        <f>AS14/$D14</f>
        <v>2.9486710436094042E-2</v>
      </c>
      <c r="AQ14" s="211">
        <f>AV14/$D14</f>
        <v>0</v>
      </c>
      <c r="AR14" s="211">
        <f>AW14/$D14</f>
        <v>0.10117090581392499</v>
      </c>
      <c r="AS14" s="201">
        <f>SUM(AS9:AS13)</f>
        <v>790673540.5762217</v>
      </c>
      <c r="AT14" s="201">
        <f>SUM(AT9:AT13)</f>
        <v>1654035341.1984603</v>
      </c>
      <c r="AU14" s="201">
        <f>SUM(AU9:AU13)</f>
        <v>268145726.9673512</v>
      </c>
      <c r="AV14" s="201">
        <f>SUM(AV9:AV13)</f>
        <v>0</v>
      </c>
      <c r="AW14" s="201">
        <f>SUM(AW9:AW13)</f>
        <v>2712854608.742033</v>
      </c>
      <c r="AX14" s="199"/>
      <c r="AY14" s="208">
        <f>CHOOSE(gen_choice,'Generation Calculations'!$O13,'Generation Calculations'!$P13)</f>
        <v>5.7336965026400663E-2</v>
      </c>
      <c r="AZ14" s="215">
        <f>'Revenue Allocation'!AV13/100</f>
        <v>0</v>
      </c>
      <c r="BA14" s="211">
        <f>BD14/$D14</f>
        <v>3.5069126243271853E-2</v>
      </c>
      <c r="BB14" s="211">
        <f>BG14/$D14</f>
        <v>0</v>
      </c>
      <c r="BC14" s="211">
        <f>BH14/$D14</f>
        <v>0.10675332162110282</v>
      </c>
      <c r="BD14" s="201">
        <f>SUM(BD9:BD13)</f>
        <v>940363635.0611943</v>
      </c>
      <c r="BE14" s="201">
        <f>SUM(BE9:BE13)</f>
        <v>1654035341.1984603</v>
      </c>
      <c r="BF14" s="201">
        <f>SUM(BF9:BF13)</f>
        <v>268145726.9673512</v>
      </c>
      <c r="BG14" s="201">
        <f>SUM(BG9:BG13)</f>
        <v>0</v>
      </c>
      <c r="BH14" s="201">
        <f>SUM(BH9:BH13)</f>
        <v>2862544703.227006</v>
      </c>
      <c r="BI14" s="199"/>
      <c r="BJ14" s="208">
        <f>CHOOSE(gen_choice,'Generation Calculations'!$O13,'Generation Calculations'!$P13)</f>
        <v>5.7336965026400663E-2</v>
      </c>
      <c r="BK14" s="215">
        <f>'Revenue Allocation'!BG13/100</f>
        <v>0</v>
      </c>
      <c r="BL14" s="211">
        <f>BO14/$D14</f>
        <v>2.7971766067769167E-2</v>
      </c>
      <c r="BM14" s="211">
        <f>BR14/$D14</f>
        <v>0</v>
      </c>
      <c r="BN14" s="211">
        <f>BS14/$D14</f>
        <v>9.9655961445600127E-2</v>
      </c>
      <c r="BO14" s="201">
        <f>SUM(BO9:BO13)</f>
        <v>750050954.68026483</v>
      </c>
      <c r="BP14" s="201">
        <f>SUM(BP9:BP13)</f>
        <v>1654035341.1984603</v>
      </c>
      <c r="BQ14" s="201">
        <f>SUM(BQ9:BQ13)</f>
        <v>268145726.9673512</v>
      </c>
      <c r="BR14" s="201">
        <f>SUM(BR9:BR13)</f>
        <v>0</v>
      </c>
      <c r="BS14" s="201">
        <f>SUM(BS9:BS13)</f>
        <v>2672232022.8460765</v>
      </c>
      <c r="BT14" s="199"/>
      <c r="BU14" s="208">
        <f>CHOOSE(gen_choice,'Generation Calculations'!$O13,'Generation Calculations'!$P13)</f>
        <v>5.7336965026400663E-2</v>
      </c>
      <c r="BV14" s="215">
        <f>'Revenue Allocation'!BR13/100</f>
        <v>0</v>
      </c>
      <c r="BW14" s="211">
        <f>BZ14/$D14</f>
        <v>4.7165739523778692E-2</v>
      </c>
      <c r="BX14" s="211">
        <f>CC14/$D14</f>
        <v>0</v>
      </c>
      <c r="BY14" s="211">
        <f>CD14/$D14</f>
        <v>0.11884993490160967</v>
      </c>
      <c r="BZ14" s="201">
        <f>SUM(BZ9:BZ13)</f>
        <v>1264729151.2556365</v>
      </c>
      <c r="CA14" s="201">
        <f>SUM(CA9:CA13)</f>
        <v>1654035341.1984603</v>
      </c>
      <c r="CB14" s="201">
        <f>SUM(CB9:CB13)</f>
        <v>268145726.9673512</v>
      </c>
      <c r="CC14" s="201">
        <f>SUM(CC9:CC13)</f>
        <v>0</v>
      </c>
      <c r="CD14" s="201">
        <f>SUM(CD9:CD13)</f>
        <v>3186910219.4214482</v>
      </c>
    </row>
    <row r="15" spans="1:82">
      <c r="A15" s="94"/>
      <c r="B15" s="73"/>
      <c r="C15" s="73">
        <v>1</v>
      </c>
      <c r="D15" s="176"/>
      <c r="E15" s="201"/>
      <c r="F15" s="199"/>
      <c r="G15" s="238"/>
      <c r="H15" s="224"/>
      <c r="I15" s="154"/>
      <c r="J15" s="201"/>
      <c r="K15" s="199"/>
      <c r="L15" s="157"/>
      <c r="M15" s="154"/>
      <c r="N15" s="201"/>
      <c r="O15" s="199"/>
      <c r="P15" s="223"/>
      <c r="Q15" s="224"/>
      <c r="R15" s="199"/>
      <c r="T15" s="383"/>
      <c r="V15" s="154"/>
      <c r="W15" s="383"/>
      <c r="X15" s="340"/>
      <c r="Y15" s="154"/>
      <c r="Z15" s="154"/>
      <c r="AA15" s="157"/>
      <c r="AB15" s="252"/>
      <c r="AC15" s="207"/>
      <c r="AD15" s="208"/>
      <c r="AH15" s="201"/>
      <c r="AJ15" s="201"/>
      <c r="AK15" s="201"/>
      <c r="AL15" s="201">
        <f>AL14-SUM(AH14:AK14)</f>
        <v>0</v>
      </c>
      <c r="AM15" s="199"/>
      <c r="AN15" s="207"/>
      <c r="AO15" s="208"/>
      <c r="AP15"/>
      <c r="AQ15"/>
      <c r="AR15"/>
      <c r="AS15" s="201"/>
      <c r="AT15" s="201"/>
      <c r="AU15" s="201"/>
      <c r="AV15" s="201"/>
      <c r="AW15" s="221"/>
      <c r="AX15" s="199"/>
      <c r="AY15" s="207"/>
      <c r="AZ15" s="208"/>
      <c r="BA15"/>
      <c r="BB15"/>
      <c r="BC15"/>
      <c r="BD15" s="201"/>
      <c r="BE15" s="201"/>
      <c r="BF15" s="201"/>
      <c r="BG15" s="201"/>
      <c r="BH15" s="221"/>
      <c r="BI15" s="199"/>
      <c r="BJ15" s="207"/>
      <c r="BK15" s="208"/>
      <c r="BL15"/>
      <c r="BM15"/>
      <c r="BN15"/>
      <c r="BO15" s="201"/>
      <c r="BP15" s="201"/>
      <c r="BQ15" s="201"/>
      <c r="BR15" s="201"/>
      <c r="BS15" s="221"/>
      <c r="BT15" s="199"/>
      <c r="BU15" s="207"/>
      <c r="BV15" s="208"/>
      <c r="BW15"/>
      <c r="BX15"/>
      <c r="BY15"/>
      <c r="BZ15" s="201"/>
      <c r="CA15" s="201"/>
      <c r="CB15" s="201"/>
      <c r="CC15" s="201"/>
      <c r="CD15" s="221"/>
    </row>
    <row r="16" spans="1:82">
      <c r="A16" s="81" t="s">
        <v>31</v>
      </c>
      <c r="B16" s="73"/>
      <c r="C16" s="73"/>
      <c r="D16" s="176"/>
      <c r="E16" s="201"/>
      <c r="F16" s="199"/>
      <c r="G16" s="238"/>
      <c r="H16" s="224"/>
      <c r="I16" s="154"/>
      <c r="J16" s="201"/>
      <c r="K16" s="199"/>
      <c r="L16" s="157"/>
      <c r="M16" s="154"/>
      <c r="N16" s="201"/>
      <c r="O16" s="199"/>
      <c r="P16" s="223"/>
      <c r="Q16" s="224"/>
      <c r="R16" s="199"/>
      <c r="T16" s="383"/>
      <c r="V16" s="154"/>
      <c r="W16" s="383"/>
      <c r="X16" s="340"/>
      <c r="Y16" s="154"/>
      <c r="Z16" s="154"/>
      <c r="AA16" s="157"/>
      <c r="AB16" s="252"/>
      <c r="AC16" s="207"/>
      <c r="AD16" s="208"/>
      <c r="AE16" s="211"/>
      <c r="AH16" s="201"/>
      <c r="AJ16" s="201"/>
      <c r="AK16" s="201"/>
      <c r="AL16" s="201"/>
      <c r="AM16" s="199"/>
      <c r="AN16" s="207"/>
      <c r="AO16" s="208"/>
      <c r="AP16" s="211"/>
      <c r="AQ16"/>
      <c r="AR16"/>
      <c r="AS16" s="201"/>
      <c r="AT16" s="201"/>
      <c r="AU16" s="201"/>
      <c r="AV16" s="201"/>
      <c r="AW16" s="201"/>
      <c r="AX16" s="199"/>
      <c r="AY16" s="207"/>
      <c r="AZ16" s="208"/>
      <c r="BA16" s="211"/>
      <c r="BB16"/>
      <c r="BC16"/>
      <c r="BD16" s="201"/>
      <c r="BE16" s="201"/>
      <c r="BF16" s="201"/>
      <c r="BG16" s="201"/>
      <c r="BH16" s="201"/>
      <c r="BI16" s="199"/>
      <c r="BJ16" s="207"/>
      <c r="BK16" s="208"/>
      <c r="BL16" s="211"/>
      <c r="BM16"/>
      <c r="BN16"/>
      <c r="BO16" s="201"/>
      <c r="BP16" s="201"/>
      <c r="BQ16" s="201"/>
      <c r="BR16" s="201"/>
      <c r="BS16" s="201"/>
      <c r="BT16" s="199"/>
      <c r="BU16" s="207"/>
      <c r="BV16" s="208"/>
      <c r="BW16" s="211"/>
      <c r="BX16"/>
      <c r="BY16"/>
      <c r="BZ16" s="201"/>
      <c r="CA16" s="201"/>
      <c r="CB16" s="201"/>
      <c r="CC16" s="201"/>
      <c r="CD16" s="201"/>
    </row>
    <row r="17" spans="1:82">
      <c r="A17" s="89" t="s">
        <v>32</v>
      </c>
      <c r="B17" s="77" t="s">
        <v>28</v>
      </c>
      <c r="C17" s="77">
        <v>1</v>
      </c>
      <c r="D17" s="177">
        <f>'Test Year 2001 Sales and Revs.'!J16</f>
        <v>5901801632.661396</v>
      </c>
      <c r="E17" s="201">
        <f>surcharge_1*D17</f>
        <v>225855007.75914025</v>
      </c>
      <c r="F17" s="199"/>
      <c r="G17" s="238">
        <f>0.04167</f>
        <v>4.1669999999999999E-2</v>
      </c>
      <c r="H17" s="224">
        <f t="shared" si="1"/>
        <v>245928074.03300035</v>
      </c>
      <c r="I17" s="154">
        <f>H17/$H$127</f>
        <v>7.8234592526071997E-2</v>
      </c>
      <c r="J17" s="201">
        <f>I17*$E$129</f>
        <v>192435906.03872582</v>
      </c>
      <c r="K17" s="199"/>
      <c r="L17" s="381">
        <v>446838832.35695857</v>
      </c>
      <c r="M17" s="154">
        <f>L17/$L$127</f>
        <v>6.4000078077199415E-2</v>
      </c>
      <c r="N17" s="201">
        <f>M17*$E$129</f>
        <v>157422856.2286016</v>
      </c>
      <c r="O17" s="199"/>
      <c r="P17" s="223">
        <f>S_Equal</f>
        <v>3.8569434685105937E-2</v>
      </c>
      <c r="Q17" s="224">
        <f t="shared" si="2"/>
        <v>227629152.59538528</v>
      </c>
      <c r="R17" s="199"/>
      <c r="S17" s="331">
        <f>$D17/($D$17+$D$19)</f>
        <v>0.99977576352757191</v>
      </c>
      <c r="T17" s="383">
        <v>143352671.44919863</v>
      </c>
      <c r="U17" s="340">
        <f>$S17*T17</f>
        <v>143320526.55183971</v>
      </c>
      <c r="V17" s="154">
        <f>U17/$U$127</f>
        <v>8.8748178286125842E-2</v>
      </c>
      <c r="W17" s="383">
        <v>133215452.2216175</v>
      </c>
      <c r="X17" s="340">
        <f>$S17*W17</f>
        <v>133185580.45853841</v>
      </c>
      <c r="Y17" s="154">
        <f>X17/$X$127</f>
        <v>8.7862511106122212E-2</v>
      </c>
      <c r="Z17" s="154">
        <f>AVERAGE(V17,Y17)</f>
        <v>8.8305344696124027E-2</v>
      </c>
      <c r="AA17" s="157">
        <f>$Z17*'Inputs and Assumptions'!$C$6</f>
        <v>217207228.49035856</v>
      </c>
      <c r="AB17" s="252"/>
      <c r="AC17" s="390">
        <f>CHOOSE(gen_choice,'Generation Calculations'!$O16,'Generation Calculations'!$P16)</f>
        <v>6.3410467440658813E-2</v>
      </c>
      <c r="AD17" s="391">
        <f>EPS</f>
        <v>0.01</v>
      </c>
      <c r="AE17" s="392">
        <f>AG17-SUM(AC17:AD17,AF17)</f>
        <v>3.2972817041231381E-2</v>
      </c>
      <c r="AF17" s="392">
        <f t="shared" ref="AF17:AG21" si="3">AK17/$D17</f>
        <v>0</v>
      </c>
      <c r="AG17" s="211">
        <f t="shared" si="3"/>
        <v>0.10638328448189019</v>
      </c>
      <c r="AH17" s="201">
        <f>$D17*AE17-(AI17-$D17*AC17)</f>
        <v>194308053.26474568</v>
      </c>
      <c r="AI17" s="217">
        <f>CHOOSE(gen_choice,'Generation Calculations'!$M16,'Generation Calculations'!$N16)</f>
        <v>374526972.45174164</v>
      </c>
      <c r="AJ17" s="285">
        <f>'Revenue Allocation'!$M16</f>
        <v>59018016.326613963</v>
      </c>
      <c r="AK17" s="201">
        <f>CHOOSE(gen_choice,'Generation Calculations'!K16,'Generation Calculations'!L16)</f>
        <v>0</v>
      </c>
      <c r="AL17" s="157">
        <f>$D17*gen_equal</f>
        <v>627853042.04310131</v>
      </c>
      <c r="AM17" s="199"/>
      <c r="AN17" s="390">
        <f>CHOOSE(gen_choice,'Generation Calculations'!$O16,'Generation Calculations'!$P16)</f>
        <v>6.3410467440658813E-2</v>
      </c>
      <c r="AO17" s="391">
        <f>EPS</f>
        <v>0.01</v>
      </c>
      <c r="AP17" s="392">
        <f>AR17-SUM(AN17:AO17,AQ17)</f>
        <v>3.1387485545011987E-2</v>
      </c>
      <c r="AQ17" s="392">
        <f t="shared" ref="AQ17:AR21" si="4">AV17/$D17</f>
        <v>0</v>
      </c>
      <c r="AR17" s="211">
        <f t="shared" si="4"/>
        <v>0.10479795298567079</v>
      </c>
      <c r="AS17" s="201">
        <f>CHOOSE(gen_choice,$D17*AP17-(AT17-$D17*AN17),AW17+AV17-SUM(AT17:AU17))</f>
        <v>184951741.25204852</v>
      </c>
      <c r="AT17" s="157">
        <f>$AI17</f>
        <v>374526972.45174164</v>
      </c>
      <c r="AU17" s="285">
        <f>'Revenue Allocation'!$M16</f>
        <v>59018016.326613963</v>
      </c>
      <c r="AV17" s="157">
        <f>$AK17</f>
        <v>0</v>
      </c>
      <c r="AW17" s="157">
        <f>$I17*'Inputs and Assumptions'!$C$15</f>
        <v>618496730.03040409</v>
      </c>
      <c r="AX17" s="199"/>
      <c r="AY17" s="390">
        <f>CHOOSE(gen_choice,'Generation Calculations'!$O16,'Generation Calculations'!$P16)</f>
        <v>6.3410467440658813E-2</v>
      </c>
      <c r="AZ17" s="391">
        <f>EPS</f>
        <v>0.01</v>
      </c>
      <c r="BA17" s="392">
        <f>BC17-SUM(AY17:AZ17,BB17)</f>
        <v>1.231985921987111E-2</v>
      </c>
      <c r="BB17" s="392">
        <f t="shared" ref="BB17:BC21" si="5">BG17/$D17</f>
        <v>0</v>
      </c>
      <c r="BC17" s="211">
        <f t="shared" si="5"/>
        <v>8.5730326660529918E-2</v>
      </c>
      <c r="BD17" s="201">
        <f>CHOOSE(gen_choice,$D17*BA17-(BE17-$D17*AY17),BH17+BG17-SUM(BE17:BF17))</f>
        <v>72418393.07535468</v>
      </c>
      <c r="BE17" s="157">
        <f>$AI17</f>
        <v>374526972.45174164</v>
      </c>
      <c r="BF17" s="285">
        <f>'Revenue Allocation'!$M16</f>
        <v>59018016.326613963</v>
      </c>
      <c r="BG17" s="157">
        <f>$AK17</f>
        <v>0</v>
      </c>
      <c r="BH17" s="157">
        <f>$M17*'Inputs and Assumptions'!$C$15</f>
        <v>505963381.85371029</v>
      </c>
      <c r="BI17" s="199"/>
      <c r="BJ17" s="390">
        <f>CHOOSE(gen_choice,'Generation Calculations'!$O16,'Generation Calculations'!$P16)</f>
        <v>6.3410467440658813E-2</v>
      </c>
      <c r="BK17" s="391">
        <f>EPS</f>
        <v>0.01</v>
      </c>
      <c r="BL17" s="392">
        <f>BN17-SUM(BJ17:BK17,BM17)</f>
        <v>2.6245494004941305E-2</v>
      </c>
      <c r="BM17" s="392">
        <f t="shared" ref="BM17:BN21" si="6">BR17/$D17</f>
        <v>0</v>
      </c>
      <c r="BN17" s="211">
        <f t="shared" si="6"/>
        <v>9.9655961445600114E-2</v>
      </c>
      <c r="BO17" s="201">
        <f>CHOOSE(gen_choice,$D17*BL17-(BP17-$D17*BJ17),BS17+BR17-SUM(BP17:BQ17))</f>
        <v>154604727.18572828</v>
      </c>
      <c r="BP17" s="157">
        <f>$AI17</f>
        <v>374526972.45174164</v>
      </c>
      <c r="BQ17" s="285">
        <f>'Revenue Allocation'!$M16</f>
        <v>59018016.326613963</v>
      </c>
      <c r="BR17" s="157">
        <f>$AK17</f>
        <v>0</v>
      </c>
      <c r="BS17" s="157">
        <f>D17*s_equal_gen</f>
        <v>588149715.96408391</v>
      </c>
      <c r="BT17" s="199"/>
      <c r="BU17" s="390">
        <f>CHOOSE(gen_choice,'Generation Calculations'!$O16,'Generation Calculations'!$P16)</f>
        <v>6.3410467440658813E-2</v>
      </c>
      <c r="BV17" s="391">
        <f>EPS</f>
        <v>0.01</v>
      </c>
      <c r="BW17" s="392">
        <f>BY17-SUM(BU17:BV17,BX17)</f>
        <v>4.4877607732275129E-2</v>
      </c>
      <c r="BX17" s="392">
        <f t="shared" ref="BX17:BY21" si="7">CC17/$D17</f>
        <v>0</v>
      </c>
      <c r="BY17" s="211">
        <f t="shared" si="7"/>
        <v>0.11828807517293394</v>
      </c>
      <c r="BZ17" s="201">
        <f>CHOOSE(gen_choice,$D17*BW17-(CA17-$D17*BU17),CD17+CC17-SUM(CA17:CB17))</f>
        <v>264567766.40163988</v>
      </c>
      <c r="CA17" s="157">
        <f>$AI17</f>
        <v>374526972.45174164</v>
      </c>
      <c r="CB17" s="285">
        <f>'Revenue Allocation'!$M16</f>
        <v>59018016.326613963</v>
      </c>
      <c r="CC17" s="157">
        <f>$AK17</f>
        <v>0</v>
      </c>
      <c r="CD17" s="157">
        <f>$Z17*'Inputs and Assumptions'!$C$15</f>
        <v>698112755.17999542</v>
      </c>
    </row>
    <row r="18" spans="1:82">
      <c r="A18" s="89" t="s">
        <v>33</v>
      </c>
      <c r="B18" s="77" t="s">
        <v>28</v>
      </c>
      <c r="C18" s="77">
        <v>1</v>
      </c>
      <c r="D18" s="177">
        <f>'Test Year 2001 Sales and Revs.'!J17</f>
        <v>1972871287.0996575</v>
      </c>
      <c r="E18" s="201">
        <f>surcharge_1*D18</f>
        <v>75499463.992446005</v>
      </c>
      <c r="F18" s="199"/>
      <c r="G18" s="238">
        <f>0.03972</f>
        <v>3.9719999999999998E-2</v>
      </c>
      <c r="H18" s="224">
        <f t="shared" si="1"/>
        <v>78362447.523598388</v>
      </c>
      <c r="I18" s="154">
        <f>H18/$H$127</f>
        <v>2.4928647026007146E-2</v>
      </c>
      <c r="J18" s="201">
        <f>I18*$E$129</f>
        <v>61317719.206763908</v>
      </c>
      <c r="K18" s="199"/>
      <c r="L18" s="381">
        <v>46453052.605719566</v>
      </c>
      <c r="M18" s="154">
        <f>L18/$L$127</f>
        <v>6.6534033714315023E-3</v>
      </c>
      <c r="N18" s="201">
        <f>M18*$E$129</f>
        <v>16365570.071779322</v>
      </c>
      <c r="O18" s="199"/>
      <c r="P18" s="223">
        <f>S_Equal</f>
        <v>3.8569434685105937E-2</v>
      </c>
      <c r="Q18" s="224">
        <f t="shared" si="2"/>
        <v>76092530.249911129</v>
      </c>
      <c r="R18" s="199"/>
      <c r="S18" s="331">
        <f>$S$11</f>
        <v>1</v>
      </c>
      <c r="T18" s="383">
        <v>34300163.886553511</v>
      </c>
      <c r="U18" s="340">
        <f>$S18*T18</f>
        <v>34300163.886553511</v>
      </c>
      <c r="V18" s="154">
        <f>U18/$U$127</f>
        <v>2.1239644683737114E-2</v>
      </c>
      <c r="W18" s="383">
        <v>33897207.093832865</v>
      </c>
      <c r="X18" s="340">
        <f>$S18*W18</f>
        <v>33897207.093832865</v>
      </c>
      <c r="Y18" s="154">
        <f>X18/$X$127</f>
        <v>2.236198336557596E-2</v>
      </c>
      <c r="Z18" s="154">
        <f>AVERAGE(V18,Y18)</f>
        <v>2.1800814024656535E-2</v>
      </c>
      <c r="AA18" s="157">
        <f>$Z18*'Inputs and Assumptions'!$C$6</f>
        <v>53624097.266416438</v>
      </c>
      <c r="AB18" s="252"/>
      <c r="AC18" s="390">
        <f>CHOOSE(gen_choice,'Generation Calculations'!$O17,'Generation Calculations'!$P17)</f>
        <v>5.6290452049731918E-2</v>
      </c>
      <c r="AD18" s="391">
        <f>EPS</f>
        <v>0.01</v>
      </c>
      <c r="AE18" s="392">
        <f>AG18-SUM(AC18:AD18,AF18)</f>
        <v>4.0092832432158276E-2</v>
      </c>
      <c r="AF18" s="211">
        <f t="shared" si="3"/>
        <v>0</v>
      </c>
      <c r="AG18" s="211">
        <f t="shared" si="3"/>
        <v>0.10638328448189019</v>
      </c>
      <c r="AH18" s="201">
        <f>$D18*AE18-(AI18-$D18*AC18)</f>
        <v>79065953.964878708</v>
      </c>
      <c r="AI18" s="217">
        <f>CHOOSE(gen_choice,'Generation Calculations'!$M17,'Generation Calculations'!$N17)</f>
        <v>111085860.54580045</v>
      </c>
      <c r="AJ18" s="285">
        <f>'Revenue Allocation'!$M17</f>
        <v>19728712.870996576</v>
      </c>
      <c r="AK18" s="201">
        <f>CHOOSE(gen_choice,'Generation Calculations'!K17,'Generation Calculations'!L17)</f>
        <v>0</v>
      </c>
      <c r="AL18" s="157">
        <f>$D18*gen_equal</f>
        <v>209880527.38167572</v>
      </c>
      <c r="AM18" s="199"/>
      <c r="AN18" s="390">
        <f>CHOOSE(gen_choice,'Generation Calculations'!$O17,'Generation Calculations'!$P17)</f>
        <v>5.6290452049731918E-2</v>
      </c>
      <c r="AO18" s="391">
        <f>EPS</f>
        <v>0.01</v>
      </c>
      <c r="AP18" s="392">
        <f>AR18-SUM(AN18:AO18,AQ18)</f>
        <v>3.3603349068358906E-2</v>
      </c>
      <c r="AQ18" s="211">
        <f t="shared" si="4"/>
        <v>0</v>
      </c>
      <c r="AR18" s="211">
        <f t="shared" si="4"/>
        <v>9.9893801118090819E-2</v>
      </c>
      <c r="AS18" s="201">
        <f>CHOOSE(gen_choice,$D18*AP18-(AT18-$D18*AN18),AW18+AV18-SUM(AT18:AU18))</f>
        <v>66263038.56832803</v>
      </c>
      <c r="AT18" s="157">
        <f>$AI18</f>
        <v>111085860.54580045</v>
      </c>
      <c r="AU18" s="285">
        <f>'Revenue Allocation'!$M17</f>
        <v>19728712.870996576</v>
      </c>
      <c r="AV18" s="157">
        <f>$AK18</f>
        <v>0</v>
      </c>
      <c r="AW18" s="157">
        <f>$I18*'Inputs and Assumptions'!$C$15</f>
        <v>197077611.98512504</v>
      </c>
      <c r="AX18" s="199"/>
      <c r="AY18" s="390">
        <f>CHOOSE(gen_choice,'Generation Calculations'!$O17,'Generation Calculations'!$P17)</f>
        <v>5.6290452049731918E-2</v>
      </c>
      <c r="AZ18" s="391">
        <f>EPS</f>
        <v>0.01</v>
      </c>
      <c r="BA18" s="392">
        <f>BC18-SUM(AY18:AZ18,BB18)</f>
        <v>-3.962900698811965E-2</v>
      </c>
      <c r="BB18" s="211">
        <f t="shared" si="5"/>
        <v>0</v>
      </c>
      <c r="BC18" s="211">
        <f t="shared" si="5"/>
        <v>2.6661445061612259E-2</v>
      </c>
      <c r="BD18" s="201">
        <f>CHOOSE(gen_choice,$D18*BA18-(BE18-$D18*AY18),BH18+BG18-SUM(BE18:BF18))</f>
        <v>-78214973.982157215</v>
      </c>
      <c r="BE18" s="157">
        <f>$AI18</f>
        <v>111085860.54580045</v>
      </c>
      <c r="BF18" s="285">
        <f>'Revenue Allocation'!$M17</f>
        <v>19728712.870996576</v>
      </c>
      <c r="BG18" s="157">
        <f>$AK18</f>
        <v>0</v>
      </c>
      <c r="BH18" s="157">
        <f>$M18*'Inputs and Assumptions'!$C$15</f>
        <v>52599599.434639789</v>
      </c>
      <c r="BI18" s="199"/>
      <c r="BJ18" s="390">
        <f>CHOOSE(gen_choice,'Generation Calculations'!$O17,'Generation Calculations'!$P17)</f>
        <v>5.6290452049731918E-2</v>
      </c>
      <c r="BK18" s="391">
        <f>EPS</f>
        <v>0.01</v>
      </c>
      <c r="BL18" s="392">
        <f>BN18-SUM(BJ18:BK18,BM18)</f>
        <v>3.3365509395868201E-2</v>
      </c>
      <c r="BM18" s="211">
        <f t="shared" si="6"/>
        <v>0</v>
      </c>
      <c r="BN18" s="211">
        <f t="shared" si="6"/>
        <v>9.9655961445600114E-2</v>
      </c>
      <c r="BO18" s="201">
        <f>CHOOSE(gen_choice,$D18*BL18-(BP18-$D18*BJ18),BS18+BR18-SUM(BP18:BQ18))</f>
        <v>65793811.507537931</v>
      </c>
      <c r="BP18" s="157">
        <f>$AI18</f>
        <v>111085860.54580045</v>
      </c>
      <c r="BQ18" s="285">
        <f>'Revenue Allocation'!$M17</f>
        <v>19728712.870996576</v>
      </c>
      <c r="BR18" s="157">
        <f>$AK18</f>
        <v>0</v>
      </c>
      <c r="BS18" s="157">
        <f>D18*s_equal_gen</f>
        <v>196608384.92433494</v>
      </c>
      <c r="BT18" s="199"/>
      <c r="BU18" s="390">
        <f>CHOOSE(gen_choice,'Generation Calculations'!$O17,'Generation Calculations'!$P17)</f>
        <v>5.6290452049731918E-2</v>
      </c>
      <c r="BV18" s="391">
        <f>EPS</f>
        <v>0.01</v>
      </c>
      <c r="BW18" s="392">
        <f>BY18-SUM(BU18:BV18,BX18)</f>
        <v>2.1069530949728146E-2</v>
      </c>
      <c r="BX18" s="211">
        <f t="shared" si="7"/>
        <v>0</v>
      </c>
      <c r="BY18" s="211">
        <f t="shared" si="7"/>
        <v>8.7359982999460059E-2</v>
      </c>
      <c r="BZ18" s="201">
        <f>CHOOSE(gen_choice,$D18*BW18-(CA18-$D18*BU18),CD18+CC18-SUM(CA18:CB18))</f>
        <v>41535428.684351958</v>
      </c>
      <c r="CA18" s="157">
        <f>$AI18</f>
        <v>111085860.54580045</v>
      </c>
      <c r="CB18" s="285">
        <f>'Revenue Allocation'!$M17</f>
        <v>19728712.870996576</v>
      </c>
      <c r="CC18" s="157">
        <f>$AK18</f>
        <v>0</v>
      </c>
      <c r="CD18" s="157">
        <f>$Z18*'Inputs and Assumptions'!$C$15</f>
        <v>172350002.10114896</v>
      </c>
    </row>
    <row r="19" spans="1:82">
      <c r="A19" s="89" t="s">
        <v>35</v>
      </c>
      <c r="B19" s="77" t="s">
        <v>28</v>
      </c>
      <c r="C19" s="77">
        <v>1</v>
      </c>
      <c r="D19" s="177">
        <v>1323696</v>
      </c>
      <c r="E19" s="201">
        <f>surcharge_1*D19</f>
        <v>50656.289207729002</v>
      </c>
      <c r="F19" s="199"/>
      <c r="G19" s="238">
        <f>G17</f>
        <v>4.1669999999999999E-2</v>
      </c>
      <c r="H19" s="224">
        <f t="shared" si="1"/>
        <v>55158.412319999996</v>
      </c>
      <c r="I19" s="154">
        <f>H19/$H$127</f>
        <v>1.7546983723628124E-5</v>
      </c>
      <c r="J19" s="201">
        <f>I19*$E$129</f>
        <v>43160.826970216069</v>
      </c>
      <c r="K19" s="199"/>
      <c r="L19" s="381">
        <v>125830.54176000001</v>
      </c>
      <c r="M19" s="154">
        <f>L19/$L$127</f>
        <v>1.80225260518607E-5</v>
      </c>
      <c r="N19" s="201">
        <f>M19*$E$129</f>
        <v>44330.532286476322</v>
      </c>
      <c r="O19" s="199"/>
      <c r="P19" s="223">
        <f>S_Equal</f>
        <v>3.8569434685105937E-2</v>
      </c>
      <c r="Q19" s="224">
        <f t="shared" si="2"/>
        <v>51054.206414935987</v>
      </c>
      <c r="R19" s="199"/>
      <c r="S19" s="331">
        <f>$D19/($D$17+$D$19)</f>
        <v>2.2423647242810003E-4</v>
      </c>
      <c r="T19" s="383">
        <v>143352671.44919863</v>
      </c>
      <c r="U19" s="340">
        <f>$S19*T19</f>
        <v>32144.897358912713</v>
      </c>
      <c r="V19" s="154">
        <f>U19/$U$127</f>
        <v>1.9905041869673354E-5</v>
      </c>
      <c r="W19" s="383">
        <v>133215452.2216175</v>
      </c>
      <c r="X19" s="340">
        <f>$S19*W19</f>
        <v>29871.763079089611</v>
      </c>
      <c r="Y19" s="154">
        <f>X19/$X$127</f>
        <v>1.970639844238259E-5</v>
      </c>
      <c r="Z19" s="154">
        <f>AVERAGE(V19,Y19)</f>
        <v>1.9805720156027972E-5</v>
      </c>
      <c r="AA19" s="157">
        <f>$Z19*'Inputs and Assumptions'!$C$6</f>
        <v>48716.706765035618</v>
      </c>
      <c r="AB19" s="252"/>
      <c r="AC19" s="208">
        <f>CHOOSE(gen_choice,'Generation Calculations'!$O19,'Generation Calculations'!$P19)</f>
        <v>4.2634030808350008E-2</v>
      </c>
      <c r="AD19" s="291">
        <f>EPS</f>
        <v>0.01</v>
      </c>
      <c r="AE19" s="211">
        <f>AG19-SUM(AC19:AD19,AF19)</f>
        <v>5.3749253673540179E-2</v>
      </c>
      <c r="AF19" s="211">
        <f t="shared" si="3"/>
        <v>0</v>
      </c>
      <c r="AG19" s="211">
        <f t="shared" si="3"/>
        <v>0.10638328448189019</v>
      </c>
      <c r="AH19" s="201">
        <f>$D19*AE19</f>
        <v>71147.672090650434</v>
      </c>
      <c r="AI19" s="407">
        <f>CHOOSE(gen_choice,'Generation Calculations'!$M19,'Generation Calculations'!$N19)</f>
        <v>56434.496044889675</v>
      </c>
      <c r="AJ19" s="201">
        <f>$D19*AD19</f>
        <v>13236.960000000001</v>
      </c>
      <c r="AK19" s="201">
        <f>CHOOSE(gen_choice,'Generation Calculations'!K19,'Generation Calculations'!L19)</f>
        <v>0</v>
      </c>
      <c r="AL19" s="201">
        <f>$D19*gen_equal</f>
        <v>140819.12813554012</v>
      </c>
      <c r="AM19" s="199"/>
      <c r="AN19" s="208">
        <f>CHOOSE(gen_choice,'Generation Calculations'!$O19,'Generation Calculations'!$P19)</f>
        <v>4.2634030808350008E-2</v>
      </c>
      <c r="AO19" s="291">
        <f>EPS</f>
        <v>0.01</v>
      </c>
      <c r="AP19" s="211">
        <f>AR19-SUM(AN19:AO19,AQ19)</f>
        <v>5.2163922177320798E-2</v>
      </c>
      <c r="AQ19" s="211">
        <f t="shared" si="4"/>
        <v>0</v>
      </c>
      <c r="AR19" s="211">
        <f t="shared" si="4"/>
        <v>0.10479795298567081</v>
      </c>
      <c r="AS19" s="201">
        <f>CHOOSE(gen_choice,$D19*AP19-(AT19-$D19*AN19),AW19+AV19-SUM(AT19:AU19))</f>
        <v>69049.175130430827</v>
      </c>
      <c r="AT19" s="157">
        <f>$AI19</f>
        <v>56434.496044889675</v>
      </c>
      <c r="AU19" s="201">
        <f>$D19*AO19</f>
        <v>13236.960000000001</v>
      </c>
      <c r="AV19" s="157">
        <f>$AK19</f>
        <v>0</v>
      </c>
      <c r="AW19" s="201">
        <f>$I19*'Inputs and Assumptions'!$C$15</f>
        <v>138720.63117532051</v>
      </c>
      <c r="AX19" s="199"/>
      <c r="AY19" s="208">
        <f>CHOOSE(gen_choice,'Generation Calculations'!$O19,'Generation Calculations'!$P19)</f>
        <v>4.2634030808350008E-2</v>
      </c>
      <c r="AZ19" s="291">
        <f>EPS</f>
        <v>0.01</v>
      </c>
      <c r="BA19" s="211">
        <f>BC19-SUM(AY19:AZ19,BB19)</f>
        <v>5.5004060593230236E-2</v>
      </c>
      <c r="BB19" s="211">
        <f t="shared" si="5"/>
        <v>0</v>
      </c>
      <c r="BC19" s="211">
        <f t="shared" si="5"/>
        <v>0.10763809140158025</v>
      </c>
      <c r="BD19" s="201">
        <f>CHOOSE(gen_choice,$D19*BA19-(BE19-$D19*AY19),BH19+BG19-SUM(BE19:BF19))</f>
        <v>72808.65499101649</v>
      </c>
      <c r="BE19" s="157">
        <f>$AI19</f>
        <v>56434.496044889675</v>
      </c>
      <c r="BF19" s="201">
        <f>$D19*AZ19</f>
        <v>13236.960000000001</v>
      </c>
      <c r="BG19" s="157">
        <f>$AK19</f>
        <v>0</v>
      </c>
      <c r="BH19" s="201">
        <f>$M19*'Inputs and Assumptions'!$C$15</f>
        <v>142480.11103590616</v>
      </c>
      <c r="BI19" s="199"/>
      <c r="BJ19" s="208">
        <f>CHOOSE(gen_choice,'Generation Calculations'!$O19,'Generation Calculations'!$P19)</f>
        <v>4.2634030808350008E-2</v>
      </c>
      <c r="BK19" s="291">
        <f>EPS</f>
        <v>0.01</v>
      </c>
      <c r="BL19" s="211">
        <f>BN19-SUM(BJ19:BK19,BM19)</f>
        <v>4.7021930637250103E-2</v>
      </c>
      <c r="BM19" s="211">
        <f t="shared" si="6"/>
        <v>0</v>
      </c>
      <c r="BN19" s="211">
        <f t="shared" si="6"/>
        <v>9.9655961445600114E-2</v>
      </c>
      <c r="BO19" s="201">
        <f>CHOOSE(gen_choice,$D19*BL19-(BP19-$D19*BJ19),BS19+BR19-SUM(BP19:BQ19))</f>
        <v>62242.741496805414</v>
      </c>
      <c r="BP19" s="157">
        <f>$AI19</f>
        <v>56434.496044889675</v>
      </c>
      <c r="BQ19" s="201">
        <f>$D19*BK19</f>
        <v>13236.960000000001</v>
      </c>
      <c r="BR19" s="157">
        <f>$AK19</f>
        <v>0</v>
      </c>
      <c r="BS19" s="201">
        <f>D19*s_equal_gen</f>
        <v>131914.19754169509</v>
      </c>
      <c r="BT19" s="199"/>
      <c r="BU19" s="208">
        <f>CHOOSE(gen_choice,'Generation Calculations'!$O19,'Generation Calculations'!$P19)</f>
        <v>4.2634030808350008E-2</v>
      </c>
      <c r="BV19" s="291">
        <f>EPS</f>
        <v>0.01</v>
      </c>
      <c r="BW19" s="211">
        <f>BY19-SUM(BU19:BV19,BX19)</f>
        <v>6.5654044364583941E-2</v>
      </c>
      <c r="BX19" s="211">
        <f t="shared" si="7"/>
        <v>0</v>
      </c>
      <c r="BY19" s="211">
        <f t="shared" si="7"/>
        <v>0.11828807517293395</v>
      </c>
      <c r="BZ19" s="201">
        <f>CHOOSE(gen_choice,$D19*BW19-(CA19-$D19*BU19),CD19+CC19-SUM(CA19:CB19))</f>
        <v>86905.9959092223</v>
      </c>
      <c r="CA19" s="157">
        <f>$AI19</f>
        <v>56434.496044889675</v>
      </c>
      <c r="CB19" s="201">
        <f>$D19*BV19</f>
        <v>13236.960000000001</v>
      </c>
      <c r="CC19" s="157">
        <f>$AK19</f>
        <v>0</v>
      </c>
      <c r="CD19" s="201">
        <f>$Z19*'Inputs and Assumptions'!$C$15</f>
        <v>156577.45195411198</v>
      </c>
    </row>
    <row r="20" spans="1:82">
      <c r="A20" s="89" t="s">
        <v>36</v>
      </c>
      <c r="B20" s="77" t="s">
        <v>28</v>
      </c>
      <c r="C20" s="77">
        <v>1</v>
      </c>
      <c r="D20" s="178">
        <f>'Test Year 2001 Sales and Revs.'!F20</f>
        <v>121334130.46034265</v>
      </c>
      <c r="E20" s="202">
        <f>surcharge_1*D20</f>
        <v>4643314.4795840122</v>
      </c>
      <c r="F20" s="200"/>
      <c r="G20" s="243">
        <f>0.03769</f>
        <v>3.7690000000000001E-2</v>
      </c>
      <c r="H20" s="225">
        <f t="shared" si="1"/>
        <v>4573083.3770503141</v>
      </c>
      <c r="I20" s="198">
        <f>H20/$H$127</f>
        <v>1.4547884213628904E-3</v>
      </c>
      <c r="J20" s="202">
        <f>I20*$E$129</f>
        <v>3578385.4548270288</v>
      </c>
      <c r="K20" s="200"/>
      <c r="L20" s="382">
        <v>9468915.5411251392</v>
      </c>
      <c r="M20" s="198">
        <f>L20/$L$127</f>
        <v>1.3562190437699064E-3</v>
      </c>
      <c r="N20" s="202">
        <f>M20*$E$129</f>
        <v>3335931.4856514642</v>
      </c>
      <c r="O20" s="200"/>
      <c r="P20" s="223">
        <f>S_Equal</f>
        <v>3.8569434685105937E-2</v>
      </c>
      <c r="Q20" s="225">
        <f t="shared" si="2"/>
        <v>4679788.8198643085</v>
      </c>
      <c r="R20" s="200"/>
      <c r="S20" s="331">
        <f>$S$11</f>
        <v>1</v>
      </c>
      <c r="T20" s="383">
        <v>1329128.6552581051</v>
      </c>
      <c r="U20" s="343">
        <f>$S20*T20</f>
        <v>1329128.6552581051</v>
      </c>
      <c r="V20" s="198">
        <f>U20/$U$127</f>
        <v>8.2303456245940549E-4</v>
      </c>
      <c r="W20" s="383">
        <v>1317094.0826108607</v>
      </c>
      <c r="X20" s="343">
        <f>$S20*W20</f>
        <v>1317094.0826108607</v>
      </c>
      <c r="Y20" s="198">
        <f>X20/$X$127</f>
        <v>8.6888680488373153E-4</v>
      </c>
      <c r="Z20" s="198">
        <f>AVERAGE(V20,Y20)</f>
        <v>8.4596068367156856E-4</v>
      </c>
      <c r="AA20" s="245">
        <f>$Z20*'Inputs and Assumptions'!$C$6</f>
        <v>2080834.1346090187</v>
      </c>
      <c r="AB20" s="253"/>
      <c r="AC20" s="213">
        <f>CHOOSE(gen_choice,'Generation Calculations'!$O20,'Generation Calculations'!$P20)</f>
        <v>5.0454644325021072E-2</v>
      </c>
      <c r="AD20" s="292">
        <f>EPS</f>
        <v>0.01</v>
      </c>
      <c r="AE20" s="214">
        <f>AG20-SUM(AC20:AD20,AF20)</f>
        <v>4.5928640156869115E-2</v>
      </c>
      <c r="AF20" s="214">
        <f t="shared" si="3"/>
        <v>0</v>
      </c>
      <c r="AG20" s="214">
        <f t="shared" si="3"/>
        <v>0.10638328448189019</v>
      </c>
      <c r="AH20" s="202">
        <f>$D20*AE20</f>
        <v>5572711.6166596897</v>
      </c>
      <c r="AI20" s="408">
        <f>CHOOSE(gen_choice,'Generation Calculations'!$M20,'Generation Calculations'!$N20)</f>
        <v>6121870.3968622936</v>
      </c>
      <c r="AJ20" s="202">
        <f>$D20*AD20</f>
        <v>1213341.3046034265</v>
      </c>
      <c r="AK20" s="202">
        <f>CHOOSE(gen_choice,'Generation Calculations'!K20,'Generation Calculations'!L20)</f>
        <v>0</v>
      </c>
      <c r="AL20" s="202">
        <f>$D20*gen_equal</f>
        <v>12907923.31812541</v>
      </c>
      <c r="AM20" s="200"/>
      <c r="AN20" s="213">
        <f>CHOOSE(gen_choice,'Generation Calculations'!$O20,'Generation Calculations'!$P20)</f>
        <v>5.0454644325021072E-2</v>
      </c>
      <c r="AO20" s="292">
        <f>EPS</f>
        <v>0.01</v>
      </c>
      <c r="AP20" s="214">
        <f>AR20-SUM(AN20:AO20,AQ20)</f>
        <v>3.4333808951435209E-2</v>
      </c>
      <c r="AQ20" s="214">
        <f t="shared" si="4"/>
        <v>0</v>
      </c>
      <c r="AR20" s="214">
        <f t="shared" si="4"/>
        <v>9.4788453276456283E-2</v>
      </c>
      <c r="AS20" s="202">
        <f>CHOOSE(gen_choice,$D20*AP20-(AT20-$D20*AN20),AW20+AV20-SUM(AT20:AU20))</f>
        <v>4165862.8545139199</v>
      </c>
      <c r="AT20" s="245">
        <f>$AI20</f>
        <v>6121870.3968622936</v>
      </c>
      <c r="AU20" s="202">
        <f>$D20*AO20</f>
        <v>1213341.3046034265</v>
      </c>
      <c r="AV20" s="245">
        <f>$AK20</f>
        <v>0</v>
      </c>
      <c r="AW20" s="202">
        <f>$I20*'Inputs and Assumptions'!$C$15</f>
        <v>11501074.555979639</v>
      </c>
      <c r="AX20" s="200"/>
      <c r="AY20" s="213">
        <f>CHOOSE(gen_choice,'Generation Calculations'!$O20,'Generation Calculations'!$P20)</f>
        <v>5.0454644325021072E-2</v>
      </c>
      <c r="AZ20" s="292">
        <f>EPS</f>
        <v>0.01</v>
      </c>
      <c r="BA20" s="214">
        <f>BC20-SUM(AY20:AZ20,BB20)</f>
        <v>2.791140504358109E-2</v>
      </c>
      <c r="BB20" s="214">
        <f t="shared" si="5"/>
        <v>0</v>
      </c>
      <c r="BC20" s="214">
        <f t="shared" si="5"/>
        <v>8.8366049368602165E-2</v>
      </c>
      <c r="BD20" s="202">
        <f>CHOOSE(gen_choice,$D20*BA20-(BE20-$D20*AY20),BH20+BG20-SUM(BE20:BF20))</f>
        <v>3386606.060889334</v>
      </c>
      <c r="BE20" s="245">
        <f>$AI20</f>
        <v>6121870.3968622936</v>
      </c>
      <c r="BF20" s="202">
        <f>$D20*AZ20</f>
        <v>1213341.3046034265</v>
      </c>
      <c r="BG20" s="245">
        <f>$AK20</f>
        <v>0</v>
      </c>
      <c r="BH20" s="202">
        <f>$M20*'Inputs and Assumptions'!$C$15</f>
        <v>10721817.762355054</v>
      </c>
      <c r="BI20" s="200"/>
      <c r="BJ20" s="213">
        <f>CHOOSE(gen_choice,'Generation Calculations'!$O20,'Generation Calculations'!$P20)</f>
        <v>5.0454644325021072E-2</v>
      </c>
      <c r="BK20" s="292">
        <f>EPS</f>
        <v>0.01</v>
      </c>
      <c r="BL20" s="214">
        <f>BN20-SUM(BJ20:BK20,BM20)</f>
        <v>3.9201317120579039E-2</v>
      </c>
      <c r="BM20" s="214">
        <f t="shared" si="6"/>
        <v>0</v>
      </c>
      <c r="BN20" s="214">
        <f t="shared" si="6"/>
        <v>9.9655961445600114E-2</v>
      </c>
      <c r="BO20" s="202">
        <f>CHOOSE(gen_choice,$D20*BL20-(BP20-$D20*BJ20),BS20+BR20-SUM(BP20:BQ20))</f>
        <v>4756457.7257256005</v>
      </c>
      <c r="BP20" s="245">
        <f>$AI20</f>
        <v>6121870.3968622936</v>
      </c>
      <c r="BQ20" s="202">
        <f>$D20*BK20</f>
        <v>1213341.3046034265</v>
      </c>
      <c r="BR20" s="245">
        <f>$AK20</f>
        <v>0</v>
      </c>
      <c r="BS20" s="202">
        <f>D20*s_equal_gen</f>
        <v>12091669.427191321</v>
      </c>
      <c r="BT20" s="200"/>
      <c r="BU20" s="213">
        <f>CHOOSE(gen_choice,'Generation Calculations'!$O20,'Generation Calculations'!$P20)</f>
        <v>5.0454644325021072E-2</v>
      </c>
      <c r="BV20" s="292">
        <f>EPS</f>
        <v>0.01</v>
      </c>
      <c r="BW20" s="214">
        <f>BY20-SUM(BU20:BV20,BX20)</f>
        <v>-5.3350794725598796E-3</v>
      </c>
      <c r="BX20" s="214">
        <f t="shared" si="7"/>
        <v>0</v>
      </c>
      <c r="BY20" s="214">
        <f t="shared" si="7"/>
        <v>5.5119564852461195E-2</v>
      </c>
      <c r="BZ20" s="202">
        <f>CHOOSE(gen_choice,$D20*BW20-(CA20-$D20*BU20),CD20+CC20-SUM(CA20:CB20))</f>
        <v>-647327.22873987642</v>
      </c>
      <c r="CA20" s="245">
        <f>$AI20</f>
        <v>6121870.3968622936</v>
      </c>
      <c r="CB20" s="202">
        <f>$D20*BV20</f>
        <v>1213341.3046034265</v>
      </c>
      <c r="CC20" s="245">
        <f>$AK20</f>
        <v>0</v>
      </c>
      <c r="CD20" s="202">
        <f>$Z20*'Inputs and Assumptions'!$C$15</f>
        <v>6687884.472725844</v>
      </c>
    </row>
    <row r="21" spans="1:82">
      <c r="A21" s="81" t="s">
        <v>37</v>
      </c>
      <c r="B21" s="73"/>
      <c r="C21" s="73"/>
      <c r="D21" s="176">
        <f>SUM(D17:D20)</f>
        <v>7997330746.2213955</v>
      </c>
      <c r="E21" s="201">
        <f>SUM(E17:E20)</f>
        <v>306048442.52037805</v>
      </c>
      <c r="F21" s="199"/>
      <c r="G21" s="238"/>
      <c r="H21" s="224">
        <f>SUM(H17:H20)</f>
        <v>328918763.34596908</v>
      </c>
      <c r="I21" s="154">
        <f>SUM(I17:I20)</f>
        <v>0.10463557495716566</v>
      </c>
      <c r="J21" s="201">
        <f>SUM(J17:J20)</f>
        <v>257375171.52728698</v>
      </c>
      <c r="K21" s="199"/>
      <c r="L21" s="157">
        <f>SUM(L17:L20)</f>
        <v>502886631.04556328</v>
      </c>
      <c r="M21" s="154">
        <f>SUM(M17:M20)</f>
        <v>7.2027723018452686E-2</v>
      </c>
      <c r="N21" s="201">
        <f>SUM(N17:N20)</f>
        <v>177168688.31831884</v>
      </c>
      <c r="O21" s="199"/>
      <c r="P21" s="223"/>
      <c r="Q21" s="224">
        <f>SUM(Q17:Q20)</f>
        <v>308452525.87157565</v>
      </c>
      <c r="R21" s="199"/>
      <c r="T21" s="383"/>
      <c r="U21" s="340">
        <f>SUM(U17:U20)</f>
        <v>178981963.99101028</v>
      </c>
      <c r="V21" s="154">
        <f>SUM(V17:V20)</f>
        <v>0.11083076257419203</v>
      </c>
      <c r="W21" s="383"/>
      <c r="X21" s="340">
        <f>SUM(X17:X20)</f>
        <v>168429753.39806122</v>
      </c>
      <c r="Y21" s="154">
        <f>SUM(Y17:Y20)</f>
        <v>0.11111308767502429</v>
      </c>
      <c r="Z21" s="154">
        <f>AVERAGE(V21,Y21)</f>
        <v>0.11097192512460816</v>
      </c>
      <c r="AA21" s="157">
        <f>SUM(AA17:AA20)</f>
        <v>272960876.59814912</v>
      </c>
      <c r="AB21" s="252"/>
      <c r="AC21" s="208">
        <f>CHOOSE(gen_choice,'Generation Calculations'!$O22,'Generation Calculations'!$P22)</f>
        <v>6.1454774299595956E-2</v>
      </c>
      <c r="AD21" s="215">
        <f>$AD$17</f>
        <v>0.01</v>
      </c>
      <c r="AE21" s="211">
        <f>AH21/$D21</f>
        <v>3.4888874222215462E-2</v>
      </c>
      <c r="AF21" s="211">
        <f t="shared" si="3"/>
        <v>0</v>
      </c>
      <c r="AG21" s="211">
        <f t="shared" si="3"/>
        <v>0.1063832844818902</v>
      </c>
      <c r="AH21" s="201">
        <f>AL21+AK21-SUM(AI21:AJ21)</f>
        <v>279017866.5183748</v>
      </c>
      <c r="AI21" s="201">
        <f>SUM(AI17:AI20)</f>
        <v>491791137.89044923</v>
      </c>
      <c r="AJ21" s="201">
        <f>SUM(AJ17:AJ20)</f>
        <v>79973307.462213963</v>
      </c>
      <c r="AK21" s="201">
        <f>SUM(AK17:AK20)</f>
        <v>0</v>
      </c>
      <c r="AL21" s="201">
        <f>SUM(AL17:AL20)</f>
        <v>850782311.87103796</v>
      </c>
      <c r="AM21" s="199"/>
      <c r="AN21" s="208">
        <f>CHOOSE(gen_choice,'Generation Calculations'!$O22,'Generation Calculations'!$P22)</f>
        <v>6.1454774299595956E-2</v>
      </c>
      <c r="AO21" s="215">
        <f>$AD$17</f>
        <v>0.01</v>
      </c>
      <c r="AP21" s="211">
        <f>AS21/$D21</f>
        <v>3.1941869100601671E-2</v>
      </c>
      <c r="AQ21" s="211">
        <f t="shared" si="4"/>
        <v>0</v>
      </c>
      <c r="AR21" s="211">
        <f t="shared" si="4"/>
        <v>0.10343627936027641</v>
      </c>
      <c r="AS21" s="201">
        <f>SUM(AS17:AS20)</f>
        <v>255449691.85002089</v>
      </c>
      <c r="AT21" s="201">
        <f>SUM(AT17:AT20)</f>
        <v>491791137.89044923</v>
      </c>
      <c r="AU21" s="201">
        <f>SUM(AU17:AU20)</f>
        <v>79973307.462213963</v>
      </c>
      <c r="AV21" s="201">
        <f>SUM(AV17:AV20)</f>
        <v>0</v>
      </c>
      <c r="AW21" s="201">
        <f>SUM(AW17:AW20)</f>
        <v>827214137.20268404</v>
      </c>
      <c r="AX21" s="199"/>
      <c r="AY21" s="208">
        <f>CHOOSE(gen_choice,'Generation Calculations'!$O22,'Generation Calculations'!$P22)</f>
        <v>6.1454774299595956E-2</v>
      </c>
      <c r="AZ21" s="215">
        <f>$AD$17</f>
        <v>0.01</v>
      </c>
      <c r="BA21" s="211">
        <f>BD21/$D21</f>
        <v>-2.9224328280113415E-4</v>
      </c>
      <c r="BB21" s="211">
        <f t="shared" si="5"/>
        <v>0</v>
      </c>
      <c r="BC21" s="211">
        <f t="shared" si="5"/>
        <v>7.1202166976873621E-2</v>
      </c>
      <c r="BD21" s="201">
        <f>SUM(BD17:BD20)</f>
        <v>-2337166.1909221844</v>
      </c>
      <c r="BE21" s="201">
        <f>SUM(BE17:BE20)</f>
        <v>491791137.89044923</v>
      </c>
      <c r="BF21" s="201">
        <f>SUM(BF17:BF20)</f>
        <v>79973307.462213963</v>
      </c>
      <c r="BG21" s="201">
        <f>SUM(BG17:BG20)</f>
        <v>0</v>
      </c>
      <c r="BH21" s="201">
        <f>SUM(BH17:BH20)</f>
        <v>569427279.16174114</v>
      </c>
      <c r="BI21" s="199"/>
      <c r="BJ21" s="208">
        <f>CHOOSE(gen_choice,'Generation Calculations'!$O22,'Generation Calculations'!$P22)</f>
        <v>6.1454774299595956E-2</v>
      </c>
      <c r="BK21" s="215">
        <f>$AD$17</f>
        <v>0.01</v>
      </c>
      <c r="BL21" s="211">
        <f>BO21/$D21</f>
        <v>2.8161551185925376E-2</v>
      </c>
      <c r="BM21" s="211">
        <f t="shared" si="6"/>
        <v>0</v>
      </c>
      <c r="BN21" s="211">
        <f t="shared" si="6"/>
        <v>9.9655961445600141E-2</v>
      </c>
      <c r="BO21" s="201">
        <f>SUM(BO17:BO20)</f>
        <v>225217239.16048861</v>
      </c>
      <c r="BP21" s="201">
        <f>SUM(BP17:BP20)</f>
        <v>491791137.89044923</v>
      </c>
      <c r="BQ21" s="201">
        <f>SUM(BQ17:BQ20)</f>
        <v>79973307.462213963</v>
      </c>
      <c r="BR21" s="201">
        <f>SUM(BR17:BR20)</f>
        <v>0</v>
      </c>
      <c r="BS21" s="201">
        <f>SUM(BS17:BS20)</f>
        <v>796981684.513152</v>
      </c>
      <c r="BT21" s="199"/>
      <c r="BU21" s="208">
        <f>CHOOSE(gen_choice,'Generation Calculations'!$O22,'Generation Calculations'!$P22)</f>
        <v>6.1454774299595956E-2</v>
      </c>
      <c r="BV21" s="215">
        <f>$AD$17</f>
        <v>0.01</v>
      </c>
      <c r="BW21" s="211">
        <f>BZ21/$D21</f>
        <v>3.820559428500879E-2</v>
      </c>
      <c r="BX21" s="211">
        <f t="shared" si="7"/>
        <v>0</v>
      </c>
      <c r="BY21" s="211">
        <f t="shared" si="7"/>
        <v>0.10970000454468352</v>
      </c>
      <c r="BZ21" s="201">
        <f>SUM(BZ17:BZ20)</f>
        <v>305542773.85316122</v>
      </c>
      <c r="CA21" s="201">
        <f>SUM(CA17:CA20)</f>
        <v>491791137.89044923</v>
      </c>
      <c r="CB21" s="201">
        <f>SUM(CB17:CB20)</f>
        <v>79973307.462213963</v>
      </c>
      <c r="CC21" s="201">
        <f>SUM(CC17:CC20)</f>
        <v>0</v>
      </c>
      <c r="CD21" s="201">
        <f>SUM(CD17:CD20)</f>
        <v>877307219.20582438</v>
      </c>
    </row>
    <row r="22" spans="1:82">
      <c r="A22" s="94"/>
      <c r="B22" s="73"/>
      <c r="C22" s="73"/>
      <c r="D22" s="176"/>
      <c r="E22" s="201"/>
      <c r="F22" s="199"/>
      <c r="G22" s="238"/>
      <c r="H22" s="224"/>
      <c r="I22" s="154"/>
      <c r="J22" s="201"/>
      <c r="K22" s="199"/>
      <c r="L22" s="157"/>
      <c r="M22" s="154"/>
      <c r="N22" s="201"/>
      <c r="O22" s="199"/>
      <c r="P22" s="223"/>
      <c r="Q22" s="224"/>
      <c r="R22" s="199"/>
      <c r="T22" s="383"/>
      <c r="V22" s="154"/>
      <c r="W22" s="383"/>
      <c r="X22" s="340"/>
      <c r="Y22" s="154"/>
      <c r="Z22" s="154"/>
      <c r="AA22" s="157"/>
      <c r="AB22" s="252"/>
      <c r="AC22" s="207"/>
      <c r="AD22" s="208"/>
      <c r="AH22" s="201"/>
      <c r="AJ22" s="201"/>
      <c r="AK22" s="201"/>
      <c r="AL22" s="201"/>
      <c r="AM22" s="199"/>
      <c r="AN22" s="207"/>
      <c r="AO22" s="208"/>
      <c r="AP22"/>
      <c r="AQ22"/>
      <c r="AR22"/>
      <c r="AS22" s="201"/>
      <c r="AT22" s="201"/>
      <c r="AU22" s="201"/>
      <c r="AV22" s="201"/>
      <c r="AW22" s="201"/>
      <c r="AX22" s="199"/>
      <c r="AY22" s="207"/>
      <c r="AZ22" s="208"/>
      <c r="BA22"/>
      <c r="BB22"/>
      <c r="BC22"/>
      <c r="BD22" s="201"/>
      <c r="BE22" s="201"/>
      <c r="BF22" s="201"/>
      <c r="BG22" s="201"/>
      <c r="BH22" s="201"/>
      <c r="BI22" s="199"/>
      <c r="BJ22" s="207"/>
      <c r="BK22" s="208"/>
      <c r="BL22"/>
      <c r="BM22"/>
      <c r="BN22"/>
      <c r="BO22" s="201"/>
      <c r="BP22" s="201"/>
      <c r="BQ22" s="201"/>
      <c r="BR22" s="201"/>
      <c r="BS22" s="201"/>
      <c r="BT22" s="199"/>
      <c r="BU22" s="207"/>
      <c r="BV22" s="208"/>
      <c r="BW22"/>
      <c r="BX22"/>
      <c r="BY22"/>
      <c r="BZ22" s="201"/>
      <c r="CA22" s="201"/>
      <c r="CB22" s="201"/>
      <c r="CC22" s="201"/>
      <c r="CD22" s="201"/>
    </row>
    <row r="23" spans="1:82">
      <c r="A23" s="81" t="s">
        <v>38</v>
      </c>
      <c r="B23" s="73"/>
      <c r="C23" s="73"/>
      <c r="D23" s="176"/>
      <c r="E23" s="201"/>
      <c r="F23" s="199"/>
      <c r="G23" s="238"/>
      <c r="H23" s="224"/>
      <c r="I23" s="154"/>
      <c r="J23" s="201"/>
      <c r="K23" s="199"/>
      <c r="L23" s="157"/>
      <c r="M23" s="154"/>
      <c r="N23" s="201"/>
      <c r="O23" s="199"/>
      <c r="P23" s="223"/>
      <c r="Q23" s="224"/>
      <c r="R23" s="199"/>
      <c r="T23" s="383"/>
      <c r="V23" s="154"/>
      <c r="W23" s="383"/>
      <c r="X23" s="340"/>
      <c r="Y23" s="154"/>
      <c r="Z23" s="154"/>
      <c r="AA23" s="157"/>
      <c r="AB23" s="252"/>
      <c r="AC23" s="207"/>
      <c r="AD23" s="208"/>
      <c r="AH23" s="201"/>
      <c r="AJ23" s="201"/>
      <c r="AK23" s="201"/>
      <c r="AL23" s="201"/>
      <c r="AM23" s="199"/>
      <c r="AN23" s="207"/>
      <c r="AO23" s="208"/>
      <c r="AP23"/>
      <c r="AQ23"/>
      <c r="AR23"/>
      <c r="AS23" s="201"/>
      <c r="AT23" s="201"/>
      <c r="AU23" s="201"/>
      <c r="AV23" s="201"/>
      <c r="AW23" s="201"/>
      <c r="AX23" s="199"/>
      <c r="AY23" s="207"/>
      <c r="AZ23" s="208"/>
      <c r="BA23"/>
      <c r="BB23"/>
      <c r="BC23"/>
      <c r="BD23" s="201"/>
      <c r="BE23" s="201"/>
      <c r="BF23" s="201"/>
      <c r="BG23" s="201"/>
      <c r="BH23" s="201"/>
      <c r="BI23" s="199"/>
      <c r="BJ23" s="207"/>
      <c r="BK23" s="208"/>
      <c r="BL23"/>
      <c r="BM23"/>
      <c r="BN23"/>
      <c r="BO23" s="201"/>
      <c r="BP23" s="201"/>
      <c r="BQ23" s="201"/>
      <c r="BR23" s="201"/>
      <c r="BS23" s="201"/>
      <c r="BT23" s="199"/>
      <c r="BU23" s="207"/>
      <c r="BV23" s="208"/>
      <c r="BW23"/>
      <c r="BX23"/>
      <c r="BY23"/>
      <c r="BZ23" s="201"/>
      <c r="CA23" s="201"/>
      <c r="CB23" s="201"/>
      <c r="CC23" s="201"/>
      <c r="CD23" s="201"/>
    </row>
    <row r="24" spans="1:82">
      <c r="A24" s="89" t="s">
        <v>39</v>
      </c>
      <c r="B24" s="77" t="s">
        <v>27</v>
      </c>
      <c r="C24" s="77">
        <v>2</v>
      </c>
      <c r="D24" s="177">
        <f>'Test Year 2001 Sales and Revs.'!J25+'Test Year 2001 Sales and Revs.'!J26</f>
        <v>90647376</v>
      </c>
      <c r="E24" s="201">
        <f>surcharge_1*D24</f>
        <v>3468968.4750711289</v>
      </c>
      <c r="F24" s="199"/>
      <c r="G24" s="238">
        <f>0.03781</f>
        <v>3.7810000000000003E-2</v>
      </c>
      <c r="H24" s="224">
        <f t="shared" si="1"/>
        <v>3427377.2865600004</v>
      </c>
      <c r="I24" s="154">
        <f>H24/$H$127</f>
        <v>1.0903166159515205E-3</v>
      </c>
      <c r="J24" s="201">
        <f>I24*$E$129</f>
        <v>2681883.5387911843</v>
      </c>
      <c r="K24" s="199"/>
      <c r="L24" s="381">
        <v>8063033.2184099993</v>
      </c>
      <c r="M24" s="154">
        <f>L24/$L$127</f>
        <v>1.1548565571066047E-3</v>
      </c>
      <c r="N24" s="201">
        <f>M24*$E$129</f>
        <v>2840634.3119574883</v>
      </c>
      <c r="O24" s="199"/>
      <c r="P24" s="223">
        <f>P_Equal</f>
        <v>3.7680738033375391E-2</v>
      </c>
      <c r="Q24" s="224">
        <f t="shared" si="2"/>
        <v>3415660.0284688794</v>
      </c>
      <c r="R24" s="199"/>
      <c r="S24" s="331">
        <f>$D24/$D$26</f>
        <v>6.9995278637331286E-3</v>
      </c>
      <c r="T24" s="383">
        <v>265858160.32053235</v>
      </c>
      <c r="U24" s="340">
        <f>$S24*T24</f>
        <v>1860881.6009643953</v>
      </c>
      <c r="V24" s="154">
        <f>U24/$U$127</f>
        <v>1.152311228999176E-3</v>
      </c>
      <c r="W24" s="383">
        <v>256687060.54923823</v>
      </c>
      <c r="X24" s="340">
        <f>$S24*W24</f>
        <v>1796688.2325741458</v>
      </c>
      <c r="Y24" s="154">
        <f>X24/$X$127</f>
        <v>1.1852750068385095E-3</v>
      </c>
      <c r="Z24" s="154">
        <f>AVERAGE(V24,Y24)</f>
        <v>1.1687931179188427E-3</v>
      </c>
      <c r="AA24" s="157">
        <f>$Z24*'Inputs and Assumptions'!$C$6</f>
        <v>2874914.4765288453</v>
      </c>
      <c r="AB24" s="252"/>
      <c r="AC24" s="390">
        <f>CHOOSE(gen_choice,'Generation Calculations'!$O26,'Generation Calculations'!$P26)</f>
        <v>6.4550514197876302E-2</v>
      </c>
      <c r="AD24" s="391">
        <f>EPS</f>
        <v>0.01</v>
      </c>
      <c r="AE24" s="392">
        <f>AG24-SUM(AC24:AD24,AF24)</f>
        <v>3.1784750154837657E-2</v>
      </c>
      <c r="AF24" s="211">
        <f>AK24/$D24*-1</f>
        <v>4.8020129176249901E-5</v>
      </c>
      <c r="AG24" s="211">
        <f>AL24/$D24</f>
        <v>0.1063832844818902</v>
      </c>
      <c r="AH24" s="201">
        <f>AL24+AK24-SUM(AI24:AJ24)</f>
        <v>2912895.2087465608</v>
      </c>
      <c r="AI24" s="217">
        <f>CHOOSE(gen_choice,'Generation Calculations'!$M26,'Generation Calculations'!$N26)</f>
        <v>5819643.7210932979</v>
      </c>
      <c r="AJ24" s="201">
        <f>$D24*AD24</f>
        <v>906473.76</v>
      </c>
      <c r="AK24" s="201">
        <f>CHOOSE(gen_choice,'Generation Calculations'!K26,'Generation Calculations'!L26)</f>
        <v>-4352.898705008095</v>
      </c>
      <c r="AL24" s="201">
        <f>$D24*gen_equal</f>
        <v>9643365.5885448661</v>
      </c>
      <c r="AM24" s="199"/>
      <c r="AN24" s="390">
        <f>CHOOSE(gen_choice,'Generation Calculations'!$O26,'Generation Calculations'!$P26)</f>
        <v>6.4550514197876302E-2</v>
      </c>
      <c r="AO24" s="391">
        <f>EPS</f>
        <v>0.01</v>
      </c>
      <c r="AP24" s="392">
        <f>AR24-SUM(AN24:AO24,AQ24)</f>
        <v>2.0491712910485585E-2</v>
      </c>
      <c r="AQ24" s="211">
        <f>AV24/$D24*-1</f>
        <v>4.8020129176249901E-5</v>
      </c>
      <c r="AR24" s="211">
        <f>AW24/$D24</f>
        <v>9.5090247237538131E-2</v>
      </c>
      <c r="AS24" s="201">
        <f>AW24+AV24-SUM(AT24:AU24)</f>
        <v>1889211.0154757751</v>
      </c>
      <c r="AT24" s="216">
        <f>$AI24</f>
        <v>5819643.7210932979</v>
      </c>
      <c r="AU24" s="201">
        <f>$D24*AO24</f>
        <v>906473.76</v>
      </c>
      <c r="AV24" s="216">
        <f>$AK24</f>
        <v>-4352.898705008095</v>
      </c>
      <c r="AW24" s="201">
        <f>$I24*'Inputs and Assumptions'!$C$15</f>
        <v>8619681.3952740803</v>
      </c>
      <c r="AX24" s="199"/>
      <c r="AY24" s="390">
        <f>CHOOSE(gen_choice,'Generation Calculations'!$O26,'Generation Calculations'!$P26)</f>
        <v>6.4550514197876302E-2</v>
      </c>
      <c r="AZ24" s="391">
        <f>EPS</f>
        <v>0.01</v>
      </c>
      <c r="BA24" s="392">
        <f>BC24-SUM(AY24:AZ24,BB24)</f>
        <v>2.6120462276812764E-2</v>
      </c>
      <c r="BB24" s="211">
        <f>BG24/$D24*-1</f>
        <v>4.8020129176249901E-5</v>
      </c>
      <c r="BC24" s="211">
        <f>BH24/$D24</f>
        <v>0.10071899660386531</v>
      </c>
      <c r="BD24" s="201">
        <f>BH24+BG24-SUM(BE24:BF24)</f>
        <v>2399442.3756949967</v>
      </c>
      <c r="BE24" s="216">
        <f>$AI24</f>
        <v>5819643.7210932979</v>
      </c>
      <c r="BF24" s="201">
        <f>$D24*AZ24</f>
        <v>906473.76</v>
      </c>
      <c r="BG24" s="216">
        <f>$AK24</f>
        <v>-4352.898705008095</v>
      </c>
      <c r="BH24" s="201">
        <f>$M24*'Inputs and Assumptions'!$C$15</f>
        <v>9129912.7554933019</v>
      </c>
      <c r="BI24" s="199"/>
      <c r="BJ24" s="390">
        <f>CHOOSE(gen_choice,'Generation Calculations'!$O26,'Generation Calculations'!$P26)</f>
        <v>6.4550514197876302E-2</v>
      </c>
      <c r="BK24" s="391">
        <f>EPS</f>
        <v>0.01</v>
      </c>
      <c r="BL24" s="392">
        <f>BN24-SUM(BJ24:BK24,BM24)</f>
        <v>2.2761206808741122E-2</v>
      </c>
      <c r="BM24" s="211">
        <f>BR24/$D24*-1</f>
        <v>4.8020129176249901E-5</v>
      </c>
      <c r="BN24" s="211">
        <f>BS24/$D24</f>
        <v>9.7359741135793668E-2</v>
      </c>
      <c r="BO24" s="201">
        <f>BS24+BR24-SUM(BP24:BQ24)</f>
        <v>2094934.6822006507</v>
      </c>
      <c r="BP24" s="216">
        <f>$AI24</f>
        <v>5819643.7210932979</v>
      </c>
      <c r="BQ24" s="201">
        <f>$D24*BK24</f>
        <v>906473.76</v>
      </c>
      <c r="BR24" s="216">
        <f>$AK24</f>
        <v>-4352.898705008095</v>
      </c>
      <c r="BS24" s="201">
        <f>D24*P_equal_gen</f>
        <v>8825405.0619989559</v>
      </c>
      <c r="BT24" s="199"/>
      <c r="BU24" s="390">
        <f>CHOOSE(gen_choice,'Generation Calculations'!$O26,'Generation Calculations'!$P26)</f>
        <v>6.4550514197876302E-2</v>
      </c>
      <c r="BV24" s="391">
        <f>EPS</f>
        <v>0.01</v>
      </c>
      <c r="BW24" s="392">
        <f>BY24-SUM(BU24:BV24,BX24)</f>
        <v>2.7335917488526817E-2</v>
      </c>
      <c r="BX24" s="211">
        <f>CC24/$D24*-1</f>
        <v>4.8020129176249901E-5</v>
      </c>
      <c r="BY24" s="211">
        <f>CD24/$D24</f>
        <v>0.10193445181557936</v>
      </c>
      <c r="BZ24" s="201">
        <f>CD24+CC24-SUM(CA24:CB24)</f>
        <v>2509620.2012823997</v>
      </c>
      <c r="CA24" s="216">
        <f>$AI24</f>
        <v>5819643.7210932979</v>
      </c>
      <c r="CB24" s="201">
        <f>$D24*BV24</f>
        <v>906473.76</v>
      </c>
      <c r="CC24" s="216">
        <f>$AK24</f>
        <v>-4352.898705008095</v>
      </c>
      <c r="CD24" s="201">
        <f>$Z24*'Inputs and Assumptions'!$C$15</f>
        <v>9240090.5810807049</v>
      </c>
    </row>
    <row r="25" spans="1:82">
      <c r="A25" s="94" t="s">
        <v>39</v>
      </c>
      <c r="B25" s="77" t="s">
        <v>28</v>
      </c>
      <c r="C25" s="77">
        <v>1</v>
      </c>
      <c r="D25" s="178">
        <f>'Test Year 2001 Sales and Revs.'!J27</f>
        <v>12859851252.582375</v>
      </c>
      <c r="E25" s="202">
        <f>surcharge_1*D25</f>
        <v>492131383.80654538</v>
      </c>
      <c r="F25" s="200"/>
      <c r="G25" s="243">
        <f>0.03973</f>
        <v>3.9730000000000001E-2</v>
      </c>
      <c r="H25" s="225">
        <f t="shared" si="1"/>
        <v>510921890.26509774</v>
      </c>
      <c r="I25" s="198">
        <f>H25/$H$127</f>
        <v>0.16253437536446816</v>
      </c>
      <c r="J25" s="202">
        <f>I25*$E$129</f>
        <v>399790537.35438639</v>
      </c>
      <c r="K25" s="200"/>
      <c r="L25" s="382">
        <v>1203810675.754236</v>
      </c>
      <c r="M25" s="198">
        <f>L25/$L$127</f>
        <v>0.17242005765714311</v>
      </c>
      <c r="N25" s="202">
        <f>M25*$E$129</f>
        <v>424106638.03795451</v>
      </c>
      <c r="O25" s="200"/>
      <c r="P25" s="223">
        <f>S_Equal</f>
        <v>3.8569434685105937E-2</v>
      </c>
      <c r="Q25" s="225">
        <f t="shared" si="2"/>
        <v>495997192.94665366</v>
      </c>
      <c r="R25" s="200"/>
      <c r="S25" s="331">
        <f>$D25/$D$26</f>
        <v>0.99300047213626685</v>
      </c>
      <c r="T25" s="383">
        <v>265858160.32053235</v>
      </c>
      <c r="U25" s="343">
        <f>$S25*T25</f>
        <v>263997278.71956795</v>
      </c>
      <c r="V25" s="198">
        <f>U25/$U$127</f>
        <v>0.16347468239576829</v>
      </c>
      <c r="W25" s="383">
        <v>256687060.54923823</v>
      </c>
      <c r="X25" s="343">
        <f>$S25*W25</f>
        <v>254890372.31666407</v>
      </c>
      <c r="Y25" s="198">
        <f>X25/$X$127</f>
        <v>0.16815114737956438</v>
      </c>
      <c r="Z25" s="198">
        <f>AVERAGE(V25,Y25)</f>
        <v>0.16581291488766634</v>
      </c>
      <c r="AA25" s="245">
        <f>$Z25*'Inputs and Assumptions'!$C$6</f>
        <v>407854856.51627326</v>
      </c>
      <c r="AB25" s="253"/>
      <c r="AC25" s="393">
        <f>CHOOSE(gen_choice,'Generation Calculations'!$O27,'Generation Calculations'!$P27)</f>
        <v>6.4948631323212658E-2</v>
      </c>
      <c r="AD25" s="394">
        <f>EPS</f>
        <v>0.01</v>
      </c>
      <c r="AE25" s="395">
        <f>AG25-SUM(AC25:AD25,AF25)</f>
        <v>3.1359930311271003E-2</v>
      </c>
      <c r="AF25" s="214">
        <f>AK25/$D25*-1</f>
        <v>7.4722847406530736E-5</v>
      </c>
      <c r="AG25" s="214">
        <f>AL25/$D25</f>
        <v>0.10638328448189019</v>
      </c>
      <c r="AH25" s="202">
        <f>AL25+AK25-SUM(AI25:AJ25)</f>
        <v>403284039.09429443</v>
      </c>
      <c r="AI25" s="284">
        <f>CHOOSE(gen_choice,'Generation Calculations'!M27,'Generation Calculations'!N27)</f>
        <v>835229737.87532711</v>
      </c>
      <c r="AJ25" s="202">
        <f>$D25*AD25</f>
        <v>128598512.52582374</v>
      </c>
      <c r="AK25" s="202">
        <f>CHOOSE(gen_choice,'Generation Calculations'!K27,'Generation Calculations'!L27)</f>
        <v>-960924.70281739591</v>
      </c>
      <c r="AL25" s="202">
        <f>$D25*gen_equal</f>
        <v>1368073214.1982627</v>
      </c>
      <c r="AM25" s="200"/>
      <c r="AN25" s="393">
        <f>CHOOSE(gen_choice,'Generation Calculations'!$O27,'Generation Calculations'!$P27)</f>
        <v>6.4948631323212658E-2</v>
      </c>
      <c r="AO25" s="394">
        <f>EPS</f>
        <v>0.01</v>
      </c>
      <c r="AP25" s="395">
        <f>AR25-SUM(AN25:AO25,AQ25)</f>
        <v>2.4895596444228452E-2</v>
      </c>
      <c r="AQ25" s="214">
        <f>AV25/$D25*-1</f>
        <v>7.4722847406530736E-5</v>
      </c>
      <c r="AR25" s="214">
        <f>AW25/$D25</f>
        <v>9.9918950614847638E-2</v>
      </c>
      <c r="AS25" s="202">
        <f>AW25+AV25-SUM(AT25:AU25)</f>
        <v>320153667.11709654</v>
      </c>
      <c r="AT25" s="202">
        <f>$AI25</f>
        <v>835229737.87532711</v>
      </c>
      <c r="AU25" s="202">
        <f>$D25*AO25</f>
        <v>128598512.52582374</v>
      </c>
      <c r="AV25" s="202">
        <f>$AK25</f>
        <v>-960924.70281739591</v>
      </c>
      <c r="AW25" s="202">
        <f>$I25*'Inputs and Assumptions'!$C$15</f>
        <v>1284942842.2210648</v>
      </c>
      <c r="AX25" s="200"/>
      <c r="AY25" s="393">
        <f>CHOOSE(gen_choice,'Generation Calculations'!$O27,'Generation Calculations'!$P27)</f>
        <v>6.4948631323212658E-2</v>
      </c>
      <c r="AZ25" s="394">
        <f>EPS</f>
        <v>0.01</v>
      </c>
      <c r="BA25" s="395">
        <f>BC25-SUM(AY25:AZ25,BB25)</f>
        <v>3.0972877010760236E-2</v>
      </c>
      <c r="BB25" s="214">
        <f>BG25/$D25*-1</f>
        <v>7.4722847406530736E-5</v>
      </c>
      <c r="BC25" s="214">
        <f>BH25/$D25</f>
        <v>0.10599623118137942</v>
      </c>
      <c r="BD25" s="202">
        <f>BH25+BG25-SUM(BE25:BF25)</f>
        <v>398306591.2229048</v>
      </c>
      <c r="BE25" s="202">
        <f>$AI25</f>
        <v>835229737.87532711</v>
      </c>
      <c r="BF25" s="202">
        <f>$D25*AZ25</f>
        <v>128598512.52582374</v>
      </c>
      <c r="BG25" s="202">
        <f>$AK25</f>
        <v>-960924.70281739591</v>
      </c>
      <c r="BH25" s="202">
        <f>$M25*'Inputs and Assumptions'!$C$15</f>
        <v>1363095766.3268731</v>
      </c>
      <c r="BI25" s="200"/>
      <c r="BJ25" s="393">
        <f>CHOOSE(gen_choice,'Generation Calculations'!$O27,'Generation Calculations'!$P27)</f>
        <v>6.4948631323212658E-2</v>
      </c>
      <c r="BK25" s="394">
        <f>EPS</f>
        <v>0.01</v>
      </c>
      <c r="BL25" s="395">
        <f>BN25-SUM(BJ25:BK25,BM25)</f>
        <v>2.4632607274980942E-2</v>
      </c>
      <c r="BM25" s="214">
        <f>BR25/$D25*-1</f>
        <v>7.4722847406530736E-5</v>
      </c>
      <c r="BN25" s="214">
        <f>BS25/$D25</f>
        <v>9.9655961445600127E-2</v>
      </c>
      <c r="BO25" s="202">
        <f>BS25+BR25-SUM(BP25:BQ25)</f>
        <v>316771665.51953328</v>
      </c>
      <c r="BP25" s="202">
        <f>$AI25</f>
        <v>835229737.87532711</v>
      </c>
      <c r="BQ25" s="202">
        <f>$D25*BK25</f>
        <v>128598512.52582374</v>
      </c>
      <c r="BR25" s="202">
        <f>$AK25</f>
        <v>-960924.70281739591</v>
      </c>
      <c r="BS25" s="202">
        <f>D25*s_equal_gen</f>
        <v>1281560840.6235015</v>
      </c>
      <c r="BT25" s="200"/>
      <c r="BU25" s="393">
        <f>CHOOSE(gen_choice,'Generation Calculations'!$O27,'Generation Calculations'!$P27)</f>
        <v>6.4948631323212658E-2</v>
      </c>
      <c r="BV25" s="394">
        <f>EPS</f>
        <v>0.01</v>
      </c>
      <c r="BW25" s="395">
        <f>BY25-SUM(BU25:BV25,BX25)</f>
        <v>2.6911097644960177E-2</v>
      </c>
      <c r="BX25" s="214">
        <f>CC25/$D25*-1</f>
        <v>7.4722847406530736E-5</v>
      </c>
      <c r="BY25" s="214">
        <f>CD25/$D25</f>
        <v>0.10193445181557936</v>
      </c>
      <c r="BZ25" s="202">
        <f>CD25+CC25-SUM(CA25:CB25)</f>
        <v>346072712.75790775</v>
      </c>
      <c r="CA25" s="202">
        <f>$AI25</f>
        <v>835229737.87532711</v>
      </c>
      <c r="CB25" s="202">
        <f>$D25*BV25</f>
        <v>128598512.52582374</v>
      </c>
      <c r="CC25" s="202">
        <f>$AK25</f>
        <v>-960924.70281739591</v>
      </c>
      <c r="CD25" s="202">
        <f>$Z25*'Inputs and Assumptions'!$C$15</f>
        <v>1310861887.861876</v>
      </c>
    </row>
    <row r="26" spans="1:82">
      <c r="A26" s="188" t="s">
        <v>40</v>
      </c>
      <c r="B26" s="72"/>
      <c r="C26" s="72"/>
      <c r="D26" s="176">
        <f>SUM(D24:D25)</f>
        <v>12950498628.582375</v>
      </c>
      <c r="E26" s="201">
        <f>SUM(E24:E25)</f>
        <v>495600352.28161651</v>
      </c>
      <c r="F26" s="199"/>
      <c r="G26" s="238"/>
      <c r="H26" s="224">
        <f>SUM(H24:H25)</f>
        <v>514349267.55165774</v>
      </c>
      <c r="I26" s="154">
        <f>SUM(I24:I25)</f>
        <v>0.16362469198041968</v>
      </c>
      <c r="J26" s="201">
        <f>SUM(J24:J25)</f>
        <v>402472420.89317757</v>
      </c>
      <c r="K26" s="199"/>
      <c r="L26" s="157">
        <f>SUM(L24:L25)</f>
        <v>1211873708.972646</v>
      </c>
      <c r="M26" s="154">
        <f>SUM(M24:M25)</f>
        <v>0.1735749142142497</v>
      </c>
      <c r="N26" s="201">
        <f>SUM(N24:N25)</f>
        <v>426947272.34991199</v>
      </c>
      <c r="O26" s="199"/>
      <c r="P26" s="223"/>
      <c r="Q26" s="224">
        <f>SUM(Q24:Q25)</f>
        <v>499412852.97512257</v>
      </c>
      <c r="R26" s="199"/>
      <c r="T26" s="383"/>
      <c r="U26" s="340">
        <f>SUM(U24:U25)</f>
        <v>265858160.32053235</v>
      </c>
      <c r="V26" s="154">
        <f>SUM(V24:V25)</f>
        <v>0.16462699362476746</v>
      </c>
      <c r="W26" s="383"/>
      <c r="X26" s="340">
        <f>SUM(X24:X25)</f>
        <v>256687060.5492382</v>
      </c>
      <c r="Y26" s="154">
        <f>SUM(Y24:Y25)</f>
        <v>0.1693364223864029</v>
      </c>
      <c r="Z26" s="154">
        <f>AVERAGE(V26,Y26)</f>
        <v>0.16698170800558518</v>
      </c>
      <c r="AA26" s="157">
        <f>SUM(AA24:AA25)</f>
        <v>410729770.99280208</v>
      </c>
      <c r="AB26" s="252"/>
      <c r="AC26" s="208">
        <f>CHOOSE(gen_choice,'Generation Calculations'!$O29,'Generation Calculations'!$P29)</f>
        <v>6.4943397603253974E-2</v>
      </c>
      <c r="AD26" s="291">
        <f>EPS</f>
        <v>0.01</v>
      </c>
      <c r="AE26" s="211">
        <f>AH26/$D26</f>
        <v>3.1365350937649979E-2</v>
      </c>
      <c r="AF26" s="211">
        <f>AK26/$D26</f>
        <v>-7.4535940986240469E-5</v>
      </c>
      <c r="AG26" s="211">
        <f>AL26/$D26</f>
        <v>0.10638328448189019</v>
      </c>
      <c r="AH26" s="201">
        <f>AL26+AK26-SUM(AI26:AJ26)</f>
        <v>406196934.30304098</v>
      </c>
      <c r="AI26" s="201">
        <f>SUM(AI24:AI25)</f>
        <v>841049381.59642041</v>
      </c>
      <c r="AJ26" s="201">
        <f>SUM(AJ24:AJ25)</f>
        <v>129504986.28582375</v>
      </c>
      <c r="AK26" s="201">
        <f>SUM(AK24:AK25)</f>
        <v>-965277.601522404</v>
      </c>
      <c r="AL26" s="201">
        <f>SUM(AL24:AL25)</f>
        <v>1377716579.7868075</v>
      </c>
      <c r="AM26" s="199"/>
      <c r="AN26" s="208">
        <f>CHOOSE(gen_choice,'Generation Calculations'!$O29,'Generation Calculations'!$P29)</f>
        <v>6.4943397603253974E-2</v>
      </c>
      <c r="AO26" s="291">
        <f>EPS</f>
        <v>0.01</v>
      </c>
      <c r="AP26" s="211">
        <f>AS26/$D26</f>
        <v>2.4867218426772243E-2</v>
      </c>
      <c r="AQ26" s="211">
        <f>AV26/$D26</f>
        <v>-7.4535940986240469E-5</v>
      </c>
      <c r="AR26" s="211">
        <f>AW26/$D26</f>
        <v>9.9885151971012456E-2</v>
      </c>
      <c r="AS26" s="201">
        <f>SUM(AS24:AS25)</f>
        <v>322042878.13257229</v>
      </c>
      <c r="AT26" s="201">
        <f>SUM(AT24:AT25)</f>
        <v>841049381.59642041</v>
      </c>
      <c r="AU26" s="201">
        <f>SUM(AU24:AU25)</f>
        <v>129504986.28582375</v>
      </c>
      <c r="AV26" s="201">
        <f>SUM(AV24:AV25)</f>
        <v>-965277.601522404</v>
      </c>
      <c r="AW26" s="201">
        <f>SUM(AW24:AW25)</f>
        <v>1293562523.616339</v>
      </c>
      <c r="AX26" s="199"/>
      <c r="AY26" s="208">
        <f>CHOOSE(gen_choice,'Generation Calculations'!$O29,'Generation Calculations'!$P29)</f>
        <v>6.4943397603253974E-2</v>
      </c>
      <c r="AZ26" s="291">
        <f>EPS</f>
        <v>0.01</v>
      </c>
      <c r="BA26" s="211">
        <f>BD26/$D26</f>
        <v>3.0941359486670442E-2</v>
      </c>
      <c r="BB26" s="211">
        <f>BG26/$D26</f>
        <v>-7.4535940986240469E-5</v>
      </c>
      <c r="BC26" s="211">
        <f>BH26/$D26</f>
        <v>0.10595929303091066</v>
      </c>
      <c r="BD26" s="201">
        <f>SUM(BD24:BD25)</f>
        <v>400706033.59859979</v>
      </c>
      <c r="BE26" s="201">
        <f>SUM(BE24:BE25)</f>
        <v>841049381.59642041</v>
      </c>
      <c r="BF26" s="201">
        <f>SUM(BF24:BF25)</f>
        <v>129504986.28582375</v>
      </c>
      <c r="BG26" s="201">
        <f>SUM(BG24:BG25)</f>
        <v>-965277.601522404</v>
      </c>
      <c r="BH26" s="201">
        <f>SUM(BH24:BH25)</f>
        <v>1372225679.0823665</v>
      </c>
      <c r="BI26" s="199"/>
      <c r="BJ26" s="208">
        <f>CHOOSE(gen_choice,'Generation Calculations'!$O29,'Generation Calculations'!$P29)</f>
        <v>6.4943397603253974E-2</v>
      </c>
      <c r="BK26" s="291">
        <f>EPS</f>
        <v>0.01</v>
      </c>
      <c r="BL26" s="211">
        <f>BO26/$D26</f>
        <v>2.4621955443320152E-2</v>
      </c>
      <c r="BM26" s="211">
        <f>BR26/$D26</f>
        <v>-7.4535940986240469E-5</v>
      </c>
      <c r="BN26" s="211">
        <f>BS26/$D26</f>
        <v>9.9639888987560349E-2</v>
      </c>
      <c r="BO26" s="201">
        <f>SUM(BO24:BO25)</f>
        <v>318866600.20173395</v>
      </c>
      <c r="BP26" s="201">
        <f>SUM(BP24:BP25)</f>
        <v>841049381.59642041</v>
      </c>
      <c r="BQ26" s="201">
        <f>SUM(BQ24:BQ25)</f>
        <v>129504986.28582375</v>
      </c>
      <c r="BR26" s="201">
        <f>SUM(BR24:BR25)</f>
        <v>-965277.601522404</v>
      </c>
      <c r="BS26" s="201">
        <f>SUM(BS24:BS25)</f>
        <v>1290386245.6855004</v>
      </c>
      <c r="BT26" s="199"/>
      <c r="BU26" s="208">
        <f>CHOOSE(gen_choice,'Generation Calculations'!$O29,'Generation Calculations'!$P29)</f>
        <v>6.4943397603253974E-2</v>
      </c>
      <c r="BV26" s="291">
        <f>EPS</f>
        <v>0.01</v>
      </c>
      <c r="BW26" s="211">
        <f>BZ26/$D26</f>
        <v>2.6916518271339153E-2</v>
      </c>
      <c r="BX26" s="211">
        <f>CC26/$D26</f>
        <v>-7.4535940986240469E-5</v>
      </c>
      <c r="BY26" s="211">
        <f>CD26/$D26</f>
        <v>0.10193445181557936</v>
      </c>
      <c r="BZ26" s="201">
        <f>SUM(BZ24:BZ25)</f>
        <v>348582332.95919013</v>
      </c>
      <c r="CA26" s="201">
        <f>SUM(CA24:CA25)</f>
        <v>841049381.59642041</v>
      </c>
      <c r="CB26" s="201">
        <f>SUM(CB24:CB25)</f>
        <v>129504986.28582375</v>
      </c>
      <c r="CC26" s="201">
        <f>SUM(CC24:CC25)</f>
        <v>-965277.601522404</v>
      </c>
      <c r="CD26" s="201">
        <f>SUM(CD24:CD25)</f>
        <v>1320101978.4429567</v>
      </c>
    </row>
    <row r="27" spans="1:82">
      <c r="A27" s="94"/>
      <c r="B27" s="73"/>
      <c r="C27" s="73"/>
      <c r="D27" s="176"/>
      <c r="E27" s="201"/>
      <c r="F27" s="199"/>
      <c r="G27" s="238"/>
      <c r="H27" s="224"/>
      <c r="I27" s="154"/>
      <c r="J27" s="201"/>
      <c r="K27" s="199"/>
      <c r="L27" s="157"/>
      <c r="M27" s="154"/>
      <c r="N27" s="201"/>
      <c r="O27" s="199"/>
      <c r="P27" s="223"/>
      <c r="Q27" s="224"/>
      <c r="R27" s="199"/>
      <c r="T27" s="383"/>
      <c r="V27" s="154"/>
      <c r="W27" s="383"/>
      <c r="X27" s="340"/>
      <c r="Y27" s="154"/>
      <c r="Z27" s="154"/>
      <c r="AA27" s="157"/>
      <c r="AB27" s="252"/>
      <c r="AC27" s="207"/>
      <c r="AD27" s="208"/>
      <c r="AH27" s="201"/>
      <c r="AJ27" s="201"/>
      <c r="AK27" s="201"/>
      <c r="AL27" s="201">
        <f>AL26-SUM(AH26:AJ26)+AK26</f>
        <v>4.1676685214042664E-8</v>
      </c>
      <c r="AM27" s="199"/>
      <c r="AN27" s="207"/>
      <c r="AO27" s="208"/>
      <c r="AP27"/>
      <c r="AQ27"/>
      <c r="AR27"/>
      <c r="AS27" s="201"/>
      <c r="AT27" s="201"/>
      <c r="AU27" s="201"/>
      <c r="AV27" s="201"/>
      <c r="AW27" s="201"/>
      <c r="AX27" s="199"/>
      <c r="AY27" s="207"/>
      <c r="AZ27" s="208"/>
      <c r="BA27"/>
      <c r="BB27"/>
      <c r="BC27"/>
      <c r="BD27" s="201"/>
      <c r="BE27" s="201"/>
      <c r="BF27" s="201"/>
      <c r="BG27" s="201"/>
      <c r="BH27" s="201"/>
      <c r="BI27" s="199"/>
      <c r="BJ27" s="207"/>
      <c r="BK27" s="208"/>
      <c r="BL27"/>
      <c r="BM27"/>
      <c r="BN27"/>
      <c r="BO27" s="201"/>
      <c r="BP27" s="201"/>
      <c r="BQ27" s="201"/>
      <c r="BR27" s="201"/>
      <c r="BS27" s="201"/>
      <c r="BT27" s="199"/>
      <c r="BU27" s="207"/>
      <c r="BV27" s="208"/>
      <c r="BW27"/>
      <c r="BX27"/>
      <c r="BY27"/>
      <c r="BZ27" s="201"/>
      <c r="CA27" s="201"/>
      <c r="CB27" s="201"/>
      <c r="CC27" s="201"/>
      <c r="CD27" s="201"/>
    </row>
    <row r="28" spans="1:82">
      <c r="A28" s="102" t="s">
        <v>41</v>
      </c>
      <c r="B28" s="73"/>
      <c r="C28" s="73"/>
      <c r="D28" s="176"/>
      <c r="E28" s="201"/>
      <c r="F28" s="199"/>
      <c r="G28" s="238"/>
      <c r="H28" s="224"/>
      <c r="I28" s="154"/>
      <c r="J28" s="201"/>
      <c r="K28" s="199"/>
      <c r="L28" s="157"/>
      <c r="M28" s="154"/>
      <c r="N28" s="201"/>
      <c r="O28" s="199"/>
      <c r="P28" s="223"/>
      <c r="Q28" s="224"/>
      <c r="R28" s="199"/>
      <c r="T28" s="383"/>
      <c r="V28" s="154"/>
      <c r="W28" s="383"/>
      <c r="X28" s="340"/>
      <c r="Y28" s="154"/>
      <c r="Z28" s="154"/>
      <c r="AA28" s="157"/>
      <c r="AB28" s="252"/>
      <c r="AC28" s="207"/>
      <c r="AD28" s="208"/>
      <c r="AH28" s="201"/>
      <c r="AJ28" s="201"/>
      <c r="AK28" s="201"/>
      <c r="AL28" s="201"/>
      <c r="AM28" s="199"/>
      <c r="AN28" s="207"/>
      <c r="AO28" s="208"/>
      <c r="AP28"/>
      <c r="AQ28"/>
      <c r="AR28"/>
      <c r="AS28" s="201"/>
      <c r="AT28" s="201"/>
      <c r="AU28" s="201"/>
      <c r="AV28" s="201"/>
      <c r="AW28" s="201"/>
      <c r="AX28" s="199"/>
      <c r="AY28" s="207"/>
      <c r="AZ28" s="208"/>
      <c r="BA28"/>
      <c r="BB28"/>
      <c r="BC28"/>
      <c r="BD28" s="201"/>
      <c r="BE28" s="201"/>
      <c r="BF28" s="201"/>
      <c r="BG28" s="201"/>
      <c r="BH28" s="201"/>
      <c r="BI28" s="199"/>
      <c r="BJ28" s="207"/>
      <c r="BK28" s="208"/>
      <c r="BL28"/>
      <c r="BM28"/>
      <c r="BN28"/>
      <c r="BO28" s="201"/>
      <c r="BP28" s="201"/>
      <c r="BQ28" s="201"/>
      <c r="BR28" s="201"/>
      <c r="BS28" s="201"/>
      <c r="BT28" s="199"/>
      <c r="BU28" s="207"/>
      <c r="BV28" s="208"/>
      <c r="BW28"/>
      <c r="BX28"/>
      <c r="BY28"/>
      <c r="BZ28" s="201"/>
      <c r="CA28" s="201"/>
      <c r="CB28" s="201"/>
      <c r="CC28" s="201"/>
      <c r="CD28" s="201"/>
    </row>
    <row r="29" spans="1:82">
      <c r="A29" s="89" t="s">
        <v>42</v>
      </c>
      <c r="B29" s="77" t="s">
        <v>21</v>
      </c>
      <c r="C29" s="77">
        <v>3</v>
      </c>
      <c r="D29" s="177">
        <f>'Test Year 2001 Sales and Revs.'!J32</f>
        <v>8709991.7686586846</v>
      </c>
      <c r="E29" s="201">
        <f>surcharge_1*D29</f>
        <v>333321.14173504594</v>
      </c>
      <c r="F29" s="199"/>
      <c r="G29" s="238">
        <f>0.0366</f>
        <v>3.6600000000000001E-2</v>
      </c>
      <c r="H29" s="224">
        <f t="shared" si="1"/>
        <v>318785.69873290788</v>
      </c>
      <c r="I29" s="154">
        <f>H29/$H$127</f>
        <v>1.0141204635368943E-4</v>
      </c>
      <c r="J29" s="201">
        <f>I29*$E$129</f>
        <v>249446.16432698778</v>
      </c>
      <c r="K29" s="199"/>
      <c r="L29" s="381">
        <v>699934.93852941191</v>
      </c>
      <c r="M29" s="154">
        <f>L29/$L$127</f>
        <v>1.0025066639476132E-4</v>
      </c>
      <c r="N29" s="201">
        <f>M29*$E$129</f>
        <v>246589.48421355753</v>
      </c>
      <c r="O29" s="199"/>
      <c r="P29" s="223">
        <f>T_Equal</f>
        <v>3.6258823390606508E-2</v>
      </c>
      <c r="Q29" s="224">
        <f t="shared" si="2"/>
        <v>315814.05327343167</v>
      </c>
      <c r="R29" s="199"/>
      <c r="S29" s="331">
        <f>$D29/($D$29+$D$31+$D$34+$D$36)</f>
        <v>1.2746920022628254E-2</v>
      </c>
      <c r="T29" s="383">
        <v>10214106.559559414</v>
      </c>
      <c r="U29" s="340">
        <f>$S29*T29</f>
        <v>130198.39941730649</v>
      </c>
      <c r="V29" s="154">
        <f>U29/$U$127</f>
        <v>8.0622581022097258E-5</v>
      </c>
      <c r="W29" s="383">
        <v>10208434.467120966</v>
      </c>
      <c r="X29" s="340">
        <f>$S29*W29</f>
        <v>130126.09770863263</v>
      </c>
      <c r="Y29" s="154">
        <f>X29/$X$127</f>
        <v>8.5844170710960071E-5</v>
      </c>
      <c r="Z29" s="154">
        <f>AVERAGE(V29,Y29)</f>
        <v>8.3233375866528664E-5</v>
      </c>
      <c r="AA29" s="157">
        <f>$Z29*'Inputs and Assumptions'!$C$6</f>
        <v>204731.55902485846</v>
      </c>
      <c r="AB29" s="252"/>
      <c r="AC29" s="390">
        <f>CHOOSE(gen_choice,'Generation Calculations'!$O32,'Generation Calculations'!$P32)</f>
        <v>6.7210949312130147E-2</v>
      </c>
      <c r="AD29" s="391">
        <f>EPS</f>
        <v>0.01</v>
      </c>
      <c r="AE29" s="392">
        <f>AG29-SUM(AC29:AD29,AF29)</f>
        <v>2.8659137739809881E-2</v>
      </c>
      <c r="AF29" s="211">
        <f t="shared" ref="AF29:AF54" si="8">AK29/$D29*-1</f>
        <v>5.1319742995016365E-4</v>
      </c>
      <c r="AG29" s="211">
        <f>AL29/$D29</f>
        <v>0.10638328448189019</v>
      </c>
      <c r="AH29" s="201">
        <f>$D29*AE29</f>
        <v>249620.85381059951</v>
      </c>
      <c r="AI29" s="407">
        <f>CHOOSE(gen_choice,'Generation Calculations'!$M32,'Generation Calculations'!$N32)</f>
        <v>585406.81527238968</v>
      </c>
      <c r="AJ29" s="201">
        <f>$D29*AD29</f>
        <v>87099.91768658685</v>
      </c>
      <c r="AK29" s="217">
        <f>CHOOSE(gen_choice,'Generation Calculations'!K32,'Generation Calculations'!L32)</f>
        <v>-4469.945390562717</v>
      </c>
      <c r="AL29" s="201">
        <f>$D29*gen_equal</f>
        <v>926597.53216013871</v>
      </c>
      <c r="AM29" s="199"/>
      <c r="AN29" s="390">
        <f>CHOOSE(gen_choice,'Generation Calculations'!$O32,'Generation Calculations'!$P32)</f>
        <v>6.7210949312130147E-2</v>
      </c>
      <c r="AO29" s="391">
        <f>EPS</f>
        <v>0.01</v>
      </c>
      <c r="AP29" s="392">
        <f>AR29-SUM(AN29:AO29,AQ29)</f>
        <v>1.4323011387882542E-2</v>
      </c>
      <c r="AQ29" s="211">
        <f>AV29/$D29*-1</f>
        <v>5.1319742995016365E-4</v>
      </c>
      <c r="AR29" s="211">
        <f>AW29/$D29</f>
        <v>9.204715812996285E-2</v>
      </c>
      <c r="AS29" s="201">
        <f>$D29*AP29</f>
        <v>124753.31129086154</v>
      </c>
      <c r="AT29" s="216">
        <f>$AI29</f>
        <v>585406.81527238968</v>
      </c>
      <c r="AU29" s="201">
        <f>$D29*AO29</f>
        <v>87099.91768658685</v>
      </c>
      <c r="AV29" s="216">
        <f>$AK29</f>
        <v>-4469.945390562717</v>
      </c>
      <c r="AW29" s="201">
        <f>$I29*'Inputs and Assumptions'!$C$15</f>
        <v>801729.98964040074</v>
      </c>
      <c r="AX29" s="199"/>
      <c r="AY29" s="390">
        <f>CHOOSE(gen_choice,'Generation Calculations'!$O32,'Generation Calculations'!$P32)</f>
        <v>6.7210949312130147E-2</v>
      </c>
      <c r="AZ29" s="391">
        <f>EPS</f>
        <v>0.01</v>
      </c>
      <c r="BA29" s="392">
        <f>BC29-SUM(AY29:AZ29,BB29)</f>
        <v>1.3268878978843199E-2</v>
      </c>
      <c r="BB29" s="211">
        <f>BG29/$D29*-1</f>
        <v>5.1319742995016365E-4</v>
      </c>
      <c r="BC29" s="211">
        <f>BH29/$D29</f>
        <v>9.0993025720923507E-2</v>
      </c>
      <c r="BD29" s="201">
        <f>$D29*BA29</f>
        <v>115571.82668505251</v>
      </c>
      <c r="BE29" s="216">
        <f>$AI29</f>
        <v>585406.81527238968</v>
      </c>
      <c r="BF29" s="201">
        <f>$D29*AZ29</f>
        <v>87099.91768658685</v>
      </c>
      <c r="BG29" s="216">
        <f>$AK29</f>
        <v>-4469.945390562717</v>
      </c>
      <c r="BH29" s="201">
        <f>$M29*'Inputs and Assumptions'!$C$15</f>
        <v>792548.50503459177</v>
      </c>
      <c r="BI29" s="199"/>
      <c r="BJ29" s="390">
        <f>CHOOSE(gen_choice,'Generation Calculations'!$O32,'Generation Calculations'!$P32)</f>
        <v>6.7210949312130147E-2</v>
      </c>
      <c r="BK29" s="391">
        <f>EPS</f>
        <v>0.01</v>
      </c>
      <c r="BL29" s="392">
        <f>BN29-SUM(BJ29:BK29,BM29)</f>
        <v>1.596164189802303E-2</v>
      </c>
      <c r="BM29" s="211">
        <f>BR29/$D29*-1</f>
        <v>5.1319742995016365E-4</v>
      </c>
      <c r="BN29" s="211">
        <f>BS29/$D29</f>
        <v>9.3685788640103337E-2</v>
      </c>
      <c r="BO29" s="201">
        <f>$D29*BL29</f>
        <v>139025.76954605817</v>
      </c>
      <c r="BP29" s="216">
        <f>$AI29</f>
        <v>585406.81527238968</v>
      </c>
      <c r="BQ29" s="201">
        <f>$D29*BK29</f>
        <v>87099.91768658685</v>
      </c>
      <c r="BR29" s="216">
        <f>$AK29</f>
        <v>-4469.945390562717</v>
      </c>
      <c r="BS29" s="201">
        <f>D29*T_equal_gen</f>
        <v>816002.44789559732</v>
      </c>
      <c r="BT29" s="199"/>
      <c r="BU29" s="390">
        <f>CHOOSE(gen_choice,'Generation Calculations'!$O32,'Generation Calculations'!$P32)</f>
        <v>6.7210949312130147E-2</v>
      </c>
      <c r="BV29" s="391">
        <f>EPS</f>
        <v>0.01</v>
      </c>
      <c r="BW29" s="392">
        <f>BY29-SUM(BU29:BV29,BX29)</f>
        <v>-2.1769510632084488E-3</v>
      </c>
      <c r="BX29" s="211">
        <f>CC29/$D29*-1</f>
        <v>5.1319742995016365E-4</v>
      </c>
      <c r="BY29" s="211">
        <f>CD29/$D29</f>
        <v>7.5547195678871859E-2</v>
      </c>
      <c r="BZ29" s="201">
        <f>$D29*BW29</f>
        <v>-18961.225841318359</v>
      </c>
      <c r="CA29" s="216">
        <f>$AI29</f>
        <v>585406.81527238968</v>
      </c>
      <c r="CB29" s="201">
        <f>$D29*BV29</f>
        <v>87099.91768658685</v>
      </c>
      <c r="CC29" s="216">
        <f>$AK29</f>
        <v>-4469.945390562717</v>
      </c>
      <c r="CD29" s="201">
        <f>$Z29*'Inputs and Assumptions'!$C$15</f>
        <v>658015.4525082208</v>
      </c>
    </row>
    <row r="30" spans="1:82">
      <c r="A30" s="89" t="s">
        <v>43</v>
      </c>
      <c r="B30" s="77" t="s">
        <v>21</v>
      </c>
      <c r="C30" s="77">
        <v>3</v>
      </c>
      <c r="D30" s="177">
        <f>'Test Year 2001 Sales and Revs.'!J33</f>
        <v>2138278.4139577989</v>
      </c>
      <c r="E30" s="201">
        <f>surcharge_1*D30</f>
        <v>81829.400212805922</v>
      </c>
      <c r="F30" s="199"/>
      <c r="G30" s="238">
        <v>3.5979999999999998E-2</v>
      </c>
      <c r="H30" s="224">
        <f t="shared" si="1"/>
        <v>76935.257334201597</v>
      </c>
      <c r="I30" s="154">
        <f>H30/$H$127</f>
        <v>2.4474629552143296E-5</v>
      </c>
      <c r="J30" s="201">
        <f>I30*$E$129</f>
        <v>60200.95920176628</v>
      </c>
      <c r="K30" s="199"/>
      <c r="L30" s="381">
        <v>171618.22550425294</v>
      </c>
      <c r="M30" s="154">
        <f>L30/$L$127</f>
        <v>2.4580629605997043E-5</v>
      </c>
      <c r="N30" s="201">
        <f>M30*$E$129</f>
        <v>60461.690621779766</v>
      </c>
      <c r="O30" s="199"/>
      <c r="P30" s="223">
        <f>T_Equal</f>
        <v>3.6258823390606508E-2</v>
      </c>
      <c r="Q30" s="224">
        <f t="shared" si="2"/>
        <v>77531.45937164202</v>
      </c>
      <c r="R30" s="199"/>
      <c r="S30" s="331">
        <f>$D30/($D$30+$D$35+$D$40)</f>
        <v>3.8829559276617315E-4</v>
      </c>
      <c r="T30" s="383">
        <v>87095960.443012074</v>
      </c>
      <c r="U30" s="340">
        <f>$S30*T30</f>
        <v>33818.977587758542</v>
      </c>
      <c r="V30" s="154">
        <f>U30/$U$127</f>
        <v>2.0941680334444476E-5</v>
      </c>
      <c r="W30" s="383">
        <v>83009492.289334282</v>
      </c>
      <c r="X30" s="340">
        <f>$S30*W30</f>
        <v>32232.220013706134</v>
      </c>
      <c r="Y30" s="154">
        <f>X30/$X$127</f>
        <v>2.1263591592866555E-5</v>
      </c>
      <c r="Z30" s="154">
        <f>AVERAGE(V30,Y30)</f>
        <v>2.1102635963655516E-5</v>
      </c>
      <c r="AA30" s="157">
        <f>$Z30*'Inputs and Assumptions'!$C$6</f>
        <v>51906.768353374318</v>
      </c>
      <c r="AB30" s="252"/>
      <c r="AC30" s="390">
        <f>CHOOSE(gen_choice,'Generation Calculations'!$O33,'Generation Calculations'!$P33)</f>
        <v>6.5728314603660978E-2</v>
      </c>
      <c r="AD30" s="391">
        <f>EPS</f>
        <v>0.01</v>
      </c>
      <c r="AE30" s="392">
        <f>AG30-SUM(AC30:AD30,AF30)</f>
        <v>2.9967068779208975E-2</v>
      </c>
      <c r="AF30" s="211">
        <f t="shared" si="8"/>
        <v>6.879010990202372E-4</v>
      </c>
      <c r="AG30" s="211">
        <f>AL30/$D30</f>
        <v>0.10638328448189019</v>
      </c>
      <c r="AH30" s="201">
        <f>$D30*AE30</f>
        <v>64077.936300171241</v>
      </c>
      <c r="AI30" s="407">
        <f>CHOOSE(gen_choice,'Generation Calculations'!$M33,'Generation Calculations'!$N33)</f>
        <v>140545.43630283541</v>
      </c>
      <c r="AJ30" s="201">
        <f>$D30*AD30</f>
        <v>21382.784139577991</v>
      </c>
      <c r="AK30" s="217">
        <f>CHOOSE(gen_choice,'Generation Calculations'!K33,'Generation Calculations'!L33)</f>
        <v>-1470.9240709728194</v>
      </c>
      <c r="AL30" s="201">
        <f>$D30*gen_equal</f>
        <v>227477.08081355746</v>
      </c>
      <c r="AM30" s="199"/>
      <c r="AN30" s="390">
        <f>CHOOSE(gen_choice,'Generation Calculations'!$O33,'Generation Calculations'!$P33)</f>
        <v>6.5728314603660978E-2</v>
      </c>
      <c r="AO30" s="391">
        <f>EPS</f>
        <v>0.01</v>
      </c>
      <c r="AP30" s="392">
        <f>AR30-SUM(AN30:AO30,AQ30)</f>
        <v>1.4071673628358775E-2</v>
      </c>
      <c r="AQ30" s="211">
        <f>AV30/$D30*-1</f>
        <v>6.879010990202372E-4</v>
      </c>
      <c r="AR30" s="211">
        <f>AW30/$D30</f>
        <v>9.0487889331039989E-2</v>
      </c>
      <c r="AS30" s="201">
        <f>$D30*AP30</f>
        <v>30089.155967778785</v>
      </c>
      <c r="AT30" s="216">
        <f>$AI30</f>
        <v>140545.43630283541</v>
      </c>
      <c r="AU30" s="201">
        <f>$D30*AO30</f>
        <v>21382.784139577991</v>
      </c>
      <c r="AV30" s="216">
        <f>$AK30</f>
        <v>-1470.9240709728194</v>
      </c>
      <c r="AW30" s="201">
        <f>$I30*'Inputs and Assumptions'!$C$15</f>
        <v>193488.300481165</v>
      </c>
      <c r="AX30" s="199"/>
      <c r="AY30" s="390">
        <f>CHOOSE(gen_choice,'Generation Calculations'!$O33,'Generation Calculations'!$P33)</f>
        <v>6.5728314603660978E-2</v>
      </c>
      <c r="AZ30" s="391">
        <f>EPS</f>
        <v>0.01</v>
      </c>
      <c r="BA30" s="392">
        <f>BC30-SUM(AY30:AZ30,BB30)</f>
        <v>1.4463578278918102E-2</v>
      </c>
      <c r="BB30" s="211">
        <f>BG30/$D30*-1</f>
        <v>6.879010990202372E-4</v>
      </c>
      <c r="BC30" s="211">
        <f>BH30/$D30</f>
        <v>9.0879793981599316E-2</v>
      </c>
      <c r="BD30" s="201">
        <f>$D30*BA30</f>
        <v>30927.15722239947</v>
      </c>
      <c r="BE30" s="216">
        <f>$AI30</f>
        <v>140545.43630283541</v>
      </c>
      <c r="BF30" s="201">
        <f>$D30*AZ30</f>
        <v>21382.784139577991</v>
      </c>
      <c r="BG30" s="216">
        <f>$AK30</f>
        <v>-1470.9240709728194</v>
      </c>
      <c r="BH30" s="201">
        <f>$M30*'Inputs and Assumptions'!$C$15</f>
        <v>194326.3017357857</v>
      </c>
      <c r="BI30" s="199"/>
      <c r="BJ30" s="390">
        <f>CHOOSE(gen_choice,'Generation Calculations'!$O33,'Generation Calculations'!$P33)</f>
        <v>6.5728314603660978E-2</v>
      </c>
      <c r="BK30" s="391">
        <f>EPS</f>
        <v>0.01</v>
      </c>
      <c r="BL30" s="392">
        <f>BN30-SUM(BJ30:BK30,BM30)</f>
        <v>1.7269572937422123E-2</v>
      </c>
      <c r="BM30" s="211">
        <f>BR30/$D30*-1</f>
        <v>6.879010990202372E-4</v>
      </c>
      <c r="BN30" s="211">
        <f>BS30/$D30</f>
        <v>9.3685788640103337E-2</v>
      </c>
      <c r="BO30" s="201">
        <f>$D30*BL30</f>
        <v>36927.1550303595</v>
      </c>
      <c r="BP30" s="216">
        <f>$AI30</f>
        <v>140545.43630283541</v>
      </c>
      <c r="BQ30" s="201">
        <f>$D30*BK30</f>
        <v>21382.784139577991</v>
      </c>
      <c r="BR30" s="216">
        <f>$AK30</f>
        <v>-1470.9240709728194</v>
      </c>
      <c r="BS30" s="201">
        <f>D30*T_equal_gen</f>
        <v>200326.29954374573</v>
      </c>
      <c r="BT30" s="199"/>
      <c r="BU30" s="390">
        <f>CHOOSE(gen_choice,'Generation Calculations'!$O33,'Generation Calculations'!$P33)</f>
        <v>6.5728314603660978E-2</v>
      </c>
      <c r="BV30" s="391">
        <f>EPS</f>
        <v>0.01</v>
      </c>
      <c r="BW30" s="392">
        <f>BY30-SUM(BU30:BV30,BX30)</f>
        <v>1.6046991227798568E-3</v>
      </c>
      <c r="BX30" s="211">
        <f>CC30/$D30*-1</f>
        <v>6.879010990202372E-4</v>
      </c>
      <c r="BY30" s="211">
        <f>CD30/$D30</f>
        <v>7.8020914825461071E-2</v>
      </c>
      <c r="BZ30" s="201">
        <f>$D30*BW30</f>
        <v>3431.2934951371835</v>
      </c>
      <c r="CA30" s="216">
        <f>$AI30</f>
        <v>140545.43630283541</v>
      </c>
      <c r="CB30" s="201">
        <f>$D30*BV30</f>
        <v>21382.784139577991</v>
      </c>
      <c r="CC30" s="216">
        <f>$AK30</f>
        <v>-1470.9240709728194</v>
      </c>
      <c r="CD30" s="201">
        <f>$Z30*'Inputs and Assumptions'!$C$15</f>
        <v>166830.4380085234</v>
      </c>
    </row>
    <row r="31" spans="1:82">
      <c r="A31" s="89" t="s">
        <v>44</v>
      </c>
      <c r="B31" s="77" t="s">
        <v>21</v>
      </c>
      <c r="C31" s="77">
        <v>3</v>
      </c>
      <c r="D31" s="177">
        <v>0</v>
      </c>
      <c r="E31" s="202"/>
      <c r="F31" s="200"/>
      <c r="G31" s="243">
        <f>G29</f>
        <v>3.6600000000000001E-2</v>
      </c>
      <c r="H31" s="225">
        <f t="shared" si="1"/>
        <v>0</v>
      </c>
      <c r="I31" s="198">
        <f>H31/$H$127</f>
        <v>0</v>
      </c>
      <c r="J31" s="202">
        <f>I31*$E$129</f>
        <v>0</v>
      </c>
      <c r="K31" s="200"/>
      <c r="L31" s="382">
        <v>0</v>
      </c>
      <c r="M31" s="198">
        <f>L31/$L$127</f>
        <v>0</v>
      </c>
      <c r="N31" s="202">
        <f>M31*$E$129</f>
        <v>0</v>
      </c>
      <c r="O31" s="200"/>
      <c r="P31" s="223">
        <f>T_Equal</f>
        <v>3.6258823390606508E-2</v>
      </c>
      <c r="Q31" s="225">
        <f t="shared" si="2"/>
        <v>0</v>
      </c>
      <c r="R31" s="200"/>
      <c r="S31" s="331">
        <f>$D31/($D$29+$D$31+$D$34+$D$36)</f>
        <v>0</v>
      </c>
      <c r="T31" s="383">
        <v>10214106.559559414</v>
      </c>
      <c r="U31" s="343">
        <f>$S31*T31</f>
        <v>0</v>
      </c>
      <c r="V31" s="198">
        <f>U31/$U$127</f>
        <v>0</v>
      </c>
      <c r="W31" s="383">
        <v>10208434.467120966</v>
      </c>
      <c r="X31" s="343">
        <f>$S31*W31</f>
        <v>0</v>
      </c>
      <c r="Y31" s="198">
        <f>X31/$X$127</f>
        <v>0</v>
      </c>
      <c r="Z31" s="198">
        <f>AVERAGE(V31,Y31)</f>
        <v>0</v>
      </c>
      <c r="AA31" s="245">
        <f>$Z31*'Inputs and Assumptions'!$C$6</f>
        <v>0</v>
      </c>
      <c r="AB31" s="253"/>
      <c r="AC31" s="213"/>
      <c r="AD31" s="292">
        <f>EPS</f>
        <v>0.01</v>
      </c>
      <c r="AE31" s="211"/>
      <c r="AF31" s="211"/>
      <c r="AG31" s="211"/>
      <c r="AH31" s="202"/>
      <c r="AI31" s="202"/>
      <c r="AJ31" s="202">
        <f>$D31*AD31</f>
        <v>0</v>
      </c>
      <c r="AK31" s="284">
        <f>CHOOSE(gen_choice,'Generation Calculations'!K34,'Generation Calculations'!L34)</f>
        <v>0</v>
      </c>
      <c r="AL31" s="202">
        <f>$D31*gen_equal</f>
        <v>0</v>
      </c>
      <c r="AM31" s="200"/>
      <c r="AN31" s="213"/>
      <c r="AO31" s="292">
        <f>EPS</f>
        <v>0.01</v>
      </c>
      <c r="AP31" s="211"/>
      <c r="AQ31" s="211"/>
      <c r="AR31" s="211"/>
      <c r="AS31" s="202"/>
      <c r="AT31" s="202"/>
      <c r="AU31" s="202">
        <f>$D31*AO31</f>
        <v>0</v>
      </c>
      <c r="AV31" s="202"/>
      <c r="AW31" s="202">
        <f>$D31*gen_equal</f>
        <v>0</v>
      </c>
      <c r="AX31" s="200"/>
      <c r="AY31" s="213"/>
      <c r="AZ31" s="292">
        <f>EPS</f>
        <v>0.01</v>
      </c>
      <c r="BA31" s="211"/>
      <c r="BB31" s="211"/>
      <c r="BC31" s="211"/>
      <c r="BD31" s="202"/>
      <c r="BE31" s="202"/>
      <c r="BF31" s="202">
        <f>$D31*AZ31</f>
        <v>0</v>
      </c>
      <c r="BG31" s="202"/>
      <c r="BH31" s="202">
        <f>$D31*gen_equal</f>
        <v>0</v>
      </c>
      <c r="BI31" s="200"/>
      <c r="BJ31" s="213"/>
      <c r="BK31" s="292">
        <f>EPS</f>
        <v>0.01</v>
      </c>
      <c r="BL31" s="211"/>
      <c r="BM31" s="211"/>
      <c r="BN31" s="211"/>
      <c r="BO31" s="202"/>
      <c r="BP31" s="202"/>
      <c r="BQ31" s="202">
        <f>$D31*BK31</f>
        <v>0</v>
      </c>
      <c r="BR31" s="202"/>
      <c r="BS31" s="202">
        <f>D31*s_equal_gen</f>
        <v>0</v>
      </c>
      <c r="BT31" s="200"/>
      <c r="BU31" s="213"/>
      <c r="BV31" s="292">
        <f>EPS</f>
        <v>0.01</v>
      </c>
      <c r="BW31" s="211"/>
      <c r="BX31" s="211"/>
      <c r="BY31" s="211"/>
      <c r="BZ31" s="202"/>
      <c r="CA31" s="202"/>
      <c r="CB31" s="202">
        <f>$D31*BV31</f>
        <v>0</v>
      </c>
      <c r="CC31" s="202"/>
      <c r="CD31" s="202">
        <f>$D31*gen_equal</f>
        <v>0</v>
      </c>
    </row>
    <row r="32" spans="1:82">
      <c r="A32" s="105" t="s">
        <v>45</v>
      </c>
      <c r="B32" s="189" t="s">
        <v>21</v>
      </c>
      <c r="C32" s="189"/>
      <c r="D32" s="176">
        <f>SUM(D29:D31)</f>
        <v>10848270.182616483</v>
      </c>
      <c r="E32" s="201">
        <f>SUM(E29:E31)</f>
        <v>415150.54194785189</v>
      </c>
      <c r="F32" s="199"/>
      <c r="G32" s="238"/>
      <c r="H32" s="224">
        <f>SUM(H29:H31)</f>
        <v>395720.95606710948</v>
      </c>
      <c r="I32" s="154">
        <f>SUM(I29:I31)</f>
        <v>1.2588667590583273E-4</v>
      </c>
      <c r="J32" s="201">
        <f>SUM(J29:J31)</f>
        <v>309647.12352875405</v>
      </c>
      <c r="K32" s="199"/>
      <c r="L32" s="157">
        <f>SUM(L29:L31)</f>
        <v>871553.16403366486</v>
      </c>
      <c r="M32" s="154">
        <f>SUM(M29:M31)</f>
        <v>1.2483129600075835E-4</v>
      </c>
      <c r="N32" s="201">
        <f>SUM(N29:N31)</f>
        <v>307051.17483533733</v>
      </c>
      <c r="O32" s="199"/>
      <c r="P32" s="223"/>
      <c r="Q32" s="224">
        <f>SUM(Q29:Q31)</f>
        <v>393345.5126450737</v>
      </c>
      <c r="R32" s="199"/>
      <c r="T32" s="383"/>
      <c r="U32" s="340">
        <f>SUM(U29:U31)</f>
        <v>164017.37700506503</v>
      </c>
      <c r="V32" s="154">
        <f>SUM(V29:V31)</f>
        <v>1.0156426135654173E-4</v>
      </c>
      <c r="W32" s="383"/>
      <c r="X32" s="340">
        <f>SUM(X29:X31)</f>
        <v>162358.31772233878</v>
      </c>
      <c r="Y32" s="154">
        <f>SUM(Y29:Y31)</f>
        <v>1.0710776230382662E-4</v>
      </c>
      <c r="Z32" s="154">
        <f>AVERAGE(V32,Y32)</f>
        <v>1.0433601183018417E-4</v>
      </c>
      <c r="AA32" s="157">
        <f>SUM(AA29:AA31)</f>
        <v>256638.32737823279</v>
      </c>
      <c r="AB32" s="252"/>
      <c r="AC32" s="208">
        <f>CHOOSE(gen_choice,'Generation Calculations'!$O35,'Generation Calculations'!$P35)</f>
        <v>6.6918710481465291E-2</v>
      </c>
      <c r="AD32" s="291">
        <f>EPS</f>
        <v>0.01</v>
      </c>
      <c r="AE32" s="211">
        <f>AH32/$D32</f>
        <v>2.8916941118727744E-2</v>
      </c>
      <c r="AF32" s="211">
        <f t="shared" si="8"/>
        <v>5.4763288169715034E-4</v>
      </c>
      <c r="AG32" s="211">
        <f>AL32/$D32</f>
        <v>0.10638328448189018</v>
      </c>
      <c r="AH32" s="201">
        <f>AL32+AK32-SUM(AI32:AJ32)</f>
        <v>313698.79011077073</v>
      </c>
      <c r="AI32" s="201">
        <f>SUM(AI29:AI31)</f>
        <v>725952.25157522503</v>
      </c>
      <c r="AJ32" s="201">
        <f>SUM(AJ29:AJ31)</f>
        <v>108482.70182616485</v>
      </c>
      <c r="AK32" s="201">
        <f>SUM(AK29:AK31)</f>
        <v>-5940.8694615355362</v>
      </c>
      <c r="AL32" s="201">
        <f>SUM(AL29:AL31)</f>
        <v>1154074.6129736961</v>
      </c>
      <c r="AM32" s="199"/>
      <c r="AN32" s="208">
        <f>CHOOSE(gen_choice,'Generation Calculations'!$O35,'Generation Calculations'!$P35)</f>
        <v>6.6918710481465291E-2</v>
      </c>
      <c r="AO32" s="291">
        <f>EPS</f>
        <v>0.01</v>
      </c>
      <c r="AP32" s="211">
        <f>AS32/$D32</f>
        <v>1.427347076096643E-2</v>
      </c>
      <c r="AQ32" s="211">
        <f>AV32/$D32*-1</f>
        <v>5.4763288169715034E-4</v>
      </c>
      <c r="AR32" s="211">
        <f>AW32/$D32</f>
        <v>9.1739814124128877E-2</v>
      </c>
      <c r="AS32" s="201">
        <f>SUM(AS29:AS31)</f>
        <v>154842.46725864033</v>
      </c>
      <c r="AT32" s="201">
        <f>SUM(AT29:AT31)</f>
        <v>725952.25157522503</v>
      </c>
      <c r="AU32" s="201">
        <f>SUM(AU29:AU31)</f>
        <v>108482.70182616485</v>
      </c>
      <c r="AV32" s="201">
        <f>SUM(AV29:AV31)</f>
        <v>-5940.8694615355362</v>
      </c>
      <c r="AW32" s="201">
        <f>SUM(AW29:AW31)</f>
        <v>995218.29012156581</v>
      </c>
      <c r="AX32" s="199"/>
      <c r="AY32" s="208">
        <f>CHOOSE(gen_choice,'Generation Calculations'!$O35,'Generation Calculations'!$P35)</f>
        <v>6.6918710481465291E-2</v>
      </c>
      <c r="AZ32" s="291">
        <f>EPS</f>
        <v>0.01</v>
      </c>
      <c r="BA32" s="211">
        <f>BD32/$D32</f>
        <v>1.3504363501400002E-2</v>
      </c>
      <c r="BB32" s="211">
        <f>BG32/$D32*-1</f>
        <v>5.4763288169715034E-4</v>
      </c>
      <c r="BC32" s="211">
        <f>BH32/$D32</f>
        <v>9.0970706864562448E-2</v>
      </c>
      <c r="BD32" s="201">
        <f>SUM(BD29:BD31)</f>
        <v>146498.98390745197</v>
      </c>
      <c r="BE32" s="201">
        <f>SUM(BE29:BE31)</f>
        <v>725952.25157522503</v>
      </c>
      <c r="BF32" s="201">
        <f>SUM(BF29:BF31)</f>
        <v>108482.70182616485</v>
      </c>
      <c r="BG32" s="201">
        <f>SUM(BG29:BG31)</f>
        <v>-5940.8694615355362</v>
      </c>
      <c r="BH32" s="201">
        <f>SUM(BH29:BH31)</f>
        <v>986874.80677037744</v>
      </c>
      <c r="BI32" s="199"/>
      <c r="BJ32" s="208">
        <f>CHOOSE(gen_choice,'Generation Calculations'!$O35,'Generation Calculations'!$P35)</f>
        <v>6.6918710481465291E-2</v>
      </c>
      <c r="BK32" s="291">
        <f>EPS</f>
        <v>0.01</v>
      </c>
      <c r="BL32" s="211">
        <f>BO32/$D32</f>
        <v>1.6219445276940896E-2</v>
      </c>
      <c r="BM32" s="211">
        <f>BR32/$D32*-1</f>
        <v>5.4763288169715034E-4</v>
      </c>
      <c r="BN32" s="211">
        <f>BS32/$D32</f>
        <v>9.3685788640103324E-2</v>
      </c>
      <c r="BO32" s="201">
        <f>SUM(BO29:BO31)</f>
        <v>175952.92457641766</v>
      </c>
      <c r="BP32" s="201">
        <f>SUM(BP29:BP31)</f>
        <v>725952.25157522503</v>
      </c>
      <c r="BQ32" s="201">
        <f>SUM(BQ29:BQ31)</f>
        <v>108482.70182616485</v>
      </c>
      <c r="BR32" s="201">
        <f>SUM(BR29:BR31)</f>
        <v>-5940.8694615355362</v>
      </c>
      <c r="BS32" s="201">
        <f>SUM(BS29:BS31)</f>
        <v>1016328.747439343</v>
      </c>
      <c r="BT32" s="199"/>
      <c r="BU32" s="208">
        <f>CHOOSE(gen_choice,'Generation Calculations'!$O35,'Generation Calculations'!$P35)</f>
        <v>6.6918710481465291E-2</v>
      </c>
      <c r="BV32" s="291">
        <f>EPS</f>
        <v>0.01</v>
      </c>
      <c r="BW32" s="211">
        <f>BZ32/$D32</f>
        <v>-1.4315584037597714E-3</v>
      </c>
      <c r="BX32" s="211">
        <f>CC32/$D32*-1</f>
        <v>5.4763288169715034E-4</v>
      </c>
      <c r="BY32" s="211">
        <f>CD32/$D32</f>
        <v>7.6034784959402663E-2</v>
      </c>
      <c r="BZ32" s="201">
        <f>SUM(BZ29:BZ31)</f>
        <v>-15529.932346181176</v>
      </c>
      <c r="CA32" s="201">
        <f>SUM(CA29:CA31)</f>
        <v>725952.25157522503</v>
      </c>
      <c r="CB32" s="201">
        <f>SUM(CB29:CB31)</f>
        <v>108482.70182616485</v>
      </c>
      <c r="CC32" s="201">
        <f>SUM(CC29:CC31)</f>
        <v>-5940.8694615355362</v>
      </c>
      <c r="CD32" s="201">
        <f>SUM(CD29:CD31)</f>
        <v>824845.89051674423</v>
      </c>
    </row>
    <row r="33" spans="1:82">
      <c r="A33" s="94"/>
      <c r="B33" s="73"/>
      <c r="C33" s="73"/>
      <c r="D33" s="176"/>
      <c r="E33" s="201"/>
      <c r="F33" s="199"/>
      <c r="G33" s="238"/>
      <c r="H33" s="224"/>
      <c r="I33" s="154"/>
      <c r="J33" s="201"/>
      <c r="K33" s="199"/>
      <c r="L33" s="157"/>
      <c r="M33" s="154"/>
      <c r="N33" s="201"/>
      <c r="O33" s="199"/>
      <c r="P33" s="223"/>
      <c r="Q33" s="224"/>
      <c r="R33" s="199"/>
      <c r="T33" s="383"/>
      <c r="V33" s="154"/>
      <c r="W33" s="383"/>
      <c r="X33" s="340"/>
      <c r="Y33" s="154"/>
      <c r="Z33" s="154"/>
      <c r="AA33" s="157"/>
      <c r="AB33" s="252"/>
      <c r="AC33" s="207"/>
      <c r="AD33" s="208"/>
      <c r="AH33" s="201"/>
      <c r="AJ33" s="201"/>
      <c r="AK33" s="201"/>
      <c r="AL33" s="201"/>
      <c r="AM33" s="199"/>
      <c r="AN33" s="207"/>
      <c r="AO33" s="208"/>
      <c r="AP33"/>
      <c r="AQ33"/>
      <c r="AR33"/>
      <c r="AS33" s="201"/>
      <c r="AT33" s="201"/>
      <c r="AU33" s="201"/>
      <c r="AV33" s="201"/>
      <c r="AW33" s="201"/>
      <c r="AX33" s="199"/>
      <c r="AY33" s="207"/>
      <c r="AZ33" s="208"/>
      <c r="BA33"/>
      <c r="BB33"/>
      <c r="BC33"/>
      <c r="BD33" s="201"/>
      <c r="BE33" s="201"/>
      <c r="BF33" s="201"/>
      <c r="BG33" s="201"/>
      <c r="BH33" s="201"/>
      <c r="BI33" s="199"/>
      <c r="BJ33" s="207"/>
      <c r="BK33" s="208"/>
      <c r="BL33"/>
      <c r="BM33"/>
      <c r="BN33"/>
      <c r="BO33" s="201"/>
      <c r="BP33" s="201"/>
      <c r="BQ33" s="201"/>
      <c r="BR33" s="201"/>
      <c r="BS33" s="201"/>
      <c r="BT33" s="199"/>
      <c r="BU33" s="207"/>
      <c r="BV33" s="208"/>
      <c r="BW33"/>
      <c r="BX33"/>
      <c r="BY33"/>
      <c r="BZ33" s="201"/>
      <c r="CA33" s="201"/>
      <c r="CB33" s="201"/>
      <c r="CC33" s="201"/>
      <c r="CD33" s="201"/>
    </row>
    <row r="34" spans="1:82">
      <c r="A34" s="89" t="s">
        <v>42</v>
      </c>
      <c r="B34" s="77" t="s">
        <v>27</v>
      </c>
      <c r="C34" s="77">
        <v>2</v>
      </c>
      <c r="D34" s="177">
        <f>'Test Year 2001 Sales and Revs.'!J37</f>
        <v>632005210.98755002</v>
      </c>
      <c r="E34" s="201">
        <f>surcharge_1*D34</f>
        <v>24186096.164509919</v>
      </c>
      <c r="F34" s="199"/>
      <c r="G34" s="238">
        <f>0.03736</f>
        <v>3.7359999999999997E-2</v>
      </c>
      <c r="H34" s="224">
        <f t="shared" si="1"/>
        <v>23611714.682494868</v>
      </c>
      <c r="I34" s="154">
        <f>H34/$H$127</f>
        <v>7.5113542213117975E-3</v>
      </c>
      <c r="J34" s="201">
        <f>I34*$E$129</f>
        <v>18475896.767459229</v>
      </c>
      <c r="K34" s="199"/>
      <c r="L34" s="381">
        <v>51900267.926297605</v>
      </c>
      <c r="M34" s="154">
        <f>L34/$L$127</f>
        <v>7.4336001237625829E-3</v>
      </c>
      <c r="N34" s="201">
        <f>M34*$E$129</f>
        <v>18284642.748910844</v>
      </c>
      <c r="O34" s="199"/>
      <c r="P34" s="223">
        <f>P_Equal</f>
        <v>3.7680738033375391E-2</v>
      </c>
      <c r="Q34" s="224">
        <f t="shared" si="2"/>
        <v>23814422.790950015</v>
      </c>
      <c r="R34" s="199"/>
      <c r="S34" s="331">
        <f>$D34/($D$29+$D$31+$D$34+$D$36)</f>
        <v>0.92492852947703941</v>
      </c>
      <c r="T34" s="383">
        <v>10214106.559559414</v>
      </c>
      <c r="U34" s="340">
        <f>$S34*T34</f>
        <v>9447318.5600550715</v>
      </c>
      <c r="V34" s="154">
        <f>U34/$U$127</f>
        <v>5.850050457289719E-3</v>
      </c>
      <c r="W34" s="383">
        <v>10208434.467120966</v>
      </c>
      <c r="X34" s="340">
        <f>$S34*W34</f>
        <v>9442072.279936919</v>
      </c>
      <c r="Y34" s="154">
        <f>X34/$X$127</f>
        <v>6.2289339259142072E-3</v>
      </c>
      <c r="Z34" s="154">
        <f>AVERAGE(V34,Y34)</f>
        <v>6.0394921916019631E-3</v>
      </c>
      <c r="AA34" s="157">
        <f>$Z34*'Inputs and Assumptions'!$C$6</f>
        <v>14855514.860864401</v>
      </c>
      <c r="AB34" s="252"/>
      <c r="AC34" s="390">
        <f>CHOOSE(gen_choice,'Generation Calculations'!$O37,'Generation Calculations'!$P37)</f>
        <v>5.6372601803200917E-2</v>
      </c>
      <c r="AD34" s="391">
        <f>EPS</f>
        <v>0.01</v>
      </c>
      <c r="AE34" s="392">
        <f>AG34-SUM(AC34:AD34,AF34)</f>
        <v>3.9928065873154922E-2</v>
      </c>
      <c r="AF34" s="392">
        <f t="shared" si="8"/>
        <v>8.2616805534350916E-5</v>
      </c>
      <c r="AG34" s="211">
        <f>AL34/$D34</f>
        <v>0.10638328448189019</v>
      </c>
      <c r="AH34" s="201">
        <f>$D34*AE34</f>
        <v>25234745.696488071</v>
      </c>
      <c r="AI34" s="407">
        <f>CHOOSE(gen_choice,'Generation Calculations'!$M37,'Generation Calculations'!$N37)</f>
        <v>35627778.096549138</v>
      </c>
      <c r="AJ34" s="201">
        <f>$D34*AD34</f>
        <v>6320052.1098755002</v>
      </c>
      <c r="AK34" s="217">
        <f>CHOOSE(gen_choice,'Generation Calculations'!K37,'Generation Calculations'!L37)</f>
        <v>-52214.251612854845</v>
      </c>
      <c r="AL34" s="201">
        <f>$D34*gen_equal</f>
        <v>67234790.154525563</v>
      </c>
      <c r="AM34" s="199"/>
      <c r="AN34" s="390">
        <f>CHOOSE(gen_choice,'Generation Calculations'!$O37,'Generation Calculations'!$P37)</f>
        <v>5.6372601803200917E-2</v>
      </c>
      <c r="AO34" s="391">
        <f>EPS</f>
        <v>0.01</v>
      </c>
      <c r="AP34" s="392">
        <f>AR34-SUM(AN34:AO34,AQ34)</f>
        <v>2.7503301274745928E-2</v>
      </c>
      <c r="AQ34" s="392">
        <f>AV34/$D34*-1</f>
        <v>8.2616805534350916E-5</v>
      </c>
      <c r="AR34" s="211">
        <f>AW34/$D34</f>
        <v>9.3958519883481195E-2</v>
      </c>
      <c r="AS34" s="201">
        <f>$D34*AP34</f>
        <v>17382229.724999953</v>
      </c>
      <c r="AT34" s="201">
        <f>$AI34</f>
        <v>35627778.096549138</v>
      </c>
      <c r="AU34" s="201">
        <f>$D34*AO34</f>
        <v>6320052.1098755002</v>
      </c>
      <c r="AV34" s="201">
        <f>$AK34</f>
        <v>-52214.251612854845</v>
      </c>
      <c r="AW34" s="201">
        <f>$I34*'Inputs and Assumptions'!$C$15</f>
        <v>59382274.183037445</v>
      </c>
      <c r="AX34" s="199"/>
      <c r="AY34" s="390">
        <f>CHOOSE(gen_choice,'Generation Calculations'!$O37,'Generation Calculations'!$P37)</f>
        <v>5.6372601803200917E-2</v>
      </c>
      <c r="AZ34" s="391">
        <f>EPS</f>
        <v>0.01</v>
      </c>
      <c r="BA34" s="392">
        <f>BC34-SUM(AY34:AZ34,BB34)</f>
        <v>2.6530685724294081E-2</v>
      </c>
      <c r="BB34" s="392">
        <f>BG34/$D34*-1</f>
        <v>8.2616805534350916E-5</v>
      </c>
      <c r="BC34" s="211">
        <f>BH34/$D34</f>
        <v>9.2985904333029348E-2</v>
      </c>
      <c r="BD34" s="201">
        <f>$D34*BA34</f>
        <v>16767531.628826862</v>
      </c>
      <c r="BE34" s="201">
        <f>$AI34</f>
        <v>35627778.096549138</v>
      </c>
      <c r="BF34" s="201">
        <f>$D34*AZ34</f>
        <v>6320052.1098755002</v>
      </c>
      <c r="BG34" s="201">
        <f>$AK34</f>
        <v>-52214.251612854845</v>
      </c>
      <c r="BH34" s="201">
        <f>$M34*'Inputs and Assumptions'!$C$15</f>
        <v>58767576.086864352</v>
      </c>
      <c r="BI34" s="199"/>
      <c r="BJ34" s="390">
        <f>CHOOSE(gen_choice,'Generation Calculations'!$O37,'Generation Calculations'!$P37)</f>
        <v>5.6372601803200917E-2</v>
      </c>
      <c r="BK34" s="391">
        <f>EPS</f>
        <v>0.01</v>
      </c>
      <c r="BL34" s="392">
        <f>BN34-SUM(BJ34:BK34,BM34)</f>
        <v>3.0904522527058401E-2</v>
      </c>
      <c r="BM34" s="392">
        <f>BR34/$D34*-1</f>
        <v>8.2616805534350916E-5</v>
      </c>
      <c r="BN34" s="211">
        <f>BS34/$D34</f>
        <v>9.7359741135793668E-2</v>
      </c>
      <c r="BO34" s="201">
        <f>$D34*BL34</f>
        <v>19531819.280183036</v>
      </c>
      <c r="BP34" s="201">
        <f>$AI34</f>
        <v>35627778.096549138</v>
      </c>
      <c r="BQ34" s="201">
        <f>$D34*BK34</f>
        <v>6320052.1098755002</v>
      </c>
      <c r="BR34" s="201">
        <f>$AK34</f>
        <v>-52214.251612854845</v>
      </c>
      <c r="BS34" s="201">
        <f>D34*P_equal_gen</f>
        <v>61531863.738220528</v>
      </c>
      <c r="BT34" s="199"/>
      <c r="BU34" s="390">
        <f>CHOOSE(gen_choice,'Generation Calculations'!$O37,'Generation Calculations'!$P37)</f>
        <v>5.6372601803200917E-2</v>
      </c>
      <c r="BV34" s="391">
        <f>EPS</f>
        <v>0.01</v>
      </c>
      <c r="BW34" s="392">
        <f>BY34-SUM(BU34:BV34,BX34)</f>
        <v>9.0919770701365782E-3</v>
      </c>
      <c r="BX34" s="392">
        <f>CC34/$D34*-1</f>
        <v>8.2616805534350916E-5</v>
      </c>
      <c r="BY34" s="211">
        <f>CD34/$D34</f>
        <v>7.5547195678871845E-2</v>
      </c>
      <c r="BZ34" s="201">
        <f>$D34*BW34</f>
        <v>5746176.8865056345</v>
      </c>
      <c r="CA34" s="201">
        <f>$AI34</f>
        <v>35627778.096549138</v>
      </c>
      <c r="CB34" s="201">
        <f>$D34*BV34</f>
        <v>6320052.1098755002</v>
      </c>
      <c r="CC34" s="201">
        <f>$AK34</f>
        <v>-52214.251612854845</v>
      </c>
      <c r="CD34" s="201">
        <f>$Z34*'Inputs and Assumptions'!$C$15</f>
        <v>47746221.344543129</v>
      </c>
    </row>
    <row r="35" spans="1:82">
      <c r="A35" s="89" t="s">
        <v>43</v>
      </c>
      <c r="B35" s="77" t="s">
        <v>27</v>
      </c>
      <c r="C35" s="77">
        <v>2</v>
      </c>
      <c r="D35" s="177">
        <f>'Test Year 2001 Sales and Revs.'!J38</f>
        <v>109361623.9486239</v>
      </c>
      <c r="E35" s="201">
        <f>surcharge_1*D35</f>
        <v>4185140.7354622167</v>
      </c>
      <c r="F35" s="199"/>
      <c r="G35" s="238">
        <f>0.03672</f>
        <v>3.6720000000000003E-2</v>
      </c>
      <c r="H35" s="224">
        <f t="shared" si="1"/>
        <v>4015758.8313934696</v>
      </c>
      <c r="I35" s="154">
        <f>H35/$H$127</f>
        <v>1.2774924420173577E-3</v>
      </c>
      <c r="J35" s="201">
        <f>I35*$E$129</f>
        <v>3142285.370187222</v>
      </c>
      <c r="K35" s="199"/>
      <c r="L35" s="381">
        <v>8968746.7800266463</v>
      </c>
      <c r="M35" s="154">
        <f>L35/$L$127</f>
        <v>1.2845805973232742E-3</v>
      </c>
      <c r="N35" s="201">
        <f>M35*$E$129</f>
        <v>3159720.3122556261</v>
      </c>
      <c r="O35" s="199"/>
      <c r="P35" s="223">
        <f>P_Equal</f>
        <v>3.7680738033375391E-2</v>
      </c>
      <c r="Q35" s="224">
        <f t="shared" si="2"/>
        <v>4120826.7029126096</v>
      </c>
      <c r="R35" s="199"/>
      <c r="S35" s="331">
        <f>$D35/($D$30+$D$35+$D$40)</f>
        <v>1.9859264499800688E-2</v>
      </c>
      <c r="T35" s="383">
        <v>87095960.443012074</v>
      </c>
      <c r="U35" s="340">
        <f>$S35*T35</f>
        <v>1729661.7153019547</v>
      </c>
      <c r="V35" s="154">
        <f>U35/$U$127</f>
        <v>1.0710561144134569E-3</v>
      </c>
      <c r="W35" s="383">
        <v>83009492.289334282</v>
      </c>
      <c r="X35" s="340">
        <f>$S35*W35</f>
        <v>1648507.4633680552</v>
      </c>
      <c r="Y35" s="154">
        <f>X35/$X$127</f>
        <v>1.0875201715533419E-3</v>
      </c>
      <c r="Z35" s="154">
        <f>AVERAGE(V35,Y35)</f>
        <v>1.0792881429833993E-3</v>
      </c>
      <c r="AA35" s="157">
        <f>$Z35*'Inputs and Assumptions'!$C$6</f>
        <v>2654756.4825962312</v>
      </c>
      <c r="AB35" s="252"/>
      <c r="AC35" s="390">
        <f>CHOOSE(gen_choice,'Generation Calculations'!$O38,'Generation Calculations'!$P38)</f>
        <v>5.5985425583243723E-2</v>
      </c>
      <c r="AD35" s="391">
        <f>EPS</f>
        <v>0.01</v>
      </c>
      <c r="AE35" s="392">
        <f>AG35-SUM(AC35:AD35,AF35)</f>
        <v>4.0260980302261593E-2</v>
      </c>
      <c r="AF35" s="392">
        <f t="shared" si="8"/>
        <v>1.3687859638488183E-4</v>
      </c>
      <c r="AG35" s="211">
        <f>AL35/$D35</f>
        <v>0.10638328448189019</v>
      </c>
      <c r="AH35" s="201">
        <f>$D35*AE35</f>
        <v>4403006.1876188861</v>
      </c>
      <c r="AI35" s="407">
        <f>CHOOSE(gen_choice,'Generation Calculations'!$M38,'Generation Calculations'!$N38)</f>
        <v>6122657.0592383677</v>
      </c>
      <c r="AJ35" s="201">
        <f>$D35*AD35</f>
        <v>1093616.2394862389</v>
      </c>
      <c r="AK35" s="217">
        <f>CHOOSE(gen_choice,'Generation Calculations'!K38,'Generation Calculations'!L38)</f>
        <v>-14969.265584458915</v>
      </c>
      <c r="AL35" s="201">
        <f>$D35*gen_equal</f>
        <v>11634248.751927951</v>
      </c>
      <c r="AM35" s="199"/>
      <c r="AN35" s="390">
        <f>CHOOSE(gen_choice,'Generation Calculations'!$O38,'Generation Calculations'!$P38)</f>
        <v>5.5985425583243723E-2</v>
      </c>
      <c r="AO35" s="391">
        <f>EPS</f>
        <v>0.01</v>
      </c>
      <c r="AP35" s="392">
        <f>AR35-SUM(AN35:AO35,AQ35)</f>
        <v>2.6226647911416101E-2</v>
      </c>
      <c r="AQ35" s="392">
        <f>AV35/$D35*-1</f>
        <v>1.3687859638488183E-4</v>
      </c>
      <c r="AR35" s="211">
        <f>AW35/$D35</f>
        <v>9.2348952091044698E-2</v>
      </c>
      <c r="AS35" s="201">
        <f>$D35*AP35</f>
        <v>2868188.8063212498</v>
      </c>
      <c r="AT35" s="201">
        <f>$AI35</f>
        <v>6122657.0592383677</v>
      </c>
      <c r="AU35" s="201">
        <f>$D35*AO35</f>
        <v>1093616.2394862389</v>
      </c>
      <c r="AV35" s="201">
        <f>$AK35</f>
        <v>-14969.265584458915</v>
      </c>
      <c r="AW35" s="201">
        <f>$I35*'Inputs and Assumptions'!$C$15</f>
        <v>10099431.370630315</v>
      </c>
      <c r="AX35" s="199"/>
      <c r="AY35" s="390">
        <f>CHOOSE(gen_choice,'Generation Calculations'!$O38,'Generation Calculations'!$P38)</f>
        <v>5.5985425583243723E-2</v>
      </c>
      <c r="AZ35" s="391">
        <f>EPS</f>
        <v>0.01</v>
      </c>
      <c r="BA35" s="392">
        <f>BC35-SUM(AY35:AZ35,BB35)</f>
        <v>2.6739045240144144E-2</v>
      </c>
      <c r="BB35" s="392">
        <f>BG35/$D35*-1</f>
        <v>1.3687859638488183E-4</v>
      </c>
      <c r="BC35" s="211">
        <f>BH35/$D35</f>
        <v>9.286134941977274E-2</v>
      </c>
      <c r="BD35" s="201">
        <f>$D35*BA35</f>
        <v>2924225.4102978855</v>
      </c>
      <c r="BE35" s="201">
        <f>$AI35</f>
        <v>6122657.0592383677</v>
      </c>
      <c r="BF35" s="201">
        <f>$D35*AZ35</f>
        <v>1093616.2394862389</v>
      </c>
      <c r="BG35" s="201">
        <f>$AK35</f>
        <v>-14969.265584458915</v>
      </c>
      <c r="BH35" s="201">
        <f>$M35*'Inputs and Assumptions'!$C$15</f>
        <v>10155467.97460695</v>
      </c>
      <c r="BI35" s="199"/>
      <c r="BJ35" s="390">
        <f>CHOOSE(gen_choice,'Generation Calculations'!$O38,'Generation Calculations'!$P38)</f>
        <v>5.5985425583243723E-2</v>
      </c>
      <c r="BK35" s="391">
        <f>EPS</f>
        <v>0.01</v>
      </c>
      <c r="BL35" s="392">
        <f>BN35-SUM(BJ35:BK35,BM35)</f>
        <v>3.1237436956165071E-2</v>
      </c>
      <c r="BM35" s="392">
        <f>BR35/$D35*-1</f>
        <v>1.3687859638488183E-4</v>
      </c>
      <c r="BN35" s="211">
        <f>BS35/$D35</f>
        <v>9.7359741135793668E-2</v>
      </c>
      <c r="BO35" s="201">
        <f>$D35*BL35</f>
        <v>3416176.8335189712</v>
      </c>
      <c r="BP35" s="201">
        <f>$AI35</f>
        <v>6122657.0592383677</v>
      </c>
      <c r="BQ35" s="201">
        <f>$D35*BK35</f>
        <v>1093616.2394862389</v>
      </c>
      <c r="BR35" s="201">
        <f>$AK35</f>
        <v>-14969.265584458915</v>
      </c>
      <c r="BS35" s="201">
        <f>D35*P_equal_gen</f>
        <v>10647419.397828035</v>
      </c>
      <c r="BT35" s="199"/>
      <c r="BU35" s="390">
        <f>CHOOSE(gen_choice,'Generation Calculations'!$O38,'Generation Calculations'!$P38)</f>
        <v>5.5985425583243723E-2</v>
      </c>
      <c r="BV35" s="391">
        <f>EPS</f>
        <v>0.01</v>
      </c>
      <c r="BW35" s="392">
        <f>BY35-SUM(BU35:BV35,BX35)</f>
        <v>1.1898610645832475E-2</v>
      </c>
      <c r="BX35" s="392">
        <f>CC35/$D35*-1</f>
        <v>1.3687859638488183E-4</v>
      </c>
      <c r="BY35" s="211">
        <f>CD35/$D35</f>
        <v>7.8020914825461071E-2</v>
      </c>
      <c r="BZ35" s="201">
        <f>$D35*BW35</f>
        <v>1301251.3829606241</v>
      </c>
      <c r="CA35" s="201">
        <f>$AI35</f>
        <v>6122657.0592383677</v>
      </c>
      <c r="CB35" s="201">
        <f>$D35*BV35</f>
        <v>1093616.2394862389</v>
      </c>
      <c r="CC35" s="201">
        <f>$AK35</f>
        <v>-14969.265584458915</v>
      </c>
      <c r="CD35" s="201">
        <f>$Z35*'Inputs and Assumptions'!$C$15</f>
        <v>8532493.9472696893</v>
      </c>
    </row>
    <row r="36" spans="1:82">
      <c r="A36" s="89" t="s">
        <v>44</v>
      </c>
      <c r="B36" s="77" t="s">
        <v>27</v>
      </c>
      <c r="C36" s="77">
        <v>2</v>
      </c>
      <c r="D36" s="178">
        <f>'Test Year 2001 Sales and Revs.'!J39</f>
        <v>42586469.584777415</v>
      </c>
      <c r="E36" s="202">
        <f>surcharge_1*D36</f>
        <v>1629734.1078485087</v>
      </c>
      <c r="F36" s="200"/>
      <c r="G36" s="243">
        <f>G34</f>
        <v>3.7359999999999997E-2</v>
      </c>
      <c r="H36" s="225">
        <f t="shared" si="1"/>
        <v>1591030.5036872842</v>
      </c>
      <c r="I36" s="198">
        <f>H36/$H$127</f>
        <v>5.0613832374348216E-4</v>
      </c>
      <c r="J36" s="202">
        <f>I36*$E$129</f>
        <v>1244963.1776127708</v>
      </c>
      <c r="K36" s="200"/>
      <c r="L36" s="382">
        <v>3497200.882301921</v>
      </c>
      <c r="M36" s="198">
        <f>L36/$L$127</f>
        <v>5.0089901170490361E-4</v>
      </c>
      <c r="N36" s="202">
        <f>M36*$E$129</f>
        <v>1232075.8891817934</v>
      </c>
      <c r="O36" s="200"/>
      <c r="P36" s="223">
        <f>P_Equal</f>
        <v>3.7680738033375391E-2</v>
      </c>
      <c r="Q36" s="225">
        <f t="shared" si="2"/>
        <v>1604689.6041903067</v>
      </c>
      <c r="R36" s="200"/>
      <c r="S36" s="331">
        <f>$D36/($D$29+$D$31+$D$34+$D$36)</f>
        <v>6.2324550500332469E-2</v>
      </c>
      <c r="T36" s="383">
        <v>10214106.559559414</v>
      </c>
      <c r="U36" s="343">
        <f>$S36*T36</f>
        <v>636589.60008703789</v>
      </c>
      <c r="V36" s="198">
        <f>U36/$U$127</f>
        <v>3.9419452804747451E-4</v>
      </c>
      <c r="W36" s="383">
        <v>10208434.467120966</v>
      </c>
      <c r="X36" s="343">
        <f>$S36*W36</f>
        <v>636236.08947541518</v>
      </c>
      <c r="Y36" s="198">
        <f>X36/$X$127</f>
        <v>4.1972487025389277E-4</v>
      </c>
      <c r="Z36" s="198">
        <f>AVERAGE(V36,Y36)</f>
        <v>4.0695969915068367E-4</v>
      </c>
      <c r="AA36" s="245">
        <f>$Z36*'Inputs and Assumptions'!$C$6</f>
        <v>1001010.6258457311</v>
      </c>
      <c r="AB36" s="253"/>
      <c r="AC36" s="393">
        <f>CHOOSE(gen_choice,'Generation Calculations'!$O39,'Generation Calculations'!$P39)</f>
        <v>5.469861319742636E-2</v>
      </c>
      <c r="AD36" s="394">
        <f>EPS</f>
        <v>0.01</v>
      </c>
      <c r="AE36" s="395">
        <f>AG36-SUM(AC36:AD36,AF36)</f>
        <v>5.2692580823902942E-2</v>
      </c>
      <c r="AF36" s="395">
        <f t="shared" si="8"/>
        <v>-1.1007909539439123E-2</v>
      </c>
      <c r="AG36" s="214">
        <f>AL36/$D36</f>
        <v>0.10638328448189018</v>
      </c>
      <c r="AH36" s="202">
        <f>$D36*AE36</f>
        <v>2243990.9906005682</v>
      </c>
      <c r="AI36" s="408">
        <f>CHOOSE(gen_choice,'Generation Calculations'!$M39,'Generation Calculations'!$N39)</f>
        <v>2329420.8272617022</v>
      </c>
      <c r="AJ36" s="202">
        <f>$D36*AD36</f>
        <v>425864.69584777416</v>
      </c>
      <c r="AK36" s="284">
        <f>CHOOSE(gen_choice,'Generation Calculations'!K39,'Generation Calculations'!L39)</f>
        <v>468788.00479330542</v>
      </c>
      <c r="AL36" s="202">
        <f>$D36*gen_equal</f>
        <v>4530488.5089167394</v>
      </c>
      <c r="AM36" s="200"/>
      <c r="AN36" s="393">
        <f>CHOOSE(gen_choice,'Generation Calculations'!$O39,'Generation Calculations'!$P39)</f>
        <v>5.469861319742636E-2</v>
      </c>
      <c r="AO36" s="394">
        <f>EPS</f>
        <v>0.01</v>
      </c>
      <c r="AP36" s="395">
        <f>AR36-SUM(AN36:AO36,AQ36)</f>
        <v>4.0267816225493976E-2</v>
      </c>
      <c r="AQ36" s="395">
        <f>AV36/$D36*-1</f>
        <v>-1.1007909539439123E-2</v>
      </c>
      <c r="AR36" s="214">
        <f>AW36/$D36</f>
        <v>9.3958519883481209E-2</v>
      </c>
      <c r="AS36" s="202">
        <f>$D36*AP36</f>
        <v>1714864.1309324056</v>
      </c>
      <c r="AT36" s="202">
        <f>$AI36</f>
        <v>2329420.8272617022</v>
      </c>
      <c r="AU36" s="202">
        <f>$D36*AO36</f>
        <v>425864.69584777416</v>
      </c>
      <c r="AV36" s="202">
        <f>$AK36</f>
        <v>468788.00479330542</v>
      </c>
      <c r="AW36" s="202">
        <f>$I36*'Inputs and Assumptions'!$C$15</f>
        <v>4001361.6492485763</v>
      </c>
      <c r="AX36" s="200"/>
      <c r="AY36" s="393">
        <f>CHOOSE(gen_choice,'Generation Calculations'!$O39,'Generation Calculations'!$P39)</f>
        <v>5.469861319742636E-2</v>
      </c>
      <c r="AZ36" s="394">
        <f>EPS</f>
        <v>0.01</v>
      </c>
      <c r="BA36" s="395">
        <f>BC36-SUM(AY36:AZ36,BB36)</f>
        <v>3.9295200675042115E-2</v>
      </c>
      <c r="BB36" s="395">
        <f>BG36/$D36*-1</f>
        <v>-1.1007909539439123E-2</v>
      </c>
      <c r="BC36" s="214">
        <f>BH36/$D36</f>
        <v>9.2985904333029348E-2</v>
      </c>
      <c r="BD36" s="202">
        <f>$D36*BA36</f>
        <v>1673443.8683754059</v>
      </c>
      <c r="BE36" s="202">
        <f>$AI36</f>
        <v>2329420.8272617022</v>
      </c>
      <c r="BF36" s="202">
        <f>$D36*AZ36</f>
        <v>425864.69584777416</v>
      </c>
      <c r="BG36" s="202">
        <f>$AK36</f>
        <v>468788.00479330542</v>
      </c>
      <c r="BH36" s="202">
        <f>$M36*'Inputs and Assumptions'!$C$15</f>
        <v>3959941.3866915768</v>
      </c>
      <c r="BI36" s="200"/>
      <c r="BJ36" s="393">
        <f>CHOOSE(gen_choice,'Generation Calculations'!$O39,'Generation Calculations'!$P39)</f>
        <v>5.469861319742636E-2</v>
      </c>
      <c r="BK36" s="394">
        <f>EPS</f>
        <v>0.01</v>
      </c>
      <c r="BL36" s="395">
        <f>BN36-SUM(BJ36:BK36,BM36)</f>
        <v>4.3669037477806434E-2</v>
      </c>
      <c r="BM36" s="395">
        <f>BR36/$D36*-1</f>
        <v>-1.1007909539439123E-2</v>
      </c>
      <c r="BN36" s="214">
        <f>BS36/$D36</f>
        <v>9.7359741135793668E-2</v>
      </c>
      <c r="BO36" s="202">
        <f>$D36*BL36</f>
        <v>1859710.1363451087</v>
      </c>
      <c r="BP36" s="202">
        <f>$AI36</f>
        <v>2329420.8272617022</v>
      </c>
      <c r="BQ36" s="202">
        <f>$D36*BK36</f>
        <v>425864.69584777416</v>
      </c>
      <c r="BR36" s="202">
        <f>$AK36</f>
        <v>468788.00479330542</v>
      </c>
      <c r="BS36" s="202">
        <f>D36*P_equal_gen</f>
        <v>4146207.6546612796</v>
      </c>
      <c r="BT36" s="200"/>
      <c r="BU36" s="393">
        <f>CHOOSE(gen_choice,'Generation Calculations'!$O39,'Generation Calculations'!$P39)</f>
        <v>5.469861319742636E-2</v>
      </c>
      <c r="BV36" s="394">
        <f>EPS</f>
        <v>0.01</v>
      </c>
      <c r="BW36" s="395">
        <f>BY36-SUM(BU36:BV36,BX36)</f>
        <v>2.1856492020884612E-2</v>
      </c>
      <c r="BX36" s="395">
        <f>CC36/$D36*-1</f>
        <v>-1.1007909539439123E-2</v>
      </c>
      <c r="BY36" s="214">
        <f>CD36/$D36</f>
        <v>7.5547195678871845E-2</v>
      </c>
      <c r="BZ36" s="202">
        <f>$D36*BW36</f>
        <v>930790.8326773328</v>
      </c>
      <c r="CA36" s="202">
        <f>$AI36</f>
        <v>2329420.8272617022</v>
      </c>
      <c r="CB36" s="202">
        <f>$D36*BV36</f>
        <v>425864.69584777416</v>
      </c>
      <c r="CC36" s="202">
        <f>$AK36</f>
        <v>468788.00479330542</v>
      </c>
      <c r="CD36" s="202">
        <f>$Z36*'Inputs and Assumptions'!$C$15</f>
        <v>3217288.3509935038</v>
      </c>
    </row>
    <row r="37" spans="1:82">
      <c r="A37" s="105" t="s">
        <v>45</v>
      </c>
      <c r="B37" s="189" t="s">
        <v>27</v>
      </c>
      <c r="C37" s="189"/>
      <c r="D37" s="176">
        <f>SUM(D34:D36)</f>
        <v>783953304.52095127</v>
      </c>
      <c r="E37" s="201">
        <f>SUM(E34:E36)</f>
        <v>30000971.007820643</v>
      </c>
      <c r="F37" s="199"/>
      <c r="G37" s="238"/>
      <c r="H37" s="224">
        <f>SUM(H34:H36)</f>
        <v>29218504.017575622</v>
      </c>
      <c r="I37" s="154">
        <f>SUM(I34:I36)</f>
        <v>9.2949849870726364E-3</v>
      </c>
      <c r="J37" s="201">
        <f>SUM(J34:J36)</f>
        <v>22863145.315259222</v>
      </c>
      <c r="K37" s="199"/>
      <c r="L37" s="157">
        <f>SUM(L34:L36)</f>
        <v>64366215.588626169</v>
      </c>
      <c r="M37" s="154">
        <f>SUM(M34:M36)</f>
        <v>9.2190797327907602E-3</v>
      </c>
      <c r="N37" s="201">
        <f>SUM(N34:N36)</f>
        <v>22676438.950348262</v>
      </c>
      <c r="O37" s="199"/>
      <c r="P37" s="223"/>
      <c r="Q37" s="224">
        <f>SUM(Q34:Q36)</f>
        <v>29539939.098052934</v>
      </c>
      <c r="R37" s="199"/>
      <c r="T37" s="383"/>
      <c r="U37" s="340">
        <f>SUM(U34:U36)</f>
        <v>11813569.875444064</v>
      </c>
      <c r="V37" s="154">
        <f>SUM(V34:V36)</f>
        <v>7.3153010997506502E-3</v>
      </c>
      <c r="W37" s="383"/>
      <c r="X37" s="340">
        <f>SUM(X34:X36)</f>
        <v>11726815.832780389</v>
      </c>
      <c r="Y37" s="154">
        <f>SUM(Y34:Y36)</f>
        <v>7.7361789677214418E-3</v>
      </c>
      <c r="Z37" s="154">
        <f>AVERAGE(V37,Y37)</f>
        <v>7.5257400337360465E-3</v>
      </c>
      <c r="AA37" s="157">
        <f>SUM(AA34:AA36)</f>
        <v>18511281.969306361</v>
      </c>
      <c r="AB37" s="252"/>
      <c r="AC37" s="208">
        <f>CHOOSE(gen_choice,'Generation Calculations'!$O40,'Generation Calculations'!$P40)</f>
        <v>5.6227655051451046E-2</v>
      </c>
      <c r="AD37" s="291">
        <f>EPS</f>
        <v>0.01</v>
      </c>
      <c r="AE37" s="211">
        <f>AH37/$D37</f>
        <v>4.066791056412402E-2</v>
      </c>
      <c r="AF37" s="211">
        <f t="shared" si="8"/>
        <v>-5.1228113368486825E-4</v>
      </c>
      <c r="AG37" s="211">
        <f>AL37/$D37</f>
        <v>0.1063832844818902</v>
      </c>
      <c r="AH37" s="201">
        <f>AL37+AK37-SUM(AI37:AJ37)</f>
        <v>31881742.874707527</v>
      </c>
      <c r="AI37" s="201">
        <f>SUM(AI34:AI36)</f>
        <v>44079855.983049206</v>
      </c>
      <c r="AJ37" s="201">
        <f>SUM(AJ34:AJ36)</f>
        <v>7839533.045209513</v>
      </c>
      <c r="AK37" s="201">
        <f>SUM(AK34:AK36)</f>
        <v>401604.48759599164</v>
      </c>
      <c r="AL37" s="201">
        <f>SUM(AL34:AL36)</f>
        <v>83399527.415370256</v>
      </c>
      <c r="AM37" s="199"/>
      <c r="AN37" s="208">
        <f>CHOOSE(gen_choice,'Generation Calculations'!$O40,'Generation Calculations'!$P40)</f>
        <v>5.6227655051451046E-2</v>
      </c>
      <c r="AO37" s="291">
        <f>EPS</f>
        <v>0.01</v>
      </c>
      <c r="AP37" s="211">
        <f>AS37/$D37</f>
        <v>2.8018610975402276E-2</v>
      </c>
      <c r="AQ37" s="211">
        <f>AV37/$D37*-1</f>
        <v>-5.1228113368486825E-4</v>
      </c>
      <c r="AR37" s="211">
        <f>AW37/$D37</f>
        <v>9.3733984893168434E-2</v>
      </c>
      <c r="AS37" s="201">
        <f>SUM(AS34:AS36)</f>
        <v>21965282.662253607</v>
      </c>
      <c r="AT37" s="201">
        <f>SUM(AT34:AT36)</f>
        <v>44079855.983049206</v>
      </c>
      <c r="AU37" s="201">
        <f>SUM(AU34:AU36)</f>
        <v>7839533.045209513</v>
      </c>
      <c r="AV37" s="201">
        <f>SUM(AV34:AV36)</f>
        <v>401604.48759599164</v>
      </c>
      <c r="AW37" s="201">
        <f>SUM(AW34:AW36)</f>
        <v>73483067.202916324</v>
      </c>
      <c r="AX37" s="199"/>
      <c r="AY37" s="208">
        <f>CHOOSE(gen_choice,'Generation Calculations'!$O40,'Generation Calculations'!$P40)</f>
        <v>5.6227655051451046E-2</v>
      </c>
      <c r="AZ37" s="291">
        <f>EPS</f>
        <v>0.01</v>
      </c>
      <c r="BA37" s="211">
        <f>BD37/$D37</f>
        <v>2.7253154982943461E-2</v>
      </c>
      <c r="BB37" s="211">
        <f>BG37/$D37*-1</f>
        <v>-5.1228113368486825E-4</v>
      </c>
      <c r="BC37" s="211">
        <f>BH37/$D37</f>
        <v>9.2968528900709627E-2</v>
      </c>
      <c r="BD37" s="201">
        <f>SUM(BD34:BD36)</f>
        <v>21365200.907500155</v>
      </c>
      <c r="BE37" s="201">
        <f>SUM(BE34:BE36)</f>
        <v>44079855.983049206</v>
      </c>
      <c r="BF37" s="201">
        <f>SUM(BF34:BF36)</f>
        <v>7839533.045209513</v>
      </c>
      <c r="BG37" s="201">
        <f>SUM(BG34:BG36)</f>
        <v>401604.48759599164</v>
      </c>
      <c r="BH37" s="201">
        <f>SUM(BH34:BH36)</f>
        <v>72882985.448162869</v>
      </c>
      <c r="BI37" s="199"/>
      <c r="BJ37" s="208">
        <f>CHOOSE(gen_choice,'Generation Calculations'!$O40,'Generation Calculations'!$P40)</f>
        <v>5.6227655051451046E-2</v>
      </c>
      <c r="BK37" s="291">
        <f>EPS</f>
        <v>0.01</v>
      </c>
      <c r="BL37" s="211">
        <f>BO37/$D37</f>
        <v>3.1644367218027492E-2</v>
      </c>
      <c r="BM37" s="211">
        <f>BR37/$D37*-1</f>
        <v>-5.1228113368486825E-4</v>
      </c>
      <c r="BN37" s="211">
        <f>BS37/$D37</f>
        <v>9.7359741135793668E-2</v>
      </c>
      <c r="BO37" s="201">
        <f>SUM(BO34:BO36)</f>
        <v>24807706.250047114</v>
      </c>
      <c r="BP37" s="201">
        <f>SUM(BP34:BP36)</f>
        <v>44079855.983049206</v>
      </c>
      <c r="BQ37" s="201">
        <f>SUM(BQ34:BQ36)</f>
        <v>7839533.045209513</v>
      </c>
      <c r="BR37" s="201">
        <f>SUM(BR34:BR36)</f>
        <v>401604.48759599164</v>
      </c>
      <c r="BS37" s="201">
        <f>SUM(BS34:BS36)</f>
        <v>76325490.790709838</v>
      </c>
      <c r="BT37" s="199"/>
      <c r="BU37" s="208">
        <f>CHOOSE(gen_choice,'Generation Calculations'!$O40,'Generation Calculations'!$P40)</f>
        <v>5.6227655051451046E-2</v>
      </c>
      <c r="BV37" s="291">
        <f>EPS</f>
        <v>0.01</v>
      </c>
      <c r="BW37" s="211">
        <f>BZ37/$D37</f>
        <v>1.017690601740473E-2</v>
      </c>
      <c r="BX37" s="211">
        <f>CC37/$D37*-1</f>
        <v>-5.1228113368486825E-4</v>
      </c>
      <c r="BY37" s="211">
        <f>CD37/$D37</f>
        <v>7.589227993517092E-2</v>
      </c>
      <c r="BZ37" s="201">
        <f>SUM(BZ34:BZ36)</f>
        <v>7978219.1021435913</v>
      </c>
      <c r="CA37" s="201">
        <f>SUM(CA34:CA36)</f>
        <v>44079855.983049206</v>
      </c>
      <c r="CB37" s="201">
        <f>SUM(CB34:CB36)</f>
        <v>7839533.045209513</v>
      </c>
      <c r="CC37" s="201">
        <f>SUM(CC34:CC36)</f>
        <v>401604.48759599164</v>
      </c>
      <c r="CD37" s="201">
        <f>SUM(CD34:CD36)</f>
        <v>59496003.642806329</v>
      </c>
    </row>
    <row r="38" spans="1:82">
      <c r="A38" s="94"/>
      <c r="B38" s="73"/>
      <c r="C38" s="73"/>
      <c r="D38" s="176"/>
      <c r="E38" s="201"/>
      <c r="F38" s="199"/>
      <c r="G38" s="238"/>
      <c r="H38" s="224"/>
      <c r="I38" s="154"/>
      <c r="J38" s="201"/>
      <c r="K38" s="199"/>
      <c r="L38" s="157"/>
      <c r="M38" s="154"/>
      <c r="N38" s="201"/>
      <c r="O38" s="199"/>
      <c r="P38" s="223"/>
      <c r="Q38" s="224"/>
      <c r="R38" s="199"/>
      <c r="T38" s="383"/>
      <c r="V38" s="154"/>
      <c r="W38" s="383"/>
      <c r="X38" s="340"/>
      <c r="Y38" s="154"/>
      <c r="Z38" s="154"/>
      <c r="AA38" s="157"/>
      <c r="AB38" s="252"/>
      <c r="AC38" s="207"/>
      <c r="AD38" s="208"/>
      <c r="AH38" s="201"/>
      <c r="AJ38" s="201"/>
      <c r="AK38" s="201"/>
      <c r="AL38" s="201"/>
      <c r="AM38" s="199"/>
      <c r="AN38" s="207"/>
      <c r="AO38" s="208"/>
      <c r="AP38"/>
      <c r="AQ38"/>
      <c r="AR38"/>
      <c r="AS38" s="201"/>
      <c r="AT38" s="201"/>
      <c r="AU38" s="201"/>
      <c r="AV38" s="201"/>
      <c r="AW38" s="201"/>
      <c r="AX38" s="199"/>
      <c r="AY38" s="207"/>
      <c r="AZ38" s="208"/>
      <c r="BA38"/>
      <c r="BB38"/>
      <c r="BC38"/>
      <c r="BD38" s="201"/>
      <c r="BE38" s="201"/>
      <c r="BF38" s="201"/>
      <c r="BG38" s="201"/>
      <c r="BH38" s="201"/>
      <c r="BI38" s="199"/>
      <c r="BJ38" s="207"/>
      <c r="BK38" s="208"/>
      <c r="BL38"/>
      <c r="BM38"/>
      <c r="BN38"/>
      <c r="BO38" s="201"/>
      <c r="BP38" s="201"/>
      <c r="BQ38" s="201"/>
      <c r="BR38" s="201"/>
      <c r="BS38" s="201"/>
      <c r="BT38" s="199"/>
      <c r="BU38" s="207"/>
      <c r="BV38" s="208"/>
      <c r="BW38"/>
      <c r="BX38"/>
      <c r="BY38"/>
      <c r="BZ38" s="201"/>
      <c r="CA38" s="201"/>
      <c r="CB38" s="201"/>
      <c r="CC38" s="201"/>
      <c r="CD38" s="201"/>
    </row>
    <row r="39" spans="1:82">
      <c r="A39" s="89" t="s">
        <v>42</v>
      </c>
      <c r="B39" s="77" t="s">
        <v>28</v>
      </c>
      <c r="C39" s="77">
        <v>1</v>
      </c>
      <c r="D39" s="177">
        <f>'Test Year 2001 Sales and Revs.'!J42</f>
        <v>4754609035.143425</v>
      </c>
      <c r="E39" s="201">
        <f>surcharge_1*D39</f>
        <v>181953296.19029346</v>
      </c>
      <c r="F39" s="199"/>
      <c r="G39" s="238">
        <f>0.04008</f>
        <v>4.0079999999999998E-2</v>
      </c>
      <c r="H39" s="224">
        <f t="shared" si="1"/>
        <v>190564730.12854847</v>
      </c>
      <c r="I39" s="154">
        <f>H39/$H$127</f>
        <v>6.0622416005450867E-2</v>
      </c>
      <c r="J39" s="201">
        <f>I39*$E$129</f>
        <v>149114722.44682264</v>
      </c>
      <c r="K39" s="199"/>
      <c r="L39" s="381">
        <v>419831977.8031643</v>
      </c>
      <c r="M39" s="154">
        <f>L39/$L$127</f>
        <v>6.0131925457282014E-2</v>
      </c>
      <c r="N39" s="201">
        <f>M39*$E$129</f>
        <v>147908248.55857623</v>
      </c>
      <c r="O39" s="199"/>
      <c r="P39" s="223">
        <f>S_Equal</f>
        <v>3.8569434685105937E-2</v>
      </c>
      <c r="Q39" s="224">
        <f t="shared" si="2"/>
        <v>183382582.63417888</v>
      </c>
      <c r="R39" s="199"/>
      <c r="S39" s="331">
        <f>$D39/($D$39+$D$41+$D$46)</f>
        <v>0.98536117278787572</v>
      </c>
      <c r="T39" s="383">
        <v>83958782.992269039</v>
      </c>
      <c r="U39" s="340">
        <f>$S39*T39</f>
        <v>82729724.875104979</v>
      </c>
      <c r="V39" s="154">
        <f>U39/$U$127</f>
        <v>5.122861706848586E-2</v>
      </c>
      <c r="W39" s="383">
        <v>81212350.460841551</v>
      </c>
      <c r="X39" s="340">
        <f>$S39*W39</f>
        <v>80023496.894954816</v>
      </c>
      <c r="Y39" s="154">
        <f>X39/$X$127</f>
        <v>5.2791491094432125E-2</v>
      </c>
      <c r="Z39" s="154">
        <f>AVERAGE(V39,Y39)</f>
        <v>5.2010054081458992E-2</v>
      </c>
      <c r="AA39" s="157">
        <f>$Z39*'Inputs and Assumptions'!$C$6</f>
        <v>127930644.96313806</v>
      </c>
      <c r="AB39" s="252"/>
      <c r="AC39" s="390">
        <f>CHOOSE(gen_choice,'Generation Calculations'!$O42,'Generation Calculations'!$P42)</f>
        <v>6.1743722850065179E-2</v>
      </c>
      <c r="AD39" s="391">
        <f>EPS</f>
        <v>0.01</v>
      </c>
      <c r="AE39" s="392">
        <f>AG39-SUM(AC39:AD39,AF39)</f>
        <v>3.4623347960832676E-2</v>
      </c>
      <c r="AF39" s="392">
        <f t="shared" si="8"/>
        <v>1.6213670992338073E-5</v>
      </c>
      <c r="AG39" s="211">
        <f>AL39/$D39</f>
        <v>0.10638328448189019</v>
      </c>
      <c r="AH39" s="201">
        <f>$D39*AE39</f>
        <v>164620483.04148972</v>
      </c>
      <c r="AI39" s="407">
        <f>CHOOSE(gen_choice,'Generation Calculations'!$M42,'Generation Calculations'!$N42)</f>
        <v>293567262.52631146</v>
      </c>
      <c r="AJ39" s="201">
        <f>$D39*AD39</f>
        <v>47546090.351434253</v>
      </c>
      <c r="AK39" s="217">
        <f>CHOOSE(gen_choice,'Generation Calculations'!K42,'Generation Calculations'!L42)</f>
        <v>-77089.666593013462</v>
      </c>
      <c r="AL39" s="201">
        <f>$D39*gen_equal</f>
        <v>505810925.58582842</v>
      </c>
      <c r="AM39" s="199"/>
      <c r="AN39" s="390">
        <f>CHOOSE(gen_choice,'Generation Calculations'!$O42,'Generation Calculations'!$P42)</f>
        <v>6.1743722850065179E-2</v>
      </c>
      <c r="AO39" s="391">
        <f>EPS</f>
        <v>0.01</v>
      </c>
      <c r="AP39" s="392">
        <f>AR39-SUM(AN39:AO39,AQ39)</f>
        <v>2.9039246480278849E-2</v>
      </c>
      <c r="AQ39" s="392">
        <f>AV39/$D39*-1</f>
        <v>1.6213670992338073E-5</v>
      </c>
      <c r="AR39" s="211">
        <f>AW39/$D39</f>
        <v>0.10079918300133636</v>
      </c>
      <c r="AS39" s="201">
        <f>$D39*AP39</f>
        <v>138070263.68889073</v>
      </c>
      <c r="AT39" s="201">
        <f>$AI39</f>
        <v>293567262.52631146</v>
      </c>
      <c r="AU39" s="201">
        <f>$D39*AO39</f>
        <v>47546090.351434253</v>
      </c>
      <c r="AV39" s="201">
        <f>$AK39</f>
        <v>-77089.666593013462</v>
      </c>
      <c r="AW39" s="201">
        <f>$I39*'Inputs and Assumptions'!$C$15</f>
        <v>479260706.2332294</v>
      </c>
      <c r="AX39" s="199"/>
      <c r="AY39" s="390">
        <f>CHOOSE(gen_choice,'Generation Calculations'!$O42,'Generation Calculations'!$P42)</f>
        <v>6.1743722850065179E-2</v>
      </c>
      <c r="AZ39" s="391">
        <f>EPS</f>
        <v>0.01</v>
      </c>
      <c r="BA39" s="392">
        <f>BC39-SUM(AY39:AZ39,BB39)</f>
        <v>2.8223689302207075E-2</v>
      </c>
      <c r="BB39" s="392">
        <f>BG39/$D39*-1</f>
        <v>1.6213670992338073E-5</v>
      </c>
      <c r="BC39" s="211">
        <f>BH39/$D39</f>
        <v>9.9983625823264588E-2</v>
      </c>
      <c r="BD39" s="201">
        <f>$D39*BA39</f>
        <v>134192608.16135459</v>
      </c>
      <c r="BE39" s="201">
        <f>$AI39</f>
        <v>293567262.52631146</v>
      </c>
      <c r="BF39" s="201">
        <f>$D39*AZ39</f>
        <v>47546090.351434253</v>
      </c>
      <c r="BG39" s="201">
        <f>$AK39</f>
        <v>-77089.666593013462</v>
      </c>
      <c r="BH39" s="201">
        <f>$M39*'Inputs and Assumptions'!$C$15</f>
        <v>475383050.7056933</v>
      </c>
      <c r="BI39" s="199"/>
      <c r="BJ39" s="390">
        <f>CHOOSE(gen_choice,'Generation Calculations'!$O42,'Generation Calculations'!$P42)</f>
        <v>6.1743722850065179E-2</v>
      </c>
      <c r="BK39" s="391">
        <f>EPS</f>
        <v>0.01</v>
      </c>
      <c r="BL39" s="392">
        <f>BN39-SUM(BJ39:BK39,BM39)</f>
        <v>2.7896024924542601E-2</v>
      </c>
      <c r="BM39" s="392">
        <f>BR39/$D39*-1</f>
        <v>1.6213670992338073E-5</v>
      </c>
      <c r="BN39" s="211">
        <f>BS39/$D39</f>
        <v>9.9655961445600114E-2</v>
      </c>
      <c r="BO39" s="201">
        <f>$D39*BL39</f>
        <v>132634692.15081643</v>
      </c>
      <c r="BP39" s="201">
        <f>$AI39</f>
        <v>293567262.52631146</v>
      </c>
      <c r="BQ39" s="201">
        <f>$D39*BK39</f>
        <v>47546090.351434253</v>
      </c>
      <c r="BR39" s="201">
        <f>$AK39</f>
        <v>-77089.666593013462</v>
      </c>
      <c r="BS39" s="201">
        <f>D39*s_equal_gen</f>
        <v>473825134.69515514</v>
      </c>
      <c r="BT39" s="199"/>
      <c r="BU39" s="390">
        <f>CHOOSE(gen_choice,'Generation Calculations'!$O42,'Generation Calculations'!$P42)</f>
        <v>6.1743722850065179E-2</v>
      </c>
      <c r="BV39" s="391">
        <f>EPS</f>
        <v>0.01</v>
      </c>
      <c r="BW39" s="392">
        <f>BY39-SUM(BU39:BV39,BX39)</f>
        <v>1.4719146707743533E-2</v>
      </c>
      <c r="BX39" s="392">
        <f>CC39/$D39*-1</f>
        <v>1.6213670992338073E-5</v>
      </c>
      <c r="BY39" s="211">
        <f>CD39/$D39</f>
        <v>8.6479083228801046E-2</v>
      </c>
      <c r="BZ39" s="201">
        <f>$D39*BW39</f>
        <v>69983787.926238999</v>
      </c>
      <c r="CA39" s="201">
        <f>$AI39</f>
        <v>293567262.52631146</v>
      </c>
      <c r="CB39" s="201">
        <f>$D39*BV39</f>
        <v>47546090.351434253</v>
      </c>
      <c r="CC39" s="201">
        <f>$AK39</f>
        <v>-77089.666593013462</v>
      </c>
      <c r="CD39" s="201">
        <f>$Z39*'Inputs and Assumptions'!$C$15</f>
        <v>411174230.47057766</v>
      </c>
    </row>
    <row r="40" spans="1:82">
      <c r="A40" s="89" t="s">
        <v>43</v>
      </c>
      <c r="B40" s="77" t="s">
        <v>28</v>
      </c>
      <c r="C40" s="77">
        <v>1</v>
      </c>
      <c r="D40" s="177">
        <f>'Test Year 2001 Sales and Revs.'!J43</f>
        <v>5395331629.5766544</v>
      </c>
      <c r="E40" s="201">
        <f>surcharge_1*D40</f>
        <v>206472996.36732516</v>
      </c>
      <c r="F40" s="199"/>
      <c r="G40" s="238">
        <f>0.03857</f>
        <v>3.857E-2</v>
      </c>
      <c r="H40" s="224">
        <f t="shared" si="1"/>
        <v>208097940.95277157</v>
      </c>
      <c r="I40" s="154">
        <f>H40/$H$127</f>
        <v>6.6200077725855927E-2</v>
      </c>
      <c r="J40" s="201">
        <f>I40*$E$129</f>
        <v>162834259.44557381</v>
      </c>
      <c r="K40" s="199"/>
      <c r="L40" s="381">
        <v>465347353.05098641</v>
      </c>
      <c r="M40" s="154">
        <f>L40/$L$127</f>
        <v>6.6651026660300552E-2</v>
      </c>
      <c r="N40" s="201">
        <f>M40*$E$129</f>
        <v>163943471.67478213</v>
      </c>
      <c r="O40" s="199"/>
      <c r="P40" s="223">
        <f>S_Equal</f>
        <v>3.8569434685105937E-2</v>
      </c>
      <c r="Q40" s="224">
        <f t="shared" si="2"/>
        <v>208094890.89144295</v>
      </c>
      <c r="R40" s="199"/>
      <c r="S40" s="331">
        <f>$D40/($D$30+$D$35+$D$40)</f>
        <v>0.97975243990743321</v>
      </c>
      <c r="T40" s="383">
        <v>87095960.443012074</v>
      </c>
      <c r="U40" s="340">
        <f>$S40*T40</f>
        <v>85332479.750122368</v>
      </c>
      <c r="V40" s="154">
        <f>U40/$U$127</f>
        <v>5.2840317494381076E-2</v>
      </c>
      <c r="W40" s="383">
        <v>83009492.289334282</v>
      </c>
      <c r="X40" s="340">
        <f>$S40*W40</f>
        <v>81328752.605952531</v>
      </c>
      <c r="Y40" s="154">
        <f>X40/$X$127</f>
        <v>5.3652568127013502E-2</v>
      </c>
      <c r="Z40" s="154">
        <f>AVERAGE(V40,Y40)</f>
        <v>5.3246442810697292E-2</v>
      </c>
      <c r="AA40" s="157">
        <f>$Z40*'Inputs and Assumptions'!$C$6</f>
        <v>130971826.33374149</v>
      </c>
      <c r="AB40" s="252"/>
      <c r="AC40" s="390">
        <f>CHOOSE(gen_choice,'Generation Calculations'!$O43,'Generation Calculations'!$P43)</f>
        <v>5.8301028558865861E-2</v>
      </c>
      <c r="AD40" s="391">
        <f>EPS</f>
        <v>0.01</v>
      </c>
      <c r="AE40" s="392">
        <f>AG40-SUM(AC40:AD40,AF40)</f>
        <v>3.8061754546641069E-2</v>
      </c>
      <c r="AF40" s="392">
        <f t="shared" si="8"/>
        <v>2.0501376383270263E-5</v>
      </c>
      <c r="AG40" s="211">
        <f>AL40/$D40</f>
        <v>0.10638328448189019</v>
      </c>
      <c r="AH40" s="201">
        <f>$D40*AE40</f>
        <v>205355788.1826756</v>
      </c>
      <c r="AI40" s="407">
        <f>CHOOSE(gen_choice,'Generation Calculations'!$M43,'Generation Calculations'!$N43)</f>
        <v>314553383.42050081</v>
      </c>
      <c r="AJ40" s="201">
        <f>$D40*AD40</f>
        <v>53953316.295766547</v>
      </c>
      <c r="AK40" s="217">
        <f>CHOOSE(gen_choice,'Generation Calculations'!K43,'Generation Calculations'!L43)</f>
        <v>-110611.7244505139</v>
      </c>
      <c r="AL40" s="201">
        <f>$D40*gen_equal</f>
        <v>573973099.62339342</v>
      </c>
      <c r="AM40" s="199"/>
      <c r="AN40" s="390">
        <f>CHOOSE(gen_choice,'Generation Calculations'!$O43,'Generation Calculations'!$P43)</f>
        <v>5.8301028558865861E-2</v>
      </c>
      <c r="AO40" s="391">
        <f>EPS</f>
        <v>0.01</v>
      </c>
      <c r="AP40" s="392">
        <f>AR40-SUM(AN40:AO40,AQ40)</f>
        <v>2.8680079055807342E-2</v>
      </c>
      <c r="AQ40" s="392">
        <f>AV40/$D40*-1</f>
        <v>2.0501376383270263E-5</v>
      </c>
      <c r="AR40" s="211">
        <f>AW40/$D40</f>
        <v>9.7001608991056462E-2</v>
      </c>
      <c r="AS40" s="201">
        <f>$D40*AP40</f>
        <v>154738537.6685563</v>
      </c>
      <c r="AT40" s="157">
        <f>$AI40</f>
        <v>314553383.42050081</v>
      </c>
      <c r="AU40" s="201">
        <f>$D40*AO40</f>
        <v>53953316.295766547</v>
      </c>
      <c r="AV40" s="157">
        <f>$AK40</f>
        <v>-110611.7244505139</v>
      </c>
      <c r="AW40" s="201">
        <f>$I40*'Inputs and Assumptions'!$C$15</f>
        <v>523355849.10927415</v>
      </c>
      <c r="AX40" s="199"/>
      <c r="AY40" s="390">
        <f>CHOOSE(gen_choice,'Generation Calculations'!$O43,'Generation Calculations'!$P43)</f>
        <v>5.8301028558865861E-2</v>
      </c>
      <c r="AZ40" s="391">
        <f>EPS</f>
        <v>0.01</v>
      </c>
      <c r="BA40" s="392">
        <f>BC40-SUM(AY40:AZ40,BB40)</f>
        <v>2.93408452318695E-2</v>
      </c>
      <c r="BB40" s="392">
        <f>BG40/$D40*-1</f>
        <v>2.0501376383270263E-5</v>
      </c>
      <c r="BC40" s="211">
        <f>BH40/$D40</f>
        <v>9.766237516711862E-2</v>
      </c>
      <c r="BD40" s="201">
        <f>$D40*BA40</f>
        <v>158303590.31801888</v>
      </c>
      <c r="BE40" s="157">
        <f>$AI40</f>
        <v>314553383.42050081</v>
      </c>
      <c r="BF40" s="201">
        <f>$D40*AZ40</f>
        <v>53953316.295766547</v>
      </c>
      <c r="BG40" s="157">
        <f>$AK40</f>
        <v>-110611.7244505139</v>
      </c>
      <c r="BH40" s="201">
        <f>$M40*'Inputs and Assumptions'!$C$15</f>
        <v>526920901.75873673</v>
      </c>
      <c r="BI40" s="199"/>
      <c r="BJ40" s="390">
        <f>CHOOSE(gen_choice,'Generation Calculations'!$O43,'Generation Calculations'!$P43)</f>
        <v>5.8301028558865861E-2</v>
      </c>
      <c r="BK40" s="391">
        <f>EPS</f>
        <v>0.01</v>
      </c>
      <c r="BL40" s="392">
        <f>BN40-SUM(BJ40:BK40,BM40)</f>
        <v>3.1334431510351007E-2</v>
      </c>
      <c r="BM40" s="392">
        <f>BR40/$D40*-1</f>
        <v>2.0501376383270263E-5</v>
      </c>
      <c r="BN40" s="211">
        <f>BS40/$D40</f>
        <v>9.9655961445600127E-2</v>
      </c>
      <c r="BO40" s="201">
        <f>$D40*BL40</f>
        <v>169059649.42260018</v>
      </c>
      <c r="BP40" s="157">
        <f>$AI40</f>
        <v>314553383.42050081</v>
      </c>
      <c r="BQ40" s="201">
        <f>$D40*BK40</f>
        <v>53953316.295766547</v>
      </c>
      <c r="BR40" s="157">
        <f>$AK40</f>
        <v>-110611.7244505139</v>
      </c>
      <c r="BS40" s="201">
        <f>D40*s_equal_gen</f>
        <v>537676960.86331797</v>
      </c>
      <c r="BT40" s="199"/>
      <c r="BU40" s="390">
        <f>CHOOSE(gen_choice,'Generation Calculations'!$O43,'Generation Calculations'!$P43)</f>
        <v>5.8301028558865861E-2</v>
      </c>
      <c r="BV40" s="391">
        <f>EPS</f>
        <v>0.01</v>
      </c>
      <c r="BW40" s="392">
        <f>BY40-SUM(BU40:BV40,BX40)</f>
        <v>9.699384890211965E-3</v>
      </c>
      <c r="BX40" s="392">
        <f>CC40/$D40*-1</f>
        <v>2.0501376383270263E-5</v>
      </c>
      <c r="BY40" s="211">
        <f>CD40/$D40</f>
        <v>7.8020914825461085E-2</v>
      </c>
      <c r="BZ40" s="201">
        <f>$D40*BW40</f>
        <v>52331398.085598499</v>
      </c>
      <c r="CA40" s="157">
        <f>$AI40</f>
        <v>314553383.42050081</v>
      </c>
      <c r="CB40" s="201">
        <f>$D40*BV40</f>
        <v>53953316.295766547</v>
      </c>
      <c r="CC40" s="157">
        <f>$AK40</f>
        <v>-110611.7244505139</v>
      </c>
      <c r="CD40" s="201">
        <f>$Z40*'Inputs and Assumptions'!$C$15</f>
        <v>420948709.52631629</v>
      </c>
    </row>
    <row r="41" spans="1:82">
      <c r="A41" s="89" t="s">
        <v>44</v>
      </c>
      <c r="B41" s="77" t="s">
        <v>28</v>
      </c>
      <c r="C41" s="77">
        <v>1</v>
      </c>
      <c r="D41" s="178">
        <f>'Test Year 2001 Sales and Revs.'!J44</f>
        <v>24508983.260808855</v>
      </c>
      <c r="E41" s="202">
        <f>surcharge_1*D41</f>
        <v>937929.96597929019</v>
      </c>
      <c r="F41" s="200"/>
      <c r="G41" s="243">
        <f>G39</f>
        <v>4.0079999999999998E-2</v>
      </c>
      <c r="H41" s="225">
        <f t="shared" si="1"/>
        <v>982320.04909321887</v>
      </c>
      <c r="I41" s="198">
        <f>H41/$H$127</f>
        <v>3.1249546873890683E-4</v>
      </c>
      <c r="J41" s="202">
        <f>I41*$E$129</f>
        <v>768654.20676572842</v>
      </c>
      <c r="K41" s="200"/>
      <c r="L41" s="382">
        <v>2164143.2219294221</v>
      </c>
      <c r="M41" s="198">
        <f>L41/$L$127</f>
        <v>3.0996709583888519E-4</v>
      </c>
      <c r="N41" s="202">
        <f>M41*$E$129</f>
        <v>762435.09429757972</v>
      </c>
      <c r="O41" s="200"/>
      <c r="P41" s="223">
        <f>S_Equal</f>
        <v>3.8569434685105937E-2</v>
      </c>
      <c r="Q41" s="225">
        <f t="shared" si="2"/>
        <v>945297.62907612184</v>
      </c>
      <c r="R41" s="200"/>
      <c r="S41" s="331">
        <f>$D41/($D$39+$D$41+$D$46)</f>
        <v>5.0793241486743034E-3</v>
      </c>
      <c r="T41" s="383">
        <v>83958782.992269039</v>
      </c>
      <c r="U41" s="343">
        <f>$S41*T41</f>
        <v>426453.87394593755</v>
      </c>
      <c r="V41" s="198">
        <f>U41/$U$127</f>
        <v>2.6407246293554235E-4</v>
      </c>
      <c r="W41" s="383">
        <v>81212350.460841551</v>
      </c>
      <c r="X41" s="343">
        <f>$S41*W41</f>
        <v>412503.85286635318</v>
      </c>
      <c r="Y41" s="198">
        <f>X41/$X$127</f>
        <v>2.7212874118209102E-4</v>
      </c>
      <c r="Z41" s="198">
        <f>AVERAGE(V41,Y41)</f>
        <v>2.6810060205881671E-4</v>
      </c>
      <c r="AA41" s="245">
        <f>$Z41*'Inputs and Assumptions'!$C$6</f>
        <v>659454.86006746907</v>
      </c>
      <c r="AB41" s="253"/>
      <c r="AC41" s="393">
        <f>CHOOSE(gen_choice,'Generation Calculations'!$O44,'Generation Calculations'!$P44)</f>
        <v>6.0334063919507276E-2</v>
      </c>
      <c r="AD41" s="394">
        <f>EPS</f>
        <v>0.01</v>
      </c>
      <c r="AE41" s="395">
        <f>AG41-SUM(AC41:AD41,AF41)</f>
        <v>4.7701796279323881E-2</v>
      </c>
      <c r="AF41" s="395">
        <f t="shared" si="8"/>
        <v>-1.1652575716940958E-2</v>
      </c>
      <c r="AG41" s="214">
        <f>AL41/$D41</f>
        <v>0.1063832844818902</v>
      </c>
      <c r="AH41" s="202">
        <f>$D41*AE41</f>
        <v>1169122.5265204632</v>
      </c>
      <c r="AI41" s="408">
        <f>CHOOSE(gen_choice,'Generation Calculations'!$M44,'Generation Calculations'!$N44)</f>
        <v>1478726.5626597754</v>
      </c>
      <c r="AJ41" s="202">
        <f>$D41*AD41</f>
        <v>245089.83260808856</v>
      </c>
      <c r="AK41" s="284">
        <f>CHOOSE(gen_choice,'Generation Calculations'!K44,'Generation Calculations'!L44)</f>
        <v>285592.78319181368</v>
      </c>
      <c r="AL41" s="202">
        <f>$D41*gen_equal</f>
        <v>2607346.1385965133</v>
      </c>
      <c r="AM41" s="200"/>
      <c r="AN41" s="393">
        <f>CHOOSE(gen_choice,'Generation Calculations'!$O44,'Generation Calculations'!$P44)</f>
        <v>6.0334063919507276E-2</v>
      </c>
      <c r="AO41" s="394">
        <f>EPS</f>
        <v>0.01</v>
      </c>
      <c r="AP41" s="395">
        <f>AR41-SUM(AN41:AO41,AQ41)</f>
        <v>4.2117694798770026E-2</v>
      </c>
      <c r="AQ41" s="395">
        <f>AV41/$D41*-1</f>
        <v>-1.1652575716940958E-2</v>
      </c>
      <c r="AR41" s="214">
        <f>AW41/$D41</f>
        <v>0.10079918300133635</v>
      </c>
      <c r="AS41" s="202">
        <f>$D41*AP41</f>
        <v>1032261.8768069107</v>
      </c>
      <c r="AT41" s="202">
        <f>$AI41</f>
        <v>1478726.5626597754</v>
      </c>
      <c r="AU41" s="202">
        <f>$D41*AO41</f>
        <v>245089.83260808856</v>
      </c>
      <c r="AV41" s="202">
        <f>$AK41</f>
        <v>285592.78319181368</v>
      </c>
      <c r="AW41" s="202">
        <f>$I41*'Inputs and Assumptions'!$C$15</f>
        <v>2470485.4888829612</v>
      </c>
      <c r="AX41" s="200"/>
      <c r="AY41" s="393">
        <f>CHOOSE(gen_choice,'Generation Calculations'!$O44,'Generation Calculations'!$P44)</f>
        <v>6.0334063919507276E-2</v>
      </c>
      <c r="AZ41" s="394">
        <f>EPS</f>
        <v>0.01</v>
      </c>
      <c r="BA41" s="395">
        <f>BC41-SUM(AY41:AZ41,BB41)</f>
        <v>4.1302137620698336E-2</v>
      </c>
      <c r="BB41" s="395">
        <f>BG41/$D41*-1</f>
        <v>-1.1652575716940958E-2</v>
      </c>
      <c r="BC41" s="214">
        <f>BH41/$D41</f>
        <v>9.9983625823264657E-2</v>
      </c>
      <c r="BD41" s="202">
        <f>$D41*BA41</f>
        <v>1012273.3995813192</v>
      </c>
      <c r="BE41" s="202">
        <f>$AI41</f>
        <v>1478726.5626597754</v>
      </c>
      <c r="BF41" s="202">
        <f>$D41*AZ41</f>
        <v>245089.83260808856</v>
      </c>
      <c r="BG41" s="202">
        <f>$AK41</f>
        <v>285592.78319181368</v>
      </c>
      <c r="BH41" s="202">
        <f>$M41*'Inputs and Assumptions'!$C$15</f>
        <v>2450497.0116573693</v>
      </c>
      <c r="BI41" s="200"/>
      <c r="BJ41" s="393">
        <f>CHOOSE(gen_choice,'Generation Calculations'!$O44,'Generation Calculations'!$P44)</f>
        <v>6.0334063919507276E-2</v>
      </c>
      <c r="BK41" s="394">
        <f>EPS</f>
        <v>0.01</v>
      </c>
      <c r="BL41" s="395">
        <f>BN41-SUM(BJ41:BK41,BM41)</f>
        <v>4.0974473243033806E-2</v>
      </c>
      <c r="BM41" s="395">
        <f>BR41/$D41*-1</f>
        <v>-1.1652575716940958E-2</v>
      </c>
      <c r="BN41" s="214">
        <f>BS41/$D41</f>
        <v>9.9655961445600127E-2</v>
      </c>
      <c r="BO41" s="202">
        <f>$D41*BL41</f>
        <v>1004242.6788339759</v>
      </c>
      <c r="BP41" s="202">
        <f>$AI41</f>
        <v>1478726.5626597754</v>
      </c>
      <c r="BQ41" s="202">
        <f>$D41*BK41</f>
        <v>245089.83260808856</v>
      </c>
      <c r="BR41" s="202">
        <f>$AK41</f>
        <v>285592.78319181368</v>
      </c>
      <c r="BS41" s="202">
        <f>D41*s_equal_gen</f>
        <v>2442466.2909100261</v>
      </c>
      <c r="BT41" s="200"/>
      <c r="BU41" s="393">
        <f>CHOOSE(gen_choice,'Generation Calculations'!$O44,'Generation Calculations'!$P44)</f>
        <v>6.0334063919507276E-2</v>
      </c>
      <c r="BV41" s="394">
        <f>EPS</f>
        <v>0.01</v>
      </c>
      <c r="BW41" s="395">
        <f>BY41-SUM(BU41:BV41,BX41)</f>
        <v>2.7797595026234738E-2</v>
      </c>
      <c r="BX41" s="395">
        <f>CC41/$D41*-1</f>
        <v>-1.1652575716940958E-2</v>
      </c>
      <c r="BY41" s="214">
        <f>CD41/$D41</f>
        <v>8.647908322880106E-2</v>
      </c>
      <c r="BZ41" s="202">
        <f>$D41*BW41</f>
        <v>681290.79118873074</v>
      </c>
      <c r="CA41" s="202">
        <f>$AI41</f>
        <v>1478726.5626597754</v>
      </c>
      <c r="CB41" s="202">
        <f>$D41*BV41</f>
        <v>245089.83260808856</v>
      </c>
      <c r="CC41" s="202">
        <f>$AK41</f>
        <v>285592.78319181368</v>
      </c>
      <c r="CD41" s="202">
        <f>$Z41*'Inputs and Assumptions'!$C$15</f>
        <v>2119514.403264781</v>
      </c>
    </row>
    <row r="42" spans="1:82">
      <c r="A42" s="105" t="s">
        <v>45</v>
      </c>
      <c r="B42" s="189" t="s">
        <v>28</v>
      </c>
      <c r="C42" s="189"/>
      <c r="D42" s="176">
        <f>SUM(D39:D41)</f>
        <v>10174449647.980888</v>
      </c>
      <c r="E42" s="201">
        <f>SUM(E39:E41)</f>
        <v>389364222.5235979</v>
      </c>
      <c r="F42" s="199"/>
      <c r="G42" s="238"/>
      <c r="H42" s="224">
        <f>SUM(H39:H41)</f>
        <v>399644991.13041329</v>
      </c>
      <c r="I42" s="154">
        <f>SUM(I39:I41)</f>
        <v>0.12713498920004571</v>
      </c>
      <c r="J42" s="201">
        <f>SUM(J39:J41)</f>
        <v>312717636.09916216</v>
      </c>
      <c r="K42" s="199"/>
      <c r="L42" s="157">
        <f>SUM(L39:L41)</f>
        <v>887343474.0760802</v>
      </c>
      <c r="M42" s="154">
        <f>SUM(M39:M41)</f>
        <v>0.12709291921342145</v>
      </c>
      <c r="N42" s="201">
        <f>SUM(N39:N41)</f>
        <v>312614155.32765597</v>
      </c>
      <c r="O42" s="199"/>
      <c r="P42" s="223"/>
      <c r="Q42" s="224">
        <f>SUM(Q39:Q41)</f>
        <v>392422771.15469795</v>
      </c>
      <c r="R42" s="199"/>
      <c r="T42" s="383"/>
      <c r="U42" s="340">
        <f>SUM(U39:U41)</f>
        <v>168488658.49917328</v>
      </c>
      <c r="V42" s="154">
        <f>SUM(V39:V41)</f>
        <v>0.10433300702580248</v>
      </c>
      <c r="W42" s="383"/>
      <c r="X42" s="340">
        <f>SUM(X39:X41)</f>
        <v>161764753.35377371</v>
      </c>
      <c r="Y42" s="154">
        <f>SUM(Y39:Y41)</f>
        <v>0.1067161879626277</v>
      </c>
      <c r="Z42" s="154">
        <f>AVERAGE(V42,Y42)</f>
        <v>0.10552459749421508</v>
      </c>
      <c r="AA42" s="157">
        <f>SUM(AA39:AA41)</f>
        <v>259561926.15694699</v>
      </c>
      <c r="AB42" s="252"/>
      <c r="AC42" s="208">
        <f>CHOOSE(gen_choice,'Generation Calculations'!$O45,'Generation Calculations'!$P45)</f>
        <v>5.9914726948444484E-2</v>
      </c>
      <c r="AD42" s="291">
        <f>EPS</f>
        <v>0.01</v>
      </c>
      <c r="AE42" s="211">
        <f>AH42/$D42</f>
        <v>3.6478178829489734E-2</v>
      </c>
      <c r="AF42" s="211">
        <f t="shared" si="8"/>
        <v>-9.6212960440285638E-6</v>
      </c>
      <c r="AG42" s="211">
        <f>AL42/$D42</f>
        <v>0.10638328448189019</v>
      </c>
      <c r="AH42" s="201">
        <f>AL42+AK42-SUM(AI42:AJ42)</f>
        <v>371145393.75068569</v>
      </c>
      <c r="AI42" s="201">
        <f>SUM(AI39:AI41)</f>
        <v>609599372.50947201</v>
      </c>
      <c r="AJ42" s="201">
        <f>SUM(AJ39:AJ41)</f>
        <v>101744496.47980888</v>
      </c>
      <c r="AK42" s="201">
        <f>SUM(AK39:AK41)</f>
        <v>97891.392148286337</v>
      </c>
      <c r="AL42" s="201">
        <f>SUM(AL39:AL41)</f>
        <v>1082391371.3478184</v>
      </c>
      <c r="AM42" s="199"/>
      <c r="AN42" s="208">
        <f>CHOOSE(gen_choice,'Generation Calculations'!$O45,'Generation Calculations'!$P45)</f>
        <v>5.9914726948444484E-2</v>
      </c>
      <c r="AO42" s="291">
        <f>EPS</f>
        <v>0.01</v>
      </c>
      <c r="AP42" s="211">
        <f>AS42/$D42</f>
        <v>2.888029066934018E-2</v>
      </c>
      <c r="AQ42" s="211">
        <f>AV42/$D42*-1</f>
        <v>-9.6212960440285638E-6</v>
      </c>
      <c r="AR42" s="211">
        <f>AW42/$D42</f>
        <v>9.8785396321740632E-2</v>
      </c>
      <c r="AS42" s="201">
        <f>SUM(AS39:AS41)</f>
        <v>293841063.23425394</v>
      </c>
      <c r="AT42" s="201">
        <f>SUM(AT39:AT41)</f>
        <v>609599372.50947201</v>
      </c>
      <c r="AU42" s="201">
        <f>SUM(AU39:AU41)</f>
        <v>101744496.47980888</v>
      </c>
      <c r="AV42" s="201">
        <f>SUM(AV39:AV41)</f>
        <v>97891.392148286337</v>
      </c>
      <c r="AW42" s="201">
        <f>SUM(AW39:AW41)</f>
        <v>1005087040.8313866</v>
      </c>
      <c r="AX42" s="199"/>
      <c r="AY42" s="208">
        <f>CHOOSE(gen_choice,'Generation Calculations'!$O45,'Generation Calculations'!$P45)</f>
        <v>5.9914726948444484E-2</v>
      </c>
      <c r="AZ42" s="291">
        <f>EPS</f>
        <v>0.01</v>
      </c>
      <c r="BA42" s="211">
        <f>BD42/$D42</f>
        <v>2.8847601790156906E-2</v>
      </c>
      <c r="BB42" s="211">
        <f>BG42/$D42*-1</f>
        <v>-9.6212960440285638E-6</v>
      </c>
      <c r="BC42" s="211">
        <f>BH42/$D42</f>
        <v>9.8752707442557361E-2</v>
      </c>
      <c r="BD42" s="201">
        <f>SUM(BD39:BD41)</f>
        <v>293508471.87895477</v>
      </c>
      <c r="BE42" s="201">
        <f>SUM(BE39:BE41)</f>
        <v>609599372.50947201</v>
      </c>
      <c r="BF42" s="201">
        <f>SUM(BF39:BF41)</f>
        <v>101744496.47980888</v>
      </c>
      <c r="BG42" s="201">
        <f>SUM(BG39:BG41)</f>
        <v>97891.392148286337</v>
      </c>
      <c r="BH42" s="201">
        <f>SUM(BH39:BH41)</f>
        <v>1004754449.4760875</v>
      </c>
      <c r="BI42" s="199"/>
      <c r="BJ42" s="208">
        <f>CHOOSE(gen_choice,'Generation Calculations'!$O45,'Generation Calculations'!$P45)</f>
        <v>5.9914726948444484E-2</v>
      </c>
      <c r="BK42" s="291">
        <f>EPS</f>
        <v>0.01</v>
      </c>
      <c r="BL42" s="211">
        <f>BO42/$D42</f>
        <v>2.9750855793199669E-2</v>
      </c>
      <c r="BM42" s="211">
        <f>BR42/$D42*-1</f>
        <v>-9.6212960440285638E-6</v>
      </c>
      <c r="BN42" s="211">
        <f>BS42/$D42</f>
        <v>9.9655961445600114E-2</v>
      </c>
      <c r="BO42" s="201">
        <f>SUM(BO39:BO41)</f>
        <v>302698584.25225055</v>
      </c>
      <c r="BP42" s="201">
        <f>SUM(BP39:BP41)</f>
        <v>609599372.50947201</v>
      </c>
      <c r="BQ42" s="201">
        <f>SUM(BQ39:BQ41)</f>
        <v>101744496.47980888</v>
      </c>
      <c r="BR42" s="201">
        <f>SUM(BR39:BR41)</f>
        <v>97891.392148286337</v>
      </c>
      <c r="BS42" s="201">
        <f>SUM(BS39:BS41)</f>
        <v>1013944561.8493831</v>
      </c>
      <c r="BT42" s="199"/>
      <c r="BU42" s="208">
        <f>CHOOSE(gen_choice,'Generation Calculations'!$O45,'Generation Calculations'!$P45)</f>
        <v>5.9914726948444484E-2</v>
      </c>
      <c r="BV42" s="291">
        <f>EPS</f>
        <v>0.01</v>
      </c>
      <c r="BW42" s="211">
        <f>BZ42/$D42</f>
        <v>1.2088759693005584E-2</v>
      </c>
      <c r="BX42" s="211">
        <f>CC42/$D42*-1</f>
        <v>-9.6212960440285638E-6</v>
      </c>
      <c r="BY42" s="211">
        <f>CD42/$D42</f>
        <v>8.1993865345406022E-2</v>
      </c>
      <c r="BZ42" s="201">
        <f>SUM(BZ39:BZ41)</f>
        <v>122996476.80302623</v>
      </c>
      <c r="CA42" s="201">
        <f>SUM(CA39:CA41)</f>
        <v>609599372.50947201</v>
      </c>
      <c r="CB42" s="201">
        <f>SUM(CB39:CB41)</f>
        <v>101744496.47980888</v>
      </c>
      <c r="CC42" s="201">
        <f>SUM(CC39:CC41)</f>
        <v>97891.392148286337</v>
      </c>
      <c r="CD42" s="201">
        <f>SUM(CD39:CD41)</f>
        <v>834242454.40015864</v>
      </c>
    </row>
    <row r="43" spans="1:82">
      <c r="A43" s="89"/>
      <c r="B43" s="77"/>
      <c r="C43" s="77"/>
      <c r="D43" s="176"/>
      <c r="E43" s="201"/>
      <c r="F43" s="199"/>
      <c r="G43" s="238"/>
      <c r="H43" s="224"/>
      <c r="I43" s="154"/>
      <c r="J43" s="201"/>
      <c r="K43" s="199"/>
      <c r="L43" s="157"/>
      <c r="M43" s="154"/>
      <c r="N43" s="201"/>
      <c r="O43" s="199"/>
      <c r="P43" s="223"/>
      <c r="Q43" s="224"/>
      <c r="R43" s="199"/>
      <c r="T43" s="383"/>
      <c r="V43" s="154"/>
      <c r="W43" s="383"/>
      <c r="X43" s="340"/>
      <c r="Y43" s="154"/>
      <c r="Z43" s="154"/>
      <c r="AA43" s="157"/>
      <c r="AB43" s="252"/>
      <c r="AC43" s="207"/>
      <c r="AD43" s="208"/>
      <c r="AE43" s="211"/>
      <c r="AH43" s="201"/>
      <c r="AJ43" s="201"/>
      <c r="AK43" s="201"/>
      <c r="AL43" s="201"/>
      <c r="AM43" s="199"/>
      <c r="AN43" s="207"/>
      <c r="AO43" s="208"/>
      <c r="AP43" s="211"/>
      <c r="AQ43"/>
      <c r="AR43"/>
      <c r="AS43" s="201"/>
      <c r="AT43" s="201"/>
      <c r="AU43" s="201"/>
      <c r="AV43" s="201"/>
      <c r="AW43" s="201"/>
      <c r="AX43" s="199"/>
      <c r="AY43" s="207"/>
      <c r="AZ43" s="208"/>
      <c r="BA43" s="211"/>
      <c r="BB43"/>
      <c r="BC43"/>
      <c r="BD43" s="201"/>
      <c r="BE43" s="201"/>
      <c r="BF43" s="201"/>
      <c r="BG43" s="201"/>
      <c r="BH43" s="201"/>
      <c r="BI43" s="199"/>
      <c r="BJ43" s="207"/>
      <c r="BK43" s="208"/>
      <c r="BL43" s="211"/>
      <c r="BM43"/>
      <c r="BN43"/>
      <c r="BO43" s="201"/>
      <c r="BP43" s="201"/>
      <c r="BQ43" s="201"/>
      <c r="BR43" s="201"/>
      <c r="BS43" s="201"/>
      <c r="BT43" s="199"/>
      <c r="BU43" s="207"/>
      <c r="BV43" s="208"/>
      <c r="BW43" s="211"/>
      <c r="BX43"/>
      <c r="BY43"/>
      <c r="BZ43" s="201"/>
      <c r="CA43" s="201"/>
      <c r="CB43" s="201"/>
      <c r="CC43" s="201"/>
      <c r="CD43" s="201"/>
    </row>
    <row r="44" spans="1:82">
      <c r="A44" s="105" t="s">
        <v>45</v>
      </c>
      <c r="B44" s="72"/>
      <c r="C44" s="72"/>
      <c r="D44" s="176">
        <f>D32+D37+D42</f>
        <v>10969251222.684456</v>
      </c>
      <c r="E44" s="201">
        <f>E32+E37+E42</f>
        <v>419780344.0733664</v>
      </c>
      <c r="F44" s="199"/>
      <c r="G44" s="238"/>
      <c r="H44" s="51">
        <f>H32+H37+H42</f>
        <v>429259216.104056</v>
      </c>
      <c r="I44" s="154">
        <f>H44/$H$127</f>
        <v>0.13655586086302418</v>
      </c>
      <c r="J44" s="201">
        <f>J32+J37+J42</f>
        <v>335890428.53795016</v>
      </c>
      <c r="K44" s="199"/>
      <c r="L44" s="157">
        <f>L32+L37+L42</f>
        <v>952581242.82874</v>
      </c>
      <c r="M44" s="154">
        <f>L44/$L$127</f>
        <v>0.13643683024221298</v>
      </c>
      <c r="N44" s="201">
        <f>N32+N37+N42</f>
        <v>335597645.45283955</v>
      </c>
      <c r="O44" s="199"/>
      <c r="P44" s="223"/>
      <c r="Q44" s="51">
        <f>Q32+Q37+Q42</f>
        <v>422356055.76539594</v>
      </c>
      <c r="R44" s="199"/>
      <c r="T44" s="383"/>
      <c r="V44" s="154">
        <f>U44/$U$127</f>
        <v>0</v>
      </c>
      <c r="W44" s="383"/>
      <c r="X44" s="340"/>
      <c r="Y44" s="154">
        <f>X44/$X$127</f>
        <v>0</v>
      </c>
      <c r="Z44" s="154">
        <f>AVERAGE(V44,Y44)</f>
        <v>0</v>
      </c>
      <c r="AA44" s="201">
        <f>AA32+AA37+AA42</f>
        <v>278329846.45363158</v>
      </c>
      <c r="AB44" s="252"/>
      <c r="AC44" s="211">
        <f>AI44/$D44</f>
        <v>5.9658145069262689E-2</v>
      </c>
      <c r="AD44" s="211">
        <f>AJ44/$D44</f>
        <v>0.01</v>
      </c>
      <c r="AE44" s="211">
        <f>AK44/$D44</f>
        <v>4.4994412131073148E-5</v>
      </c>
      <c r="AF44" s="211">
        <f t="shared" si="8"/>
        <v>-4.4994412131073148E-5</v>
      </c>
      <c r="AG44" s="211">
        <f>AL44/$D44</f>
        <v>0.10638328448189019</v>
      </c>
      <c r="AH44" s="201">
        <f>AH42+AH37+AH32</f>
        <v>403340835.41550398</v>
      </c>
      <c r="AI44" s="201">
        <f>AI42+AI37+AI32</f>
        <v>654405180.7440964</v>
      </c>
      <c r="AJ44" s="201">
        <f>AJ42+AJ37+AJ32</f>
        <v>109692512.22684456</v>
      </c>
      <c r="AK44" s="201">
        <f>AK42+AK37+AK32</f>
        <v>493555.01028274244</v>
      </c>
      <c r="AL44" s="201">
        <f>AL42+AL37+AL32</f>
        <v>1166944973.3761623</v>
      </c>
      <c r="AM44" s="199"/>
      <c r="AN44" s="211">
        <f>AT44/$D44</f>
        <v>5.9658145069262689E-2</v>
      </c>
      <c r="AO44" s="211">
        <f>AU44/$D44</f>
        <v>0.01</v>
      </c>
      <c r="AP44" s="211">
        <f>AV44/$D44</f>
        <v>4.4994412131073148E-5</v>
      </c>
      <c r="AQ44" s="211">
        <f>AV44/$D44*-1</f>
        <v>-4.4994412131073148E-5</v>
      </c>
      <c r="AR44" s="211">
        <f>AW44/$D44</f>
        <v>9.8417412857851133E-2</v>
      </c>
      <c r="AS44" s="201">
        <f>AS42+AS37+AS32</f>
        <v>315961188.36376619</v>
      </c>
      <c r="AT44" s="201">
        <f>AT42+AT37+AT32</f>
        <v>654405180.7440964</v>
      </c>
      <c r="AU44" s="201">
        <f>AU42+AU37+AU32</f>
        <v>109692512.22684456</v>
      </c>
      <c r="AV44" s="201">
        <f>AV42+AV37+AV32</f>
        <v>493555.01028274244</v>
      </c>
      <c r="AW44" s="201">
        <f>AW42+AW37+AW32</f>
        <v>1079565326.3244245</v>
      </c>
      <c r="AX44" s="199"/>
      <c r="AY44" s="211">
        <f>BE44/$D44</f>
        <v>5.9658145069262689E-2</v>
      </c>
      <c r="AZ44" s="211">
        <f>BF44/$D44</f>
        <v>0.01</v>
      </c>
      <c r="BA44" s="211">
        <f>BG44/$D44</f>
        <v>4.4994412131073148E-5</v>
      </c>
      <c r="BB44" s="211">
        <f>BG44/$D44*-1</f>
        <v>-4.4994412131073148E-5</v>
      </c>
      <c r="BC44" s="211">
        <f>BH44/$D44</f>
        <v>9.8331626091343521E-2</v>
      </c>
      <c r="BD44" s="201">
        <f>BD42+BD37+BD32</f>
        <v>315020171.77036238</v>
      </c>
      <c r="BE44" s="201">
        <f>BE42+BE37+BE32</f>
        <v>654405180.7440964</v>
      </c>
      <c r="BF44" s="201">
        <f>BF42+BF37+BF32</f>
        <v>109692512.22684456</v>
      </c>
      <c r="BG44" s="201">
        <f>BG42+BG37+BG32</f>
        <v>493555.01028274244</v>
      </c>
      <c r="BH44" s="201">
        <f>BH42+BH37+BH32</f>
        <v>1078624309.7310207</v>
      </c>
      <c r="BI44" s="199"/>
      <c r="BJ44" s="211">
        <f>BP44/$D44</f>
        <v>5.9658145069262689E-2</v>
      </c>
      <c r="BK44" s="211">
        <f>BQ44/$D44</f>
        <v>0.01</v>
      </c>
      <c r="BL44" s="211">
        <f>BR44/$D44</f>
        <v>4.4994412131073148E-5</v>
      </c>
      <c r="BM44" s="211">
        <f>BR44/$D44*-1</f>
        <v>-4.4994412131073148E-5</v>
      </c>
      <c r="BN44" s="211">
        <f>BS44/$D44</f>
        <v>9.9485950247064039E-2</v>
      </c>
      <c r="BO44" s="201">
        <f>BO42+BO37+BO32</f>
        <v>327682243.42687404</v>
      </c>
      <c r="BP44" s="201">
        <f>BP42+BP37+BP32</f>
        <v>654405180.7440964</v>
      </c>
      <c r="BQ44" s="201">
        <f>BQ42+BQ37+BQ32</f>
        <v>109692512.22684456</v>
      </c>
      <c r="BR44" s="201">
        <f>BR42+BR37+BR32</f>
        <v>493555.01028274244</v>
      </c>
      <c r="BS44" s="201">
        <f>BS42+BS37+BS32</f>
        <v>1091286381.3875322</v>
      </c>
      <c r="BT44" s="199"/>
      <c r="BU44" s="211">
        <f>CA44/$D44</f>
        <v>5.9658145069262689E-2</v>
      </c>
      <c r="BV44" s="211">
        <f>CB44/$D44</f>
        <v>0.01</v>
      </c>
      <c r="BW44" s="211">
        <f>CC44/$D44</f>
        <v>4.4994412131073148E-5</v>
      </c>
      <c r="BX44" s="211">
        <f>CC44/$D44*-1</f>
        <v>-4.4994412131073148E-5</v>
      </c>
      <c r="BY44" s="211">
        <f>CD44/$D44</f>
        <v>8.1551902292430062E-2</v>
      </c>
      <c r="BZ44" s="201">
        <f>BZ42+BZ37+BZ32</f>
        <v>130959165.97282363</v>
      </c>
      <c r="CA44" s="201">
        <f>CA42+CA37+CA32</f>
        <v>654405180.7440964</v>
      </c>
      <c r="CB44" s="201">
        <f>CB42+CB37+CB32</f>
        <v>109692512.22684456</v>
      </c>
      <c r="CC44" s="201">
        <f>CC42+CC37+CC32</f>
        <v>493555.01028274244</v>
      </c>
      <c r="CD44" s="201">
        <f>CD42+CD37+CD32</f>
        <v>894563303.93348169</v>
      </c>
    </row>
    <row r="45" spans="1:82">
      <c r="A45" s="89"/>
      <c r="B45" s="73"/>
      <c r="C45" s="73"/>
      <c r="D45" s="176"/>
      <c r="E45" s="201"/>
      <c r="F45" s="199"/>
      <c r="G45" s="238"/>
      <c r="H45" s="224"/>
      <c r="I45" s="154"/>
      <c r="J45" s="201"/>
      <c r="K45" s="199"/>
      <c r="L45" s="157"/>
      <c r="M45" s="154"/>
      <c r="N45" s="201"/>
      <c r="O45" s="199"/>
      <c r="P45" s="223"/>
      <c r="Q45" s="224"/>
      <c r="R45" s="199"/>
      <c r="T45" s="383"/>
      <c r="V45" s="154"/>
      <c r="W45" s="383"/>
      <c r="X45" s="340"/>
      <c r="Y45" s="154"/>
      <c r="Z45" s="154"/>
      <c r="AA45" s="157"/>
      <c r="AB45" s="252"/>
      <c r="AC45" s="207"/>
      <c r="AD45" s="208"/>
      <c r="AH45" s="201"/>
      <c r="AJ45" s="201"/>
      <c r="AK45" s="201"/>
      <c r="AL45" s="201"/>
      <c r="AM45" s="199"/>
      <c r="AN45" s="207"/>
      <c r="AO45" s="208"/>
      <c r="AP45"/>
      <c r="AQ45"/>
      <c r="AR45"/>
      <c r="AS45" s="201"/>
      <c r="AT45" s="201"/>
      <c r="AU45" s="201"/>
      <c r="AV45" s="201"/>
      <c r="AW45" s="201"/>
      <c r="AX45" s="199"/>
      <c r="AY45" s="207"/>
      <c r="AZ45" s="208"/>
      <c r="BA45"/>
      <c r="BB45"/>
      <c r="BC45"/>
      <c r="BD45" s="201"/>
      <c r="BE45" s="201"/>
      <c r="BF45" s="201"/>
      <c r="BG45" s="201"/>
      <c r="BH45" s="201"/>
      <c r="BI45" s="199"/>
      <c r="BJ45" s="207"/>
      <c r="BK45" s="208"/>
      <c r="BL45"/>
      <c r="BM45"/>
      <c r="BN45"/>
      <c r="BO45" s="201"/>
      <c r="BP45" s="201"/>
      <c r="BQ45" s="201"/>
      <c r="BR45" s="201"/>
      <c r="BS45" s="201"/>
      <c r="BT45" s="199"/>
      <c r="BU45" s="207"/>
      <c r="BV45" s="208"/>
      <c r="BW45"/>
      <c r="BX45"/>
      <c r="BY45"/>
      <c r="BZ45" s="201"/>
      <c r="CA45" s="201"/>
      <c r="CB45" s="201"/>
      <c r="CC45" s="201"/>
      <c r="CD45" s="201"/>
    </row>
    <row r="46" spans="1:82">
      <c r="A46" s="89" t="s">
        <v>47</v>
      </c>
      <c r="B46" s="77" t="s">
        <v>28</v>
      </c>
      <c r="C46" s="77">
        <v>1</v>
      </c>
      <c r="D46" s="178">
        <f>'Test Year 2001 Sales and Revs.'!J47</f>
        <v>46126944</v>
      </c>
      <c r="E46" s="202">
        <f>surcharge_1*D46</f>
        <v>1765223.899998731</v>
      </c>
      <c r="F46" s="200"/>
      <c r="G46" s="243">
        <f>G41</f>
        <v>4.0079999999999998E-2</v>
      </c>
      <c r="H46" s="225">
        <f t="shared" si="1"/>
        <v>1848767.9155199998</v>
      </c>
      <c r="I46" s="198">
        <f>H46/$H$127</f>
        <v>5.8812970058300139E-4</v>
      </c>
      <c r="J46" s="202">
        <f>I46*$E$129</f>
        <v>1446639.7554541824</v>
      </c>
      <c r="K46" s="200"/>
      <c r="L46" s="382">
        <v>4073009.1552000004</v>
      </c>
      <c r="M46" s="198">
        <f>L46/$L$127</f>
        <v>5.8337119575522633E-4</v>
      </c>
      <c r="N46" s="202">
        <f>M46*$E$129</f>
        <v>1434935.1225244796</v>
      </c>
      <c r="O46" s="200"/>
      <c r="P46" s="223">
        <f>S_Equal</f>
        <v>3.8569434685105937E-2</v>
      </c>
      <c r="Q46" s="225">
        <f t="shared" si="2"/>
        <v>1779090.1538315392</v>
      </c>
      <c r="R46" s="200"/>
      <c r="S46" s="331">
        <f>$D46/($D$39+$D$41+$D$46)</f>
        <v>9.5595030634500096E-3</v>
      </c>
      <c r="T46" s="383">
        <v>83958782.992269039</v>
      </c>
      <c r="U46" s="343">
        <f>$S46*T46</f>
        <v>802604.24321813043</v>
      </c>
      <c r="V46" s="198">
        <f>U46/$U$127</f>
        <v>4.9699555384036102E-4</v>
      </c>
      <c r="W46" s="383">
        <v>81212350.460841551</v>
      </c>
      <c r="X46" s="343">
        <f>$S46*W46</f>
        <v>776349.7130203906</v>
      </c>
      <c r="Y46" s="198">
        <f>X46/$X$127</f>
        <v>5.1215781053508063E-4</v>
      </c>
      <c r="Z46" s="198">
        <f>AVERAGE(V46,Y46)</f>
        <v>5.0457668218772088E-4</v>
      </c>
      <c r="AA46" s="245">
        <f>$Z46*'Inputs and Assumptions'!$C$6</f>
        <v>1241121.9623908661</v>
      </c>
      <c r="AB46" s="253"/>
      <c r="AC46" s="213">
        <f>CHOOSE(gen_choice,'Generation Calculations'!$O47,'Generation Calculations'!$P47)</f>
        <v>4.1473573703960917E-2</v>
      </c>
      <c r="AD46" s="292">
        <f>EPS</f>
        <v>0.01</v>
      </c>
      <c r="AE46" s="214">
        <f>AG46-SUM(AC46:AD46,AF46)</f>
        <v>5.490971077792927E-2</v>
      </c>
      <c r="AF46" s="214">
        <f t="shared" si="8"/>
        <v>0</v>
      </c>
      <c r="AG46" s="214">
        <f>AL46/$D46</f>
        <v>0.10638328448189019</v>
      </c>
      <c r="AH46" s="202">
        <f>$D46*AE46</f>
        <v>2532817.1541097397</v>
      </c>
      <c r="AI46" s="408">
        <f>CHOOSE(gen_choice,'Generation Calculations'!$M47,'Generation Calculations'!$N47)</f>
        <v>1913049.2117224778</v>
      </c>
      <c r="AJ46" s="202">
        <f>$D46*AD46</f>
        <v>461269.44</v>
      </c>
      <c r="AK46" s="284">
        <f>CHOOSE(gen_choice,'Generation Calculations'!K47,'Generation Calculations'!L47)</f>
        <v>0</v>
      </c>
      <c r="AL46" s="202">
        <f>$D46*gen_equal</f>
        <v>4907135.8058322174</v>
      </c>
      <c r="AM46" s="200"/>
      <c r="AN46" s="213">
        <f>CHOOSE(gen_choice,'Generation Calculations'!$O47,'Generation Calculations'!$P47)</f>
        <v>4.1473573703960917E-2</v>
      </c>
      <c r="AO46" s="292">
        <f>EPS</f>
        <v>0.01</v>
      </c>
      <c r="AP46" s="214">
        <f>AR46-SUM(AN46:AO46,AQ46)</f>
        <v>4.9325609297375429E-2</v>
      </c>
      <c r="AQ46" s="214">
        <f>AV46/$D46*-1</f>
        <v>0</v>
      </c>
      <c r="AR46" s="214">
        <f>AW46/$D46</f>
        <v>0.10079918300133635</v>
      </c>
      <c r="AS46" s="202">
        <f>$D46*AP46</f>
        <v>2275239.6178259156</v>
      </c>
      <c r="AT46" s="245">
        <f>$AI46</f>
        <v>1913049.2117224778</v>
      </c>
      <c r="AU46" s="202">
        <f>$D46*AO46</f>
        <v>461269.44</v>
      </c>
      <c r="AV46" s="245">
        <f>$AK46</f>
        <v>0</v>
      </c>
      <c r="AW46" s="202">
        <f>$I46*'Inputs and Assumptions'!$C$15</f>
        <v>4649558.2695483938</v>
      </c>
      <c r="AX46" s="200"/>
      <c r="AY46" s="213">
        <f>CHOOSE(gen_choice,'Generation Calculations'!$O47,'Generation Calculations'!$P47)</f>
        <v>4.1473573703960917E-2</v>
      </c>
      <c r="AZ46" s="292">
        <f>EPS</f>
        <v>0.01</v>
      </c>
      <c r="BA46" s="214">
        <f>BC46-SUM(AY46:AZ46,BB46)</f>
        <v>4.8510052119303711E-2</v>
      </c>
      <c r="BB46" s="214">
        <f>BG46/$D46*-1</f>
        <v>0</v>
      </c>
      <c r="BC46" s="214">
        <f>BH46/$D46</f>
        <v>9.998362582326463E-2</v>
      </c>
      <c r="BD46" s="202">
        <f>$D46*BA46</f>
        <v>2237620.4575442034</v>
      </c>
      <c r="BE46" s="245">
        <f>$AI46</f>
        <v>1913049.2117224778</v>
      </c>
      <c r="BF46" s="202">
        <f>$D46*AZ46</f>
        <v>461269.44</v>
      </c>
      <c r="BG46" s="245">
        <f>$AK46</f>
        <v>0</v>
      </c>
      <c r="BH46" s="202">
        <f>$M46*'Inputs and Assumptions'!$C$15</f>
        <v>4611939.1092666816</v>
      </c>
      <c r="BI46" s="200"/>
      <c r="BJ46" s="213">
        <f>CHOOSE(gen_choice,'Generation Calculations'!$O47,'Generation Calculations'!$P47)</f>
        <v>4.1473573703960917E-2</v>
      </c>
      <c r="BK46" s="292">
        <f>EPS</f>
        <v>0.01</v>
      </c>
      <c r="BL46" s="214">
        <f>BN46-SUM(BJ46:BK46,BM46)</f>
        <v>4.8182387741639195E-2</v>
      </c>
      <c r="BM46" s="214">
        <f>BR46/$D46*-1</f>
        <v>0</v>
      </c>
      <c r="BN46" s="214">
        <f>BS46/$D46</f>
        <v>9.9655961445600114E-2</v>
      </c>
      <c r="BO46" s="202">
        <f>$D46*BL46</f>
        <v>2222506.3011448774</v>
      </c>
      <c r="BP46" s="245">
        <f>$AI46</f>
        <v>1913049.2117224778</v>
      </c>
      <c r="BQ46" s="202">
        <f>$D46*BK46</f>
        <v>461269.44</v>
      </c>
      <c r="BR46" s="245">
        <f>$AK46</f>
        <v>0</v>
      </c>
      <c r="BS46" s="202">
        <f>D46*s_equal_gen</f>
        <v>4596824.9528673552</v>
      </c>
      <c r="BT46" s="200"/>
      <c r="BU46" s="213">
        <f>CHOOSE(gen_choice,'Generation Calculations'!$O47,'Generation Calculations'!$P47)</f>
        <v>4.1473573703960917E-2</v>
      </c>
      <c r="BV46" s="292">
        <f>EPS</f>
        <v>0.01</v>
      </c>
      <c r="BW46" s="214">
        <f>BY46-SUM(BU46:BV46,BX46)</f>
        <v>3.5005509524840113E-2</v>
      </c>
      <c r="BX46" s="214">
        <f>CC46/$D46*-1</f>
        <v>0</v>
      </c>
      <c r="BY46" s="214">
        <f>CD46/$D46</f>
        <v>8.6479083228801032E-2</v>
      </c>
      <c r="BZ46" s="202">
        <f>$D46*BW46</f>
        <v>1614697.1775437666</v>
      </c>
      <c r="CA46" s="245">
        <f>$AI46</f>
        <v>1913049.2117224778</v>
      </c>
      <c r="CB46" s="202">
        <f>$D46*BV46</f>
        <v>461269.44</v>
      </c>
      <c r="CC46" s="245">
        <f>$AK46</f>
        <v>0</v>
      </c>
      <c r="CD46" s="202">
        <f>$Z46*'Inputs and Assumptions'!$C$15</f>
        <v>3989015.8292662445</v>
      </c>
    </row>
    <row r="47" spans="1:82">
      <c r="A47" s="105" t="s">
        <v>48</v>
      </c>
      <c r="B47" s="72"/>
      <c r="C47" s="72"/>
      <c r="D47" s="176">
        <f>D46</f>
        <v>46126944</v>
      </c>
      <c r="E47" s="201">
        <f>E46</f>
        <v>1765223.899998731</v>
      </c>
      <c r="F47" s="199"/>
      <c r="G47" s="238"/>
      <c r="H47" s="224">
        <f>H46</f>
        <v>1848767.9155199998</v>
      </c>
      <c r="I47" s="154">
        <f>I46</f>
        <v>5.8812970058300139E-4</v>
      </c>
      <c r="J47" s="201">
        <f>SUM(J46)</f>
        <v>1446639.7554541824</v>
      </c>
      <c r="K47" s="199"/>
      <c r="L47" s="157">
        <f>L46</f>
        <v>4073009.1552000004</v>
      </c>
      <c r="M47" s="154">
        <f>M46</f>
        <v>5.8337119575522633E-4</v>
      </c>
      <c r="N47" s="201">
        <f>SUM(N46)</f>
        <v>1434935.1225244796</v>
      </c>
      <c r="O47" s="199"/>
      <c r="P47" s="223"/>
      <c r="Q47" s="224">
        <f>Q46</f>
        <v>1779090.1538315392</v>
      </c>
      <c r="R47" s="199"/>
      <c r="T47" s="383"/>
      <c r="U47" s="340">
        <f>U46</f>
        <v>802604.24321813043</v>
      </c>
      <c r="V47" s="154">
        <f>V46</f>
        <v>4.9699555384036102E-4</v>
      </c>
      <c r="W47" s="383"/>
      <c r="X47" s="340">
        <f>X46</f>
        <v>776349.7130203906</v>
      </c>
      <c r="Y47" s="154">
        <f>Y46</f>
        <v>5.1215781053508063E-4</v>
      </c>
      <c r="Z47" s="154">
        <f>AVERAGE(V47,Y47)</f>
        <v>5.0457668218772088E-4</v>
      </c>
      <c r="AA47" s="157">
        <f>AA46</f>
        <v>1241121.9623908661</v>
      </c>
      <c r="AB47" s="252"/>
      <c r="AC47" s="215">
        <f>AC46</f>
        <v>4.1473573703960917E-2</v>
      </c>
      <c r="AD47" s="291">
        <f>EPS</f>
        <v>0.01</v>
      </c>
      <c r="AE47" s="211">
        <f>AH47/$D47</f>
        <v>5.4909710777929263E-2</v>
      </c>
      <c r="AF47" s="211">
        <f t="shared" si="8"/>
        <v>0</v>
      </c>
      <c r="AG47" s="211">
        <f>AL47/$D47</f>
        <v>0.10638328448189019</v>
      </c>
      <c r="AH47" s="201">
        <f>AL47+AK47-SUM(AI47:AJ47)</f>
        <v>2532817.1541097397</v>
      </c>
      <c r="AI47" s="201">
        <f>AI46</f>
        <v>1913049.2117224778</v>
      </c>
      <c r="AJ47" s="201">
        <f>AJ46</f>
        <v>461269.44</v>
      </c>
      <c r="AK47" s="201">
        <f>AK46</f>
        <v>0</v>
      </c>
      <c r="AL47" s="201">
        <f>AL46</f>
        <v>4907135.8058322174</v>
      </c>
      <c r="AM47" s="199"/>
      <c r="AN47" s="215">
        <f>AN46</f>
        <v>4.1473573703960917E-2</v>
      </c>
      <c r="AO47" s="291">
        <f>EPS</f>
        <v>0.01</v>
      </c>
      <c r="AP47" s="211">
        <f>AS47/$D47</f>
        <v>4.9325609297375422E-2</v>
      </c>
      <c r="AQ47" s="211">
        <f>AV47/$D47*-1</f>
        <v>0</v>
      </c>
      <c r="AR47" s="211">
        <f>AW47/$D47</f>
        <v>0.10079918300133635</v>
      </c>
      <c r="AS47" s="201">
        <f>AS46</f>
        <v>2275239.6178259156</v>
      </c>
      <c r="AT47" s="201">
        <f>AT46</f>
        <v>1913049.2117224778</v>
      </c>
      <c r="AU47" s="201">
        <f>AU46</f>
        <v>461269.44</v>
      </c>
      <c r="AV47" s="201">
        <f>AV46</f>
        <v>0</v>
      </c>
      <c r="AW47" s="201">
        <f>AW46</f>
        <v>4649558.2695483938</v>
      </c>
      <c r="AX47" s="199"/>
      <c r="AY47" s="215">
        <f>AY46</f>
        <v>4.1473573703960917E-2</v>
      </c>
      <c r="AZ47" s="291">
        <f>EPS</f>
        <v>0.01</v>
      </c>
      <c r="BA47" s="211">
        <f>BD47/$D47</f>
        <v>4.8510052119303704E-2</v>
      </c>
      <c r="BB47" s="211">
        <f>BG47/$D47*-1</f>
        <v>0</v>
      </c>
      <c r="BC47" s="211">
        <f>BH47/$D47</f>
        <v>9.998362582326463E-2</v>
      </c>
      <c r="BD47" s="201">
        <f>BD46</f>
        <v>2237620.4575442034</v>
      </c>
      <c r="BE47" s="201">
        <f>BE46</f>
        <v>1913049.2117224778</v>
      </c>
      <c r="BF47" s="201">
        <f>BF46</f>
        <v>461269.44</v>
      </c>
      <c r="BG47" s="201">
        <f>BG46</f>
        <v>0</v>
      </c>
      <c r="BH47" s="201">
        <f>BH46</f>
        <v>4611939.1092666816</v>
      </c>
      <c r="BI47" s="199"/>
      <c r="BJ47" s="215">
        <f>BJ46</f>
        <v>4.1473573703960917E-2</v>
      </c>
      <c r="BK47" s="291">
        <f>EPS</f>
        <v>0.01</v>
      </c>
      <c r="BL47" s="211">
        <f>BO47/$D47</f>
        <v>4.8182387741639195E-2</v>
      </c>
      <c r="BM47" s="211">
        <f>BR47/$D47*-1</f>
        <v>0</v>
      </c>
      <c r="BN47" s="211">
        <f>BS47/$D47</f>
        <v>9.9655961445600114E-2</v>
      </c>
      <c r="BO47" s="201">
        <f>BO46</f>
        <v>2222506.3011448774</v>
      </c>
      <c r="BP47" s="201">
        <f>BP46</f>
        <v>1913049.2117224778</v>
      </c>
      <c r="BQ47" s="201">
        <f>BQ46</f>
        <v>461269.44</v>
      </c>
      <c r="BR47" s="201">
        <f>BR46</f>
        <v>0</v>
      </c>
      <c r="BS47" s="201">
        <f>BS46</f>
        <v>4596824.9528673552</v>
      </c>
      <c r="BT47" s="199"/>
      <c r="BU47" s="215">
        <f>BU46</f>
        <v>4.1473573703960917E-2</v>
      </c>
      <c r="BV47" s="291">
        <f>EPS</f>
        <v>0.01</v>
      </c>
      <c r="BW47" s="211">
        <f>BZ47/$D47</f>
        <v>3.5005509524840113E-2</v>
      </c>
      <c r="BX47" s="211">
        <f>CC47/$D47*-1</f>
        <v>0</v>
      </c>
      <c r="BY47" s="211">
        <f>CD47/$D47</f>
        <v>8.6479083228801032E-2</v>
      </c>
      <c r="BZ47" s="201">
        <f>BZ46</f>
        <v>1614697.1775437666</v>
      </c>
      <c r="CA47" s="201">
        <f>CA46</f>
        <v>1913049.2117224778</v>
      </c>
      <c r="CB47" s="201">
        <f>CB46</f>
        <v>461269.44</v>
      </c>
      <c r="CC47" s="201">
        <f>CC46</f>
        <v>0</v>
      </c>
      <c r="CD47" s="201">
        <f>CD46</f>
        <v>3989015.8292662445</v>
      </c>
    </row>
    <row r="48" spans="1:82">
      <c r="A48" s="89"/>
      <c r="B48" s="73"/>
      <c r="C48" s="73"/>
      <c r="D48" s="176"/>
      <c r="E48" s="201"/>
      <c r="F48" s="199"/>
      <c r="G48" s="238"/>
      <c r="H48" s="224"/>
      <c r="I48" s="154"/>
      <c r="J48" s="201"/>
      <c r="K48" s="199"/>
      <c r="L48" s="157"/>
      <c r="M48" s="154"/>
      <c r="N48" s="201"/>
      <c r="O48" s="199"/>
      <c r="P48" s="223"/>
      <c r="Q48" s="224"/>
      <c r="R48" s="199"/>
      <c r="T48" s="383"/>
      <c r="V48" s="154"/>
      <c r="W48" s="383"/>
      <c r="X48" s="340"/>
      <c r="Y48" s="154"/>
      <c r="Z48" s="154"/>
      <c r="AA48" s="157"/>
      <c r="AB48" s="252"/>
      <c r="AC48" s="207"/>
      <c r="AD48" s="208"/>
      <c r="AH48" s="201"/>
      <c r="AJ48" s="201"/>
      <c r="AK48" s="201"/>
      <c r="AL48" s="201"/>
      <c r="AM48" s="199"/>
      <c r="AN48" s="207"/>
      <c r="AO48" s="208"/>
      <c r="AP48"/>
      <c r="AQ48"/>
      <c r="AR48"/>
      <c r="AS48" s="201"/>
      <c r="AT48" s="201"/>
      <c r="AU48" s="201"/>
      <c r="AV48" s="201"/>
      <c r="AW48" s="201"/>
      <c r="AX48" s="199"/>
      <c r="AY48" s="207"/>
      <c r="AZ48" s="208"/>
      <c r="BA48"/>
      <c r="BB48"/>
      <c r="BC48"/>
      <c r="BD48" s="201"/>
      <c r="BE48" s="201"/>
      <c r="BF48" s="201"/>
      <c r="BG48" s="201"/>
      <c r="BH48" s="201"/>
      <c r="BI48" s="199"/>
      <c r="BJ48" s="207"/>
      <c r="BK48" s="208"/>
      <c r="BL48"/>
      <c r="BM48"/>
      <c r="BN48"/>
      <c r="BO48" s="201"/>
      <c r="BP48" s="201"/>
      <c r="BQ48" s="201"/>
      <c r="BR48" s="201"/>
      <c r="BS48" s="201"/>
      <c r="BT48" s="199"/>
      <c r="BU48" s="207"/>
      <c r="BV48" s="208"/>
      <c r="BW48"/>
      <c r="BX48"/>
      <c r="BY48"/>
      <c r="BZ48" s="201"/>
      <c r="CA48" s="201"/>
      <c r="CB48" s="201"/>
      <c r="CC48" s="201"/>
      <c r="CD48" s="201"/>
    </row>
    <row r="49" spans="1:82">
      <c r="A49" s="105" t="s">
        <v>49</v>
      </c>
      <c r="B49" s="189" t="s">
        <v>21</v>
      </c>
      <c r="C49" s="189"/>
      <c r="D49" s="176">
        <f>D32</f>
        <v>10848270.182616483</v>
      </c>
      <c r="E49" s="201">
        <f>E32</f>
        <v>415150.54194785189</v>
      </c>
      <c r="F49" s="199"/>
      <c r="G49" s="238"/>
      <c r="H49" s="224">
        <f>H32</f>
        <v>395720.95606710948</v>
      </c>
      <c r="I49" s="154">
        <f>H49/$H$127</f>
        <v>1.2588667590583271E-4</v>
      </c>
      <c r="J49" s="201">
        <f>J32</f>
        <v>309647.12352875405</v>
      </c>
      <c r="K49" s="199"/>
      <c r="L49" s="157">
        <f>L32</f>
        <v>871553.16403366486</v>
      </c>
      <c r="M49" s="154">
        <f>L49/$L$127</f>
        <v>1.2483129600075838E-4</v>
      </c>
      <c r="N49" s="201">
        <f>N32</f>
        <v>307051.17483533733</v>
      </c>
      <c r="O49" s="199"/>
      <c r="P49" s="223"/>
      <c r="Q49" s="51">
        <f>Q32</f>
        <v>393345.5126450737</v>
      </c>
      <c r="R49" s="199"/>
      <c r="T49" s="383"/>
      <c r="U49" s="326">
        <f>U32</f>
        <v>164017.37700506503</v>
      </c>
      <c r="V49" s="154">
        <f>U49/$U$127</f>
        <v>1.0156426135654175E-4</v>
      </c>
      <c r="W49" s="383"/>
      <c r="X49" s="326">
        <f>X32</f>
        <v>162358.31772233878</v>
      </c>
      <c r="Y49" s="154">
        <f>X49/$X$127</f>
        <v>1.0710776230382663E-4</v>
      </c>
      <c r="Z49" s="154">
        <f>AVERAGE(V49,Y49)</f>
        <v>1.043360118301842E-4</v>
      </c>
      <c r="AA49" s="201">
        <f>AA32</f>
        <v>256638.32737823279</v>
      </c>
      <c r="AB49" s="252"/>
      <c r="AC49" s="208">
        <f>CHOOSE(gen_choice,'Generation Calculations'!$O51,'Generation Calculations'!$P51)</f>
        <v>6.6918710481465291E-2</v>
      </c>
      <c r="AD49" s="291">
        <f t="shared" ref="AD49:AD54" si="9">EPS</f>
        <v>0.01</v>
      </c>
      <c r="AE49" s="211">
        <f>AH49/$D49</f>
        <v>2.8916941118727744E-2</v>
      </c>
      <c r="AF49" s="211">
        <f t="shared" si="8"/>
        <v>5.4763288169715034E-4</v>
      </c>
      <c r="AG49" s="211">
        <f>AL49/$D49</f>
        <v>0.10638328448189018</v>
      </c>
      <c r="AH49" s="201">
        <f>AH32</f>
        <v>313698.79011077073</v>
      </c>
      <c r="AI49" s="201">
        <f>AI32</f>
        <v>725952.25157522503</v>
      </c>
      <c r="AJ49" s="201">
        <f>AJ32</f>
        <v>108482.70182616485</v>
      </c>
      <c r="AK49" s="201">
        <f>AK32</f>
        <v>-5940.8694615355362</v>
      </c>
      <c r="AL49" s="201">
        <f>AL32</f>
        <v>1154074.6129736961</v>
      </c>
      <c r="AM49" s="199"/>
      <c r="AN49" s="208">
        <f>CHOOSE(gen_choice,'Generation Calculations'!$O51,'Generation Calculations'!$P51)</f>
        <v>6.6918710481465291E-2</v>
      </c>
      <c r="AO49" s="291">
        <f t="shared" ref="AO49:AO54" si="10">EPS</f>
        <v>0.01</v>
      </c>
      <c r="AP49" s="211">
        <f>AS49/$D49</f>
        <v>1.427347076096643E-2</v>
      </c>
      <c r="AQ49" s="211">
        <f>AV49/$D49*-1</f>
        <v>5.4763288169715034E-4</v>
      </c>
      <c r="AR49" s="211">
        <f>AW49/$D49</f>
        <v>9.1739814124128877E-2</v>
      </c>
      <c r="AS49" s="201">
        <f>AS32</f>
        <v>154842.46725864033</v>
      </c>
      <c r="AT49" s="201">
        <f>AT32</f>
        <v>725952.25157522503</v>
      </c>
      <c r="AU49" s="201">
        <f>AU32</f>
        <v>108482.70182616485</v>
      </c>
      <c r="AV49" s="201">
        <f>AV32</f>
        <v>-5940.8694615355362</v>
      </c>
      <c r="AW49" s="201">
        <f>AW32</f>
        <v>995218.29012156581</v>
      </c>
      <c r="AX49" s="199"/>
      <c r="AY49" s="208">
        <f>CHOOSE(gen_choice,'Generation Calculations'!$O51,'Generation Calculations'!$P51)</f>
        <v>6.6918710481465291E-2</v>
      </c>
      <c r="AZ49" s="291">
        <f t="shared" ref="AZ49:AZ54" si="11">EPS</f>
        <v>0.01</v>
      </c>
      <c r="BA49" s="211">
        <f>BD49/$D49</f>
        <v>1.3504363501400002E-2</v>
      </c>
      <c r="BB49" s="211">
        <f>BG49/$D49*-1</f>
        <v>5.4763288169715034E-4</v>
      </c>
      <c r="BC49" s="211">
        <f>BH49/$D49</f>
        <v>9.0970706864562448E-2</v>
      </c>
      <c r="BD49" s="201">
        <f>BD32</f>
        <v>146498.98390745197</v>
      </c>
      <c r="BE49" s="201">
        <f>BE32</f>
        <v>725952.25157522503</v>
      </c>
      <c r="BF49" s="201">
        <f>BF32</f>
        <v>108482.70182616485</v>
      </c>
      <c r="BG49" s="201">
        <f>BG32</f>
        <v>-5940.8694615355362</v>
      </c>
      <c r="BH49" s="201">
        <f>BH32</f>
        <v>986874.80677037744</v>
      </c>
      <c r="BI49" s="199"/>
      <c r="BJ49" s="208">
        <f>CHOOSE(gen_choice,'Generation Calculations'!$O51,'Generation Calculations'!$P51)</f>
        <v>6.6918710481465291E-2</v>
      </c>
      <c r="BK49" s="291">
        <f t="shared" ref="BK49:BK54" si="12">EPS</f>
        <v>0.01</v>
      </c>
      <c r="BL49" s="211">
        <f>BO49/$D49</f>
        <v>1.6219445276940896E-2</v>
      </c>
      <c r="BM49" s="211">
        <f>BR49/$D49*-1</f>
        <v>5.4763288169715034E-4</v>
      </c>
      <c r="BN49" s="211">
        <f>BS49/$D49</f>
        <v>9.3685788640103324E-2</v>
      </c>
      <c r="BO49" s="201">
        <f>BO32</f>
        <v>175952.92457641766</v>
      </c>
      <c r="BP49" s="201">
        <f>BP32</f>
        <v>725952.25157522503</v>
      </c>
      <c r="BQ49" s="201">
        <f>BQ32</f>
        <v>108482.70182616485</v>
      </c>
      <c r="BR49" s="201">
        <f>BR32</f>
        <v>-5940.8694615355362</v>
      </c>
      <c r="BS49" s="201">
        <f>BS32</f>
        <v>1016328.747439343</v>
      </c>
      <c r="BT49" s="199"/>
      <c r="BU49" s="208">
        <f>CHOOSE(gen_choice,'Generation Calculations'!$O51,'Generation Calculations'!$P51)</f>
        <v>6.6918710481465291E-2</v>
      </c>
      <c r="BV49" s="291">
        <f t="shared" ref="BV49:BV54" si="13">EPS</f>
        <v>0.01</v>
      </c>
      <c r="BW49" s="211">
        <f>BZ49/$D49</f>
        <v>-1.4315584037597714E-3</v>
      </c>
      <c r="BX49" s="211">
        <f>CC49/$D49*-1</f>
        <v>5.4763288169715034E-4</v>
      </c>
      <c r="BY49" s="211">
        <f>CD49/$D49</f>
        <v>7.6034784959402663E-2</v>
      </c>
      <c r="BZ49" s="201">
        <f>BZ32</f>
        <v>-15529.932346181176</v>
      </c>
      <c r="CA49" s="201">
        <f>CA32</f>
        <v>725952.25157522503</v>
      </c>
      <c r="CB49" s="201">
        <f>CB32</f>
        <v>108482.70182616485</v>
      </c>
      <c r="CC49" s="201">
        <f>CC32</f>
        <v>-5940.8694615355362</v>
      </c>
      <c r="CD49" s="201">
        <f>CD32</f>
        <v>824845.89051674423</v>
      </c>
    </row>
    <row r="50" spans="1:82">
      <c r="A50" s="105" t="s">
        <v>49</v>
      </c>
      <c r="B50" s="189" t="s">
        <v>27</v>
      </c>
      <c r="C50" s="189"/>
      <c r="D50" s="176">
        <f>D37</f>
        <v>783953304.52095127</v>
      </c>
      <c r="E50" s="201">
        <f>E37</f>
        <v>30000971.007820643</v>
      </c>
      <c r="F50" s="199"/>
      <c r="G50" s="238"/>
      <c r="H50" s="224">
        <f>H37</f>
        <v>29218504.017575622</v>
      </c>
      <c r="I50" s="154">
        <f>H50/$H$127</f>
        <v>9.2949849870726381E-3</v>
      </c>
      <c r="J50" s="201">
        <f>J37</f>
        <v>22863145.315259222</v>
      </c>
      <c r="K50" s="199"/>
      <c r="L50" s="157">
        <f>L37</f>
        <v>64366215.588626169</v>
      </c>
      <c r="M50" s="154">
        <f>L50/$L$127</f>
        <v>9.2190797327907602E-3</v>
      </c>
      <c r="N50" s="201">
        <f>N37</f>
        <v>22676438.950348262</v>
      </c>
      <c r="O50" s="199"/>
      <c r="P50" s="223"/>
      <c r="Q50" s="51">
        <f>Q37</f>
        <v>29539939.098052934</v>
      </c>
      <c r="R50" s="199"/>
      <c r="T50" s="383"/>
      <c r="U50" s="326">
        <f>U37</f>
        <v>11813569.875444064</v>
      </c>
      <c r="V50" s="154">
        <f>U50/$U$127</f>
        <v>7.3153010997506502E-3</v>
      </c>
      <c r="W50" s="383"/>
      <c r="X50" s="326">
        <f>X37</f>
        <v>11726815.832780389</v>
      </c>
      <c r="Y50" s="154">
        <f>X50/$X$127</f>
        <v>7.7361789677214418E-3</v>
      </c>
      <c r="Z50" s="154">
        <f>AVERAGE(V50,Y50)</f>
        <v>7.5257400337360465E-3</v>
      </c>
      <c r="AA50" s="201">
        <f>AA37</f>
        <v>18511281.969306361</v>
      </c>
      <c r="AB50" s="252"/>
      <c r="AC50" s="208">
        <f>CHOOSE(gen_choice,'Generation Calculations'!$O52,'Generation Calculations'!$P52)</f>
        <v>5.6227655051451046E-2</v>
      </c>
      <c r="AD50" s="291">
        <f t="shared" si="9"/>
        <v>0.01</v>
      </c>
      <c r="AE50" s="211">
        <f>AH50/$D50</f>
        <v>4.066791056412402E-2</v>
      </c>
      <c r="AF50" s="211">
        <f t="shared" si="8"/>
        <v>-5.1228113368486825E-4</v>
      </c>
      <c r="AG50" s="211">
        <f>AL50/$D50</f>
        <v>0.1063832844818902</v>
      </c>
      <c r="AH50" s="201">
        <f>AH37</f>
        <v>31881742.874707527</v>
      </c>
      <c r="AI50" s="201">
        <f>AI37</f>
        <v>44079855.983049206</v>
      </c>
      <c r="AJ50" s="201">
        <f>AJ37</f>
        <v>7839533.045209513</v>
      </c>
      <c r="AK50" s="201">
        <f>AK37</f>
        <v>401604.48759599164</v>
      </c>
      <c r="AL50" s="201">
        <f>AL37</f>
        <v>83399527.415370256</v>
      </c>
      <c r="AM50" s="199"/>
      <c r="AN50" s="208">
        <f>CHOOSE(gen_choice,'Generation Calculations'!$O52,'Generation Calculations'!$P52)</f>
        <v>5.6227655051451046E-2</v>
      </c>
      <c r="AO50" s="291">
        <f t="shared" si="10"/>
        <v>0.01</v>
      </c>
      <c r="AP50" s="211">
        <f>AS50/$D50</f>
        <v>2.8018610975402276E-2</v>
      </c>
      <c r="AQ50" s="211">
        <f>AV50/$D50*-1</f>
        <v>-5.1228113368486825E-4</v>
      </c>
      <c r="AR50" s="211">
        <f>AW50/$D50</f>
        <v>9.3733984893168434E-2</v>
      </c>
      <c r="AS50" s="201">
        <f>AS37</f>
        <v>21965282.662253607</v>
      </c>
      <c r="AT50" s="201">
        <f>AT37</f>
        <v>44079855.983049206</v>
      </c>
      <c r="AU50" s="201">
        <f>AU37</f>
        <v>7839533.045209513</v>
      </c>
      <c r="AV50" s="201">
        <f>AV37</f>
        <v>401604.48759599164</v>
      </c>
      <c r="AW50" s="201">
        <f>AW37</f>
        <v>73483067.202916324</v>
      </c>
      <c r="AX50" s="199"/>
      <c r="AY50" s="208">
        <f>CHOOSE(gen_choice,'Generation Calculations'!$O52,'Generation Calculations'!$P52)</f>
        <v>5.6227655051451046E-2</v>
      </c>
      <c r="AZ50" s="291">
        <f t="shared" si="11"/>
        <v>0.01</v>
      </c>
      <c r="BA50" s="211">
        <f>BD50/$D50</f>
        <v>2.7253154982943461E-2</v>
      </c>
      <c r="BB50" s="211">
        <f>BG50/$D50*-1</f>
        <v>-5.1228113368486825E-4</v>
      </c>
      <c r="BC50" s="211">
        <f>BH50/$D50</f>
        <v>9.2968528900709627E-2</v>
      </c>
      <c r="BD50" s="201">
        <f>BD37</f>
        <v>21365200.907500155</v>
      </c>
      <c r="BE50" s="201">
        <f>BE37</f>
        <v>44079855.983049206</v>
      </c>
      <c r="BF50" s="201">
        <f>BF37</f>
        <v>7839533.045209513</v>
      </c>
      <c r="BG50" s="201">
        <f>BG37</f>
        <v>401604.48759599164</v>
      </c>
      <c r="BH50" s="201">
        <f>BH37</f>
        <v>72882985.448162869</v>
      </c>
      <c r="BI50" s="199"/>
      <c r="BJ50" s="208">
        <f>CHOOSE(gen_choice,'Generation Calculations'!$O52,'Generation Calculations'!$P52)</f>
        <v>5.6227655051451046E-2</v>
      </c>
      <c r="BK50" s="291">
        <f t="shared" si="12"/>
        <v>0.01</v>
      </c>
      <c r="BL50" s="211">
        <f>BO50/$D50</f>
        <v>3.1644367218027492E-2</v>
      </c>
      <c r="BM50" s="211">
        <f>BR50/$D50*-1</f>
        <v>-5.1228113368486825E-4</v>
      </c>
      <c r="BN50" s="211">
        <f>BS50/$D50</f>
        <v>9.7359741135793668E-2</v>
      </c>
      <c r="BO50" s="201">
        <f>BO37</f>
        <v>24807706.250047114</v>
      </c>
      <c r="BP50" s="201">
        <f>BP37</f>
        <v>44079855.983049206</v>
      </c>
      <c r="BQ50" s="201">
        <f>BQ37</f>
        <v>7839533.045209513</v>
      </c>
      <c r="BR50" s="201">
        <f>BR37</f>
        <v>401604.48759599164</v>
      </c>
      <c r="BS50" s="201">
        <f>BS37</f>
        <v>76325490.790709838</v>
      </c>
      <c r="BT50" s="199"/>
      <c r="BU50" s="208">
        <f>CHOOSE(gen_choice,'Generation Calculations'!$O52,'Generation Calculations'!$P52)</f>
        <v>5.6227655051451046E-2</v>
      </c>
      <c r="BV50" s="291">
        <f t="shared" si="13"/>
        <v>0.01</v>
      </c>
      <c r="BW50" s="211">
        <f>BZ50/$D50</f>
        <v>1.017690601740473E-2</v>
      </c>
      <c r="BX50" s="211">
        <f>CC50/$D50*-1</f>
        <v>-5.1228113368486825E-4</v>
      </c>
      <c r="BY50" s="211">
        <f>CD50/$D50</f>
        <v>7.589227993517092E-2</v>
      </c>
      <c r="BZ50" s="201">
        <f>BZ37</f>
        <v>7978219.1021435913</v>
      </c>
      <c r="CA50" s="201">
        <f>CA37</f>
        <v>44079855.983049206</v>
      </c>
      <c r="CB50" s="201">
        <f>CB37</f>
        <v>7839533.045209513</v>
      </c>
      <c r="CC50" s="201">
        <f>CC37</f>
        <v>401604.48759599164</v>
      </c>
      <c r="CD50" s="201">
        <f>CD37</f>
        <v>59496003.642806329</v>
      </c>
    </row>
    <row r="51" spans="1:82">
      <c r="A51" s="105" t="s">
        <v>49</v>
      </c>
      <c r="B51" s="189" t="s">
        <v>28</v>
      </c>
      <c r="C51" s="189"/>
      <c r="D51" s="179">
        <f>D42+D46</f>
        <v>10220576591.980888</v>
      </c>
      <c r="E51" s="202">
        <f>E42+E46</f>
        <v>391129446.42359662</v>
      </c>
      <c r="F51" s="200"/>
      <c r="G51" s="243"/>
      <c r="H51" s="225">
        <f>H42+H46</f>
        <v>401493759.04593331</v>
      </c>
      <c r="I51" s="198">
        <f>H51/$H$127</f>
        <v>0.12772311890062873</v>
      </c>
      <c r="J51" s="202">
        <f>J42+J46</f>
        <v>314164275.85461634</v>
      </c>
      <c r="K51" s="200"/>
      <c r="L51" s="245">
        <f>L42+L46</f>
        <v>891416483.23128021</v>
      </c>
      <c r="M51" s="198">
        <f>L51/$L$127</f>
        <v>0.12767629040917669</v>
      </c>
      <c r="N51" s="202">
        <f>N42+N46</f>
        <v>314049090.45018047</v>
      </c>
      <c r="O51" s="200"/>
      <c r="P51" s="223"/>
      <c r="Q51" s="226">
        <f>Q42+Q46</f>
        <v>394201861.3085295</v>
      </c>
      <c r="R51" s="200"/>
      <c r="T51" s="383"/>
      <c r="U51" s="343">
        <f>U42+U46</f>
        <v>169291262.74239141</v>
      </c>
      <c r="V51" s="198">
        <f>U51/$U$127</f>
        <v>0.10483000257964284</v>
      </c>
      <c r="W51" s="383"/>
      <c r="X51" s="343">
        <f>X42+X46</f>
        <v>162541103.0667941</v>
      </c>
      <c r="Y51" s="198">
        <f>X51/$X$127</f>
        <v>0.1072283457731628</v>
      </c>
      <c r="Z51" s="198">
        <f>AVERAGE(V51,Y51)</f>
        <v>0.10602917417640281</v>
      </c>
      <c r="AA51" s="202">
        <f>AA42+AA46</f>
        <v>260803048.11933786</v>
      </c>
      <c r="AB51" s="253"/>
      <c r="AC51" s="213">
        <f>CHOOSE(gen_choice,'Generation Calculations'!$O53,'Generation Calculations'!$P53)</f>
        <v>5.9831499350143313E-2</v>
      </c>
      <c r="AD51" s="292">
        <f t="shared" si="9"/>
        <v>0.01</v>
      </c>
      <c r="AE51" s="214">
        <f>AH51/$D51</f>
        <v>3.6561363005486895E-2</v>
      </c>
      <c r="AF51" s="214">
        <f t="shared" si="8"/>
        <v>-9.5778737400287553E-6</v>
      </c>
      <c r="AG51" s="214">
        <f>AL51/$D51</f>
        <v>0.10638328448189019</v>
      </c>
      <c r="AH51" s="202">
        <f>AH42+AH46</f>
        <v>373678210.90479541</v>
      </c>
      <c r="AI51" s="202">
        <f>AI42+AI46</f>
        <v>611512421.72119451</v>
      </c>
      <c r="AJ51" s="202">
        <f>AJ42+AJ46</f>
        <v>102205765.91980888</v>
      </c>
      <c r="AK51" s="202">
        <f>AK42+AK46</f>
        <v>97891.392148286337</v>
      </c>
      <c r="AL51" s="202">
        <f>AL42+AL46</f>
        <v>1087298507.1536505</v>
      </c>
      <c r="AM51" s="200"/>
      <c r="AN51" s="213">
        <f>CHOOSE(gen_choice,'Generation Calculations'!$O53,'Generation Calculations'!$P53)</f>
        <v>5.9831499350143313E-2</v>
      </c>
      <c r="AO51" s="292">
        <f t="shared" si="10"/>
        <v>0.01</v>
      </c>
      <c r="AP51" s="214">
        <f>AS51/$D51</f>
        <v>2.8972563356593217E-2</v>
      </c>
      <c r="AQ51" s="214">
        <f>AV51/$D51*-1</f>
        <v>-9.5778737400287553E-6</v>
      </c>
      <c r="AR51" s="214">
        <f>AW51/$D51</f>
        <v>9.8794484832996507E-2</v>
      </c>
      <c r="AS51" s="202">
        <f>AS42+AS46</f>
        <v>296116302.85207987</v>
      </c>
      <c r="AT51" s="202">
        <f>AT42+AT46</f>
        <v>611512421.72119451</v>
      </c>
      <c r="AU51" s="202">
        <f>AU42+AU46</f>
        <v>102205765.91980888</v>
      </c>
      <c r="AV51" s="202">
        <f>AV42+AV46</f>
        <v>97891.392148286337</v>
      </c>
      <c r="AW51" s="202">
        <f>AW42+AW46</f>
        <v>1009736599.100935</v>
      </c>
      <c r="AX51" s="200"/>
      <c r="AY51" s="213">
        <f>CHOOSE(gen_choice,'Generation Calculations'!$O53,'Generation Calculations'!$P53)</f>
        <v>5.9831499350143313E-2</v>
      </c>
      <c r="AZ51" s="292">
        <f t="shared" si="11"/>
        <v>0.01</v>
      </c>
      <c r="BA51" s="214">
        <f>BD51/$D51</f>
        <v>2.8936341279272124E-2</v>
      </c>
      <c r="BB51" s="214">
        <f>BG51/$D51*-1</f>
        <v>-9.5778737400287553E-6</v>
      </c>
      <c r="BC51" s="214">
        <f>BH51/$D51</f>
        <v>9.8758262755675411E-2</v>
      </c>
      <c r="BD51" s="202">
        <f>BD42+BD46</f>
        <v>295746092.33649898</v>
      </c>
      <c r="BE51" s="202">
        <f>BE42+BE46</f>
        <v>611512421.72119451</v>
      </c>
      <c r="BF51" s="202">
        <f>BF42+BF46</f>
        <v>102205765.91980888</v>
      </c>
      <c r="BG51" s="202">
        <f>BG42+BG46</f>
        <v>97891.392148286337</v>
      </c>
      <c r="BH51" s="202">
        <f>BH42+BH46</f>
        <v>1009366388.5853541</v>
      </c>
      <c r="BI51" s="200"/>
      <c r="BJ51" s="213">
        <f>CHOOSE(gen_choice,'Generation Calculations'!$O53,'Generation Calculations'!$P53)</f>
        <v>5.9831499350143313E-2</v>
      </c>
      <c r="BK51" s="292">
        <f t="shared" si="12"/>
        <v>0.01</v>
      </c>
      <c r="BL51" s="214">
        <f>BO51/$D51</f>
        <v>2.9834039969196841E-2</v>
      </c>
      <c r="BM51" s="214">
        <f>BR51/$D51*-1</f>
        <v>-9.5778737400287553E-6</v>
      </c>
      <c r="BN51" s="214">
        <f>BS51/$D51</f>
        <v>9.9655961445600127E-2</v>
      </c>
      <c r="BO51" s="202">
        <f>BO42+BO46</f>
        <v>304921090.55339545</v>
      </c>
      <c r="BP51" s="202">
        <f>BP42+BP46</f>
        <v>611512421.72119451</v>
      </c>
      <c r="BQ51" s="202">
        <f>BQ42+BQ46</f>
        <v>102205765.91980888</v>
      </c>
      <c r="BR51" s="202">
        <f>BR42+BR46</f>
        <v>97891.392148286337</v>
      </c>
      <c r="BS51" s="202">
        <f>BS42+BS46</f>
        <v>1018541386.8022505</v>
      </c>
      <c r="BT51" s="200"/>
      <c r="BU51" s="213">
        <f>CHOOSE(gen_choice,'Generation Calculations'!$O53,'Generation Calculations'!$P53)</f>
        <v>5.9831499350143313E-2</v>
      </c>
      <c r="BV51" s="292">
        <f t="shared" si="13"/>
        <v>0.01</v>
      </c>
      <c r="BW51" s="214">
        <f>BZ51/$D51</f>
        <v>1.2192186307604259E-2</v>
      </c>
      <c r="BX51" s="214">
        <f>CC51/$D51*-1</f>
        <v>-9.5778737400287553E-6</v>
      </c>
      <c r="BY51" s="214">
        <f>CD51/$D51</f>
        <v>8.2014107784007514E-2</v>
      </c>
      <c r="BZ51" s="202">
        <f>BZ42+BZ46</f>
        <v>124611173.98056999</v>
      </c>
      <c r="CA51" s="202">
        <f>CA42+CA46</f>
        <v>611512421.72119451</v>
      </c>
      <c r="CB51" s="202">
        <f>CB42+CB46</f>
        <v>102205765.91980888</v>
      </c>
      <c r="CC51" s="202">
        <f>CC42+CC46</f>
        <v>97891.392148286337</v>
      </c>
      <c r="CD51" s="202">
        <f>CD42+CD46</f>
        <v>838231470.22942483</v>
      </c>
    </row>
    <row r="52" spans="1:82">
      <c r="A52" s="84" t="s">
        <v>41</v>
      </c>
      <c r="B52" s="72"/>
      <c r="C52" s="72"/>
      <c r="D52" s="176">
        <f>SUM(D49:D51)</f>
        <v>11015378166.684456</v>
      </c>
      <c r="E52" s="201">
        <f>SUM(E49:E51)</f>
        <v>421545567.97336513</v>
      </c>
      <c r="F52" s="199"/>
      <c r="G52" s="238"/>
      <c r="H52" s="224">
        <f>SUM(H49:H51)</f>
        <v>431107984.01957601</v>
      </c>
      <c r="I52" s="154">
        <f>SUM(I49:I51)</f>
        <v>0.13714399056360721</v>
      </c>
      <c r="J52" s="201">
        <f>SUM(J49:J51)</f>
        <v>337337068.29340434</v>
      </c>
      <c r="K52" s="199"/>
      <c r="L52" s="157">
        <f>SUM(L49:L51)</f>
        <v>956654251.98394001</v>
      </c>
      <c r="M52" s="154">
        <f>SUM(M49:M51)</f>
        <v>0.1370202014379682</v>
      </c>
      <c r="N52" s="201">
        <f>SUM(N49:N51)</f>
        <v>337032580.57536405</v>
      </c>
      <c r="O52" s="199"/>
      <c r="P52" s="223"/>
      <c r="Q52" s="51">
        <f>SUM(Q49:Q51)</f>
        <v>424135145.91922748</v>
      </c>
      <c r="R52" s="199"/>
      <c r="T52" s="383"/>
      <c r="U52" s="326">
        <f>SUM(U49:U51)</f>
        <v>181268849.99484053</v>
      </c>
      <c r="V52" s="154">
        <f>SUM(V49:V51)</f>
        <v>0.11224686794075003</v>
      </c>
      <c r="W52" s="383"/>
      <c r="X52" s="326">
        <f>SUM(X49:X51)</f>
        <v>174430277.21729684</v>
      </c>
      <c r="Y52" s="154">
        <f>SUM(Y49:Y51)</f>
        <v>0.11507163250318807</v>
      </c>
      <c r="Z52" s="154">
        <f>AVERAGE(V52,Y52)</f>
        <v>0.11365925022196904</v>
      </c>
      <c r="AA52" s="201">
        <f>SUM(AA49:AA51)</f>
        <v>279570968.41602242</v>
      </c>
      <c r="AB52" s="252"/>
      <c r="AC52" s="208">
        <f>CHOOSE(gen_choice,'Generation Calculations'!$O54,'Generation Calculations'!$P54)</f>
        <v>5.9581997097550909E-2</v>
      </c>
      <c r="AD52" s="291">
        <f t="shared" si="9"/>
        <v>0.01</v>
      </c>
      <c r="AE52" s="211">
        <f>AH52/$D52</f>
        <v>3.6846093382173782E-2</v>
      </c>
      <c r="AF52" s="211">
        <f t="shared" si="8"/>
        <v>-4.4805997834507278E-5</v>
      </c>
      <c r="AG52" s="211">
        <f>AL52/$D52</f>
        <v>0.10638328448189019</v>
      </c>
      <c r="AH52" s="201">
        <f>SUM(AH49:AH51)</f>
        <v>405873652.5696137</v>
      </c>
      <c r="AI52" s="201">
        <f>SUM(AI49:AI51)</f>
        <v>656318229.95581889</v>
      </c>
      <c r="AJ52" s="201">
        <f>SUM(AJ49:AJ51)</f>
        <v>110153781.66684456</v>
      </c>
      <c r="AK52" s="201">
        <f>SUM(AK49:AK51)</f>
        <v>493555.01028274244</v>
      </c>
      <c r="AL52" s="201">
        <f>SUM(AL49:AL51)</f>
        <v>1171852109.1819944</v>
      </c>
      <c r="AM52" s="199"/>
      <c r="AN52" s="208">
        <f>CHOOSE(gen_choice,'Generation Calculations'!$O54,'Generation Calculations'!$P54)</f>
        <v>5.9581997097550909E-2</v>
      </c>
      <c r="AO52" s="291">
        <f t="shared" si="10"/>
        <v>0.01</v>
      </c>
      <c r="AP52" s="211">
        <f>AS52/$D52</f>
        <v>2.8890195430973462E-2</v>
      </c>
      <c r="AQ52" s="211">
        <f>AV52/$D52*-1</f>
        <v>-4.4805997834507278E-5</v>
      </c>
      <c r="AR52" s="211">
        <f>AW52/$D52</f>
        <v>9.8427386530689873E-2</v>
      </c>
      <c r="AS52" s="201">
        <f>SUM(AS49:AS51)</f>
        <v>318236427.98159212</v>
      </c>
      <c r="AT52" s="201">
        <f>SUM(AT49:AT51)</f>
        <v>656318229.95581889</v>
      </c>
      <c r="AU52" s="201">
        <f>SUM(AU49:AU51)</f>
        <v>110153781.66684456</v>
      </c>
      <c r="AV52" s="201">
        <f>SUM(AV49:AV51)</f>
        <v>493555.01028274244</v>
      </c>
      <c r="AW52" s="201">
        <f>SUM(AW49:AW51)</f>
        <v>1084214884.5939729</v>
      </c>
      <c r="AX52" s="199"/>
      <c r="AY52" s="208">
        <f>CHOOSE(gen_choice,'Generation Calculations'!$O54,'Generation Calculations'!$P54)</f>
        <v>5.9581997097550909E-2</v>
      </c>
      <c r="AZ52" s="291">
        <f t="shared" si="11"/>
        <v>0.01</v>
      </c>
      <c r="BA52" s="211">
        <f>BD52/$D52</f>
        <v>2.8801352747692251E-2</v>
      </c>
      <c r="BB52" s="211">
        <f>BG52/$D52*-1</f>
        <v>-4.4805997834507278E-5</v>
      </c>
      <c r="BC52" s="211">
        <f>BH52/$D52</f>
        <v>9.8338543847408671E-2</v>
      </c>
      <c r="BD52" s="201">
        <f>SUM(BD49:BD51)</f>
        <v>317257792.22790658</v>
      </c>
      <c r="BE52" s="201">
        <f>SUM(BE49:BE51)</f>
        <v>656318229.95581889</v>
      </c>
      <c r="BF52" s="201">
        <f>SUM(BF49:BF51)</f>
        <v>110153781.66684456</v>
      </c>
      <c r="BG52" s="201">
        <f>SUM(BG49:BG51)</f>
        <v>493555.01028274244</v>
      </c>
      <c r="BH52" s="201">
        <f>SUM(BH49:BH51)</f>
        <v>1083236248.8402874</v>
      </c>
      <c r="BI52" s="199"/>
      <c r="BJ52" s="208">
        <f>CHOOSE(gen_choice,'Generation Calculations'!$O54,'Generation Calculations'!$P54)</f>
        <v>5.9581997097550909E-2</v>
      </c>
      <c r="BK52" s="291">
        <f t="shared" si="12"/>
        <v>0.01</v>
      </c>
      <c r="BL52" s="211">
        <f>BO52/$D52</f>
        <v>2.9949471069981231E-2</v>
      </c>
      <c r="BM52" s="211">
        <f>BR52/$D52*-1</f>
        <v>-4.4805997834507278E-5</v>
      </c>
      <c r="BN52" s="211">
        <f>BS52/$D52</f>
        <v>9.9486662169697634E-2</v>
      </c>
      <c r="BO52" s="201">
        <f>SUM(BO49:BO51)</f>
        <v>329904749.728019</v>
      </c>
      <c r="BP52" s="201">
        <f>SUM(BP49:BP51)</f>
        <v>656318229.95581889</v>
      </c>
      <c r="BQ52" s="201">
        <f>SUM(BQ49:BQ51)</f>
        <v>110153781.66684456</v>
      </c>
      <c r="BR52" s="201">
        <f>SUM(BR49:BR51)</f>
        <v>493555.01028274244</v>
      </c>
      <c r="BS52" s="201">
        <f>SUM(BS49:BS51)</f>
        <v>1095883206.3403997</v>
      </c>
      <c r="BT52" s="199"/>
      <c r="BU52" s="208">
        <f>CHOOSE(gen_choice,'Generation Calculations'!$O54,'Generation Calculations'!$P54)</f>
        <v>5.9581997097550909E-2</v>
      </c>
      <c r="BV52" s="291">
        <f t="shared" si="13"/>
        <v>0.01</v>
      </c>
      <c r="BW52" s="211">
        <f>BZ52/$D52</f>
        <v>1.2035343784322486E-2</v>
      </c>
      <c r="BX52" s="211">
        <f>CC52/$D52*-1</f>
        <v>-4.4805997834507278E-5</v>
      </c>
      <c r="BY52" s="211">
        <f>CD52/$D52</f>
        <v>8.1572534884038872E-2</v>
      </c>
      <c r="BZ52" s="201">
        <f>SUM(BZ49:BZ51)</f>
        <v>132573863.15036739</v>
      </c>
      <c r="CA52" s="201">
        <f>SUM(CA49:CA51)</f>
        <v>656318229.95581889</v>
      </c>
      <c r="CB52" s="201">
        <f>SUM(CB49:CB51)</f>
        <v>110153781.66684456</v>
      </c>
      <c r="CC52" s="201">
        <f>SUM(CC49:CC51)</f>
        <v>493555.01028274244</v>
      </c>
      <c r="CD52" s="201">
        <f>SUM(CD49:CD51)</f>
        <v>898552319.76274788</v>
      </c>
    </row>
    <row r="53" spans="1:82">
      <c r="A53" s="89"/>
      <c r="B53" s="77"/>
      <c r="C53" s="77"/>
      <c r="D53" s="176"/>
      <c r="E53" s="201"/>
      <c r="F53" s="199"/>
      <c r="G53" s="238"/>
      <c r="H53" s="224"/>
      <c r="I53" s="154"/>
      <c r="J53" s="201"/>
      <c r="K53" s="199"/>
      <c r="L53" s="157"/>
      <c r="M53" s="154"/>
      <c r="N53" s="201"/>
      <c r="O53" s="199"/>
      <c r="P53" s="223"/>
      <c r="Q53" s="224"/>
      <c r="R53" s="199"/>
      <c r="T53" s="383"/>
      <c r="V53" s="154"/>
      <c r="W53" s="383"/>
      <c r="X53" s="340"/>
      <c r="Y53" s="154"/>
      <c r="Z53" s="154"/>
      <c r="AA53" s="157"/>
      <c r="AB53" s="252"/>
      <c r="AC53" s="207"/>
      <c r="AD53" s="208"/>
      <c r="AF53" s="211"/>
      <c r="AG53" s="211"/>
      <c r="AH53" s="201"/>
      <c r="AJ53" s="201"/>
      <c r="AK53" s="201"/>
      <c r="AL53" s="201">
        <f>AL52-SUM(AH52:AJ52)+AK52</f>
        <v>-1.2456439435482025E-8</v>
      </c>
      <c r="AM53" s="199"/>
      <c r="AN53" s="207"/>
      <c r="AO53" s="208"/>
      <c r="AP53"/>
      <c r="AQ53" s="211"/>
      <c r="AR53" s="211"/>
      <c r="AS53" s="201"/>
      <c r="AT53" s="201"/>
      <c r="AU53" s="201"/>
      <c r="AV53" s="201"/>
      <c r="AW53" s="201"/>
      <c r="AX53" s="199"/>
      <c r="AY53" s="207"/>
      <c r="AZ53" s="208"/>
      <c r="BA53"/>
      <c r="BB53" s="211"/>
      <c r="BC53" s="211"/>
      <c r="BD53" s="201"/>
      <c r="BE53" s="201"/>
      <c r="BF53" s="201"/>
      <c r="BG53" s="201"/>
      <c r="BH53" s="201"/>
      <c r="BI53" s="199"/>
      <c r="BJ53" s="207"/>
      <c r="BK53" s="208"/>
      <c r="BL53"/>
      <c r="BM53" s="211"/>
      <c r="BN53" s="211"/>
      <c r="BO53" s="201"/>
      <c r="BP53" s="201"/>
      <c r="BQ53" s="201"/>
      <c r="BR53" s="201"/>
      <c r="BS53" s="201"/>
      <c r="BT53" s="199"/>
      <c r="BU53" s="207"/>
      <c r="BV53" s="208"/>
      <c r="BW53"/>
      <c r="BX53" s="211"/>
      <c r="BY53" s="211"/>
      <c r="BZ53" s="201"/>
      <c r="CA53" s="201"/>
      <c r="CB53" s="201"/>
      <c r="CC53" s="201"/>
      <c r="CD53" s="201"/>
    </row>
    <row r="54" spans="1:82">
      <c r="A54" s="81" t="s">
        <v>51</v>
      </c>
      <c r="B54" s="77" t="s">
        <v>28</v>
      </c>
      <c r="C54" s="77">
        <v>1</v>
      </c>
      <c r="D54" s="177">
        <f>'Test Year 2001 Sales and Revs.'!F56</f>
        <v>351291854.83124334</v>
      </c>
      <c r="E54" s="201">
        <f>surcharge_1*D54</f>
        <v>13443526.153022308</v>
      </c>
      <c r="F54" s="199"/>
      <c r="G54" s="238">
        <v>3.5040000000000002E-2</v>
      </c>
      <c r="H54" s="224">
        <f t="shared" si="1"/>
        <v>12309266.593286768</v>
      </c>
      <c r="I54" s="154">
        <f>H54/$H$127</f>
        <v>3.9158215669649705E-3</v>
      </c>
      <c r="J54" s="201">
        <f>I54*$E$129</f>
        <v>9631860.367570335</v>
      </c>
      <c r="K54" s="199"/>
      <c r="L54" s="381">
        <v>22855048.075320695</v>
      </c>
      <c r="M54" s="154">
        <f>L54/$L$127</f>
        <v>3.2734953977996443E-3</v>
      </c>
      <c r="N54" s="201">
        <f>M54*$E$129</f>
        <v>8051911.9797197683</v>
      </c>
      <c r="O54" s="199"/>
      <c r="P54" s="223">
        <f>S_Equal</f>
        <v>3.8569434685105937E-2</v>
      </c>
      <c r="Q54" s="224">
        <f t="shared" si="2"/>
        <v>13549128.250323357</v>
      </c>
      <c r="R54" s="199"/>
      <c r="S54" s="331">
        <f>S11</f>
        <v>1</v>
      </c>
      <c r="T54" s="383">
        <v>1073851.9119974833</v>
      </c>
      <c r="U54" s="340">
        <f>$S54*T54</f>
        <v>1073851.9119974833</v>
      </c>
      <c r="V54" s="154">
        <f>U54/$U$127</f>
        <v>6.6495988559167379E-4</v>
      </c>
      <c r="W54" s="383">
        <v>1357188.3967874078</v>
      </c>
      <c r="X54" s="340">
        <f>$S54*W54</f>
        <v>1357188.3967874078</v>
      </c>
      <c r="Y54" s="154">
        <f>X54/$X$127</f>
        <v>8.953370190322962E-4</v>
      </c>
      <c r="Z54" s="154">
        <f>AVERAGE(V54,Y54)</f>
        <v>7.80148452311985E-4</v>
      </c>
      <c r="AA54" s="157">
        <f>$Z54*'Inputs and Assumptions'!$C$6</f>
        <v>1918953.8721676802</v>
      </c>
      <c r="AB54" s="252"/>
      <c r="AC54" s="208">
        <f>CHOOSE(gen_choice,'Generation Calculations'!$O56,'Generation Calculations'!$P56)</f>
        <v>4.0904928213576101E-2</v>
      </c>
      <c r="AD54" s="291">
        <f t="shared" si="9"/>
        <v>0.01</v>
      </c>
      <c r="AE54" s="215">
        <f>AG54-SUM(AC54:AD54,AF54)</f>
        <v>5.54783562683141E-2</v>
      </c>
      <c r="AF54" s="211">
        <f t="shared" si="8"/>
        <v>0</v>
      </c>
      <c r="AG54" s="211">
        <f>AL54/$D54</f>
        <v>0.1063832844818902</v>
      </c>
      <c r="AH54" s="201">
        <f>AL54+AK54-SUM(AI54:AJ54)</f>
        <v>19489094.676484596</v>
      </c>
      <c r="AI54" s="407">
        <f>CHOOSE(gen_choice,'Generation Calculations'!$M56,'Generation Calculations'!$N56)</f>
        <v>14369568.103886005</v>
      </c>
      <c r="AJ54" s="201">
        <f>$D54*AD54</f>
        <v>3512918.5483124335</v>
      </c>
      <c r="AK54" s="217">
        <f>CHOOSE(gen_choice,'Generation Calculations'!K56,'Generation Calculations'!L56)</f>
        <v>0</v>
      </c>
      <c r="AL54" s="201">
        <f>$D54*gen_equal</f>
        <v>37371581.328683034</v>
      </c>
      <c r="AM54" s="199"/>
      <c r="AN54" s="208">
        <f>CHOOSE(gen_choice,'Generation Calculations'!$O56,'Generation Calculations'!$P56)</f>
        <v>4.0904928213576101E-2</v>
      </c>
      <c r="AO54" s="291">
        <f t="shared" si="10"/>
        <v>0.01</v>
      </c>
      <c r="AP54" s="215">
        <f>AR54-SUM(AN54:AO54,AQ54)</f>
        <v>3.7218908422322755E-2</v>
      </c>
      <c r="AQ54" s="211">
        <f>AV54/$D54*-1</f>
        <v>0</v>
      </c>
      <c r="AR54" s="211">
        <f>AW54/$D54</f>
        <v>8.8123836635898858E-2</v>
      </c>
      <c r="AS54" s="201">
        <f>$D54*AP54</f>
        <v>13074699.374471946</v>
      </c>
      <c r="AT54" s="172">
        <f>$AI54</f>
        <v>14369568.103886005</v>
      </c>
      <c r="AU54" s="201">
        <f>$D54*AO54</f>
        <v>3512918.5483124335</v>
      </c>
      <c r="AV54" s="172">
        <f>$AK54</f>
        <v>0</v>
      </c>
      <c r="AW54" s="201">
        <f>$I54*'Inputs and Assumptions'!$C$15</f>
        <v>30957186.026670385</v>
      </c>
      <c r="AX54" s="199"/>
      <c r="AY54" s="208">
        <f>CHOOSE(gen_choice,'Generation Calculations'!$O56,'Generation Calculations'!$P56)</f>
        <v>4.0904928213576101E-2</v>
      </c>
      <c r="AZ54" s="291">
        <f t="shared" si="11"/>
        <v>0.01</v>
      </c>
      <c r="BA54" s="215">
        <f>BC54-SUM(AY54:AZ54,BB54)</f>
        <v>2.2763641390745493E-2</v>
      </c>
      <c r="BB54" s="211">
        <f>BG54/$D54*-1</f>
        <v>0</v>
      </c>
      <c r="BC54" s="211">
        <f>BH54/$D54</f>
        <v>7.3668569604321596E-2</v>
      </c>
      <c r="BD54" s="201">
        <f>$D54*BA54</f>
        <v>7996681.8068682477</v>
      </c>
      <c r="BE54" s="172">
        <f>$AI54</f>
        <v>14369568.103886005</v>
      </c>
      <c r="BF54" s="201">
        <f>$D54*AZ54</f>
        <v>3512918.5483124335</v>
      </c>
      <c r="BG54" s="172">
        <f>$AK54</f>
        <v>0</v>
      </c>
      <c r="BH54" s="201">
        <f>$M54*'Inputs and Assumptions'!$C$15</f>
        <v>25879168.459066689</v>
      </c>
      <c r="BI54" s="199"/>
      <c r="BJ54" s="208">
        <f>CHOOSE(gen_choice,'Generation Calculations'!$O56,'Generation Calculations'!$P56)</f>
        <v>4.0904928213576101E-2</v>
      </c>
      <c r="BK54" s="291">
        <f t="shared" si="12"/>
        <v>0.01</v>
      </c>
      <c r="BL54" s="215">
        <f>BN54-SUM(BJ54:BK54,BM54)</f>
        <v>4.875103323202401E-2</v>
      </c>
      <c r="BM54" s="211">
        <f>BR54/$D54*-1</f>
        <v>0</v>
      </c>
      <c r="BN54" s="211">
        <f>BS54/$D54</f>
        <v>9.9655961445600114E-2</v>
      </c>
      <c r="BO54" s="201">
        <f>$D54*BL54</f>
        <v>17125840.889017299</v>
      </c>
      <c r="BP54" s="172">
        <f>$AI54</f>
        <v>14369568.103886005</v>
      </c>
      <c r="BQ54" s="201">
        <f>$D54*BK54</f>
        <v>3512918.5483124335</v>
      </c>
      <c r="BR54" s="172">
        <f>$AK54</f>
        <v>0</v>
      </c>
      <c r="BS54" s="201">
        <f>D54*s_equal_gen</f>
        <v>35008327.54121574</v>
      </c>
      <c r="BT54" s="199"/>
      <c r="BU54" s="208">
        <f>CHOOSE(gen_choice,'Generation Calculations'!$O56,'Generation Calculations'!$P56)</f>
        <v>4.0904928213576101E-2</v>
      </c>
      <c r="BV54" s="291">
        <f t="shared" si="13"/>
        <v>0.01</v>
      </c>
      <c r="BW54" s="215">
        <f>BY54-SUM(BU54:BV54,BX54)</f>
        <v>-3.3348031509374029E-2</v>
      </c>
      <c r="BX54" s="211">
        <f>CC54/$D54*-1</f>
        <v>0</v>
      </c>
      <c r="BY54" s="211">
        <f>CD54/$D54</f>
        <v>1.7556896704202078E-2</v>
      </c>
      <c r="BZ54" s="201">
        <f>$D54*BW54</f>
        <v>-11714891.843898751</v>
      </c>
      <c r="CA54" s="172">
        <f>$AI54</f>
        <v>14369568.103886005</v>
      </c>
      <c r="CB54" s="201">
        <f>$D54*BV54</f>
        <v>3512918.5483124335</v>
      </c>
      <c r="CC54" s="172">
        <f>$AK54</f>
        <v>0</v>
      </c>
      <c r="CD54" s="201">
        <f>$Z54*'Inputs and Assumptions'!$C$15</f>
        <v>6167594.8082996905</v>
      </c>
    </row>
    <row r="55" spans="1:82">
      <c r="A55" s="89"/>
      <c r="B55" s="77"/>
      <c r="C55" s="77"/>
      <c r="D55" s="176"/>
      <c r="E55" s="201"/>
      <c r="F55" s="199"/>
      <c r="G55" s="238"/>
      <c r="H55" s="224"/>
      <c r="I55" s="154"/>
      <c r="J55" s="201"/>
      <c r="K55" s="199"/>
      <c r="L55" s="157"/>
      <c r="M55" s="154"/>
      <c r="N55" s="201"/>
      <c r="O55" s="199"/>
      <c r="P55" s="223"/>
      <c r="Q55" s="224"/>
      <c r="R55" s="199"/>
      <c r="T55" s="383"/>
      <c r="V55" s="154"/>
      <c r="W55" s="383"/>
      <c r="X55" s="340"/>
      <c r="Y55" s="154"/>
      <c r="Z55" s="154"/>
      <c r="AA55" s="157"/>
      <c r="AB55" s="252"/>
      <c r="AC55" s="207"/>
      <c r="AD55" s="208"/>
      <c r="AH55" s="201"/>
      <c r="AJ55" s="201"/>
      <c r="AK55" s="201"/>
      <c r="AL55" s="201">
        <f>AL54-SUM(AH54:AJ54)+AK54</f>
        <v>0</v>
      </c>
      <c r="AM55" s="199"/>
      <c r="AN55" s="207"/>
      <c r="AO55" s="208"/>
      <c r="AP55"/>
      <c r="AQ55"/>
      <c r="AR55"/>
      <c r="AS55" s="201"/>
      <c r="AT55" s="201"/>
      <c r="AU55" s="201"/>
      <c r="AV55" s="201"/>
      <c r="AW55" s="201"/>
      <c r="AX55" s="199"/>
      <c r="AY55" s="207"/>
      <c r="AZ55" s="208"/>
      <c r="BA55"/>
      <c r="BB55"/>
      <c r="BC55"/>
      <c r="BD55" s="201"/>
      <c r="BE55" s="201"/>
      <c r="BF55" s="201"/>
      <c r="BG55" s="201"/>
      <c r="BH55" s="201"/>
      <c r="BI55" s="199"/>
      <c r="BJ55" s="207"/>
      <c r="BK55" s="208"/>
      <c r="BL55"/>
      <c r="BM55"/>
      <c r="BN55"/>
      <c r="BO55" s="201"/>
      <c r="BP55" s="201"/>
      <c r="BQ55" s="201"/>
      <c r="BR55" s="201"/>
      <c r="BS55" s="201"/>
      <c r="BT55" s="199"/>
      <c r="BU55" s="207"/>
      <c r="BV55" s="208"/>
      <c r="BW55"/>
      <c r="BX55"/>
      <c r="BY55"/>
      <c r="BZ55" s="201"/>
      <c r="CA55" s="201"/>
      <c r="CB55" s="201"/>
      <c r="CC55" s="201"/>
      <c r="CD55" s="201"/>
    </row>
    <row r="56" spans="1:82">
      <c r="A56" s="81" t="s">
        <v>52</v>
      </c>
      <c r="B56" s="77"/>
      <c r="C56" s="77"/>
      <c r="D56" s="176"/>
      <c r="E56" s="201"/>
      <c r="F56" s="199"/>
      <c r="G56" s="238"/>
      <c r="H56" s="224"/>
      <c r="I56" s="154"/>
      <c r="J56" s="201"/>
      <c r="K56" s="199"/>
      <c r="L56" s="157"/>
      <c r="M56" s="154"/>
      <c r="N56" s="201"/>
      <c r="O56" s="199"/>
      <c r="P56" s="223"/>
      <c r="Q56" s="224"/>
      <c r="R56" s="199"/>
      <c r="T56" s="383"/>
      <c r="V56" s="154"/>
      <c r="W56" s="383"/>
      <c r="X56" s="340"/>
      <c r="Y56" s="154"/>
      <c r="Z56" s="154"/>
      <c r="AA56" s="157"/>
      <c r="AB56" s="252"/>
      <c r="AC56" s="207"/>
      <c r="AD56" s="208"/>
      <c r="AH56" s="201"/>
      <c r="AJ56" s="201"/>
      <c r="AK56" s="201"/>
      <c r="AL56" s="201"/>
      <c r="AM56" s="199"/>
      <c r="AN56" s="207"/>
      <c r="AO56" s="208"/>
      <c r="AP56"/>
      <c r="AQ56"/>
      <c r="AR56"/>
      <c r="AS56" s="201"/>
      <c r="AT56" s="201"/>
      <c r="AU56" s="201"/>
      <c r="AV56" s="201"/>
      <c r="AW56" s="201"/>
      <c r="AX56" s="199"/>
      <c r="AY56" s="207"/>
      <c r="AZ56" s="208"/>
      <c r="BA56"/>
      <c r="BB56"/>
      <c r="BC56"/>
      <c r="BD56" s="201"/>
      <c r="BE56" s="201"/>
      <c r="BF56" s="201"/>
      <c r="BG56" s="201"/>
      <c r="BH56" s="201"/>
      <c r="BI56" s="199"/>
      <c r="BJ56" s="207"/>
      <c r="BK56" s="208"/>
      <c r="BL56"/>
      <c r="BM56"/>
      <c r="BN56"/>
      <c r="BO56" s="201"/>
      <c r="BP56" s="201"/>
      <c r="BQ56" s="201"/>
      <c r="BR56" s="201"/>
      <c r="BS56" s="201"/>
      <c r="BT56" s="199"/>
      <c r="BU56" s="207"/>
      <c r="BV56" s="208"/>
      <c r="BW56"/>
      <c r="BX56"/>
      <c r="BY56"/>
      <c r="BZ56" s="201"/>
      <c r="CA56" s="201"/>
      <c r="CB56" s="201"/>
      <c r="CC56" s="201"/>
      <c r="CD56" s="201"/>
    </row>
    <row r="57" spans="1:82" ht="12.75" hidden="1" customHeight="1">
      <c r="A57" s="89"/>
      <c r="B57" s="77"/>
      <c r="C57" s="77"/>
      <c r="D57" s="177"/>
      <c r="E57" s="201"/>
      <c r="F57" s="199"/>
      <c r="G57" s="238"/>
      <c r="H57" s="224">
        <f t="shared" si="1"/>
        <v>0</v>
      </c>
      <c r="I57" s="154"/>
      <c r="J57" s="201"/>
      <c r="K57" s="199"/>
      <c r="L57" s="157"/>
      <c r="M57" s="154"/>
      <c r="N57" s="201"/>
      <c r="O57" s="199"/>
      <c r="P57" s="223"/>
      <c r="Q57" s="224">
        <f t="shared" si="2"/>
        <v>0</v>
      </c>
      <c r="R57" s="199"/>
      <c r="T57" s="383"/>
      <c r="V57" s="154"/>
      <c r="W57" s="383"/>
      <c r="X57" s="340"/>
      <c r="Y57" s="154"/>
      <c r="Z57" s="154"/>
      <c r="AA57" s="157">
        <f t="shared" ref="AA57:AA66" si="14">S57*G57</f>
        <v>0</v>
      </c>
      <c r="AB57" s="252"/>
      <c r="AC57" s="207"/>
      <c r="AD57" s="208"/>
      <c r="AH57" s="201"/>
      <c r="AI57" s="201">
        <f t="shared" ref="AI57:AI66" si="15">$D57*AC57</f>
        <v>0</v>
      </c>
      <c r="AJ57" s="201">
        <f t="shared" ref="AJ57:AJ69" si="16">$D57*AD57</f>
        <v>0</v>
      </c>
      <c r="AK57" s="201"/>
      <c r="AL57" s="201"/>
      <c r="AM57" s="199"/>
      <c r="AN57" s="207"/>
      <c r="AO57" s="208"/>
      <c r="AP57"/>
      <c r="AQ57"/>
      <c r="AR57"/>
      <c r="AS57" s="201"/>
      <c r="AT57" s="201">
        <f t="shared" ref="AT57:AV66" si="17">$D57*AN57</f>
        <v>0</v>
      </c>
      <c r="AU57" s="201">
        <f t="shared" ref="AU57:AU69" si="18">$D57*AO57</f>
        <v>0</v>
      </c>
      <c r="AV57" s="201">
        <f t="shared" si="17"/>
        <v>0</v>
      </c>
      <c r="AW57" s="201"/>
      <c r="AX57" s="199"/>
      <c r="AY57" s="207"/>
      <c r="AZ57" s="208"/>
      <c r="BA57"/>
      <c r="BB57"/>
      <c r="BC57"/>
      <c r="BD57" s="201"/>
      <c r="BE57" s="201">
        <f t="shared" ref="BE57:BE66" si="19">$D57*AY57</f>
        <v>0</v>
      </c>
      <c r="BF57" s="201">
        <f t="shared" ref="BF57:BF69" si="20">$D57*AZ57</f>
        <v>0</v>
      </c>
      <c r="BG57" s="201">
        <f t="shared" ref="BG57:BG66" si="21">$D57*BA57</f>
        <v>0</v>
      </c>
      <c r="BH57" s="201"/>
      <c r="BI57" s="199"/>
      <c r="BJ57" s="207"/>
      <c r="BK57" s="208"/>
      <c r="BL57"/>
      <c r="BM57"/>
      <c r="BN57"/>
      <c r="BO57" s="201"/>
      <c r="BP57" s="201">
        <f t="shared" ref="BP57:BP66" si="22">$D57*BJ57</f>
        <v>0</v>
      </c>
      <c r="BQ57" s="201">
        <f t="shared" ref="BQ57:BQ69" si="23">$D57*BK57</f>
        <v>0</v>
      </c>
      <c r="BR57" s="201">
        <f t="shared" ref="BR57:BR66" si="24">$D57*BL57</f>
        <v>0</v>
      </c>
      <c r="BS57" s="201"/>
      <c r="BT57" s="199"/>
      <c r="BU57" s="207"/>
      <c r="BV57" s="208"/>
      <c r="BW57"/>
      <c r="BX57"/>
      <c r="BY57"/>
      <c r="BZ57" s="201"/>
      <c r="CA57" s="201">
        <f t="shared" ref="CA57:CA66" si="25">$D57*BU57</f>
        <v>0</v>
      </c>
      <c r="CB57" s="201">
        <f t="shared" ref="CB57:CB69" si="26">$D57*BV57</f>
        <v>0</v>
      </c>
      <c r="CC57" s="201">
        <f t="shared" ref="CC57:CC66" si="27">$D57*BW57</f>
        <v>0</v>
      </c>
      <c r="CD57" s="201"/>
    </row>
    <row r="58" spans="1:82" ht="12.75" hidden="1" customHeight="1">
      <c r="A58" s="89"/>
      <c r="B58" s="77"/>
      <c r="C58" s="77"/>
      <c r="D58" s="177"/>
      <c r="E58" s="201"/>
      <c r="F58" s="199"/>
      <c r="G58" s="238"/>
      <c r="H58" s="224">
        <f t="shared" si="1"/>
        <v>0</v>
      </c>
      <c r="I58" s="154"/>
      <c r="J58" s="201"/>
      <c r="K58" s="199"/>
      <c r="L58" s="157"/>
      <c r="M58" s="154"/>
      <c r="N58" s="201"/>
      <c r="O58" s="199"/>
      <c r="P58" s="223"/>
      <c r="Q58" s="224">
        <f t="shared" si="2"/>
        <v>0</v>
      </c>
      <c r="R58" s="199"/>
      <c r="T58" s="383"/>
      <c r="V58" s="154"/>
      <c r="W58" s="383"/>
      <c r="X58" s="340"/>
      <c r="Y58" s="154"/>
      <c r="Z58" s="154"/>
      <c r="AA58" s="157">
        <f t="shared" si="14"/>
        <v>0</v>
      </c>
      <c r="AB58" s="252"/>
      <c r="AC58" s="207"/>
      <c r="AD58" s="208"/>
      <c r="AH58" s="201"/>
      <c r="AI58" s="201">
        <f t="shared" si="15"/>
        <v>0</v>
      </c>
      <c r="AJ58" s="201">
        <f t="shared" si="16"/>
        <v>0</v>
      </c>
      <c r="AK58" s="201"/>
      <c r="AL58" s="201"/>
      <c r="AM58" s="199"/>
      <c r="AN58" s="207"/>
      <c r="AO58" s="208"/>
      <c r="AP58"/>
      <c r="AQ58"/>
      <c r="AR58"/>
      <c r="AS58" s="201"/>
      <c r="AT58" s="201">
        <f t="shared" si="17"/>
        <v>0</v>
      </c>
      <c r="AU58" s="201">
        <f t="shared" si="18"/>
        <v>0</v>
      </c>
      <c r="AV58" s="201">
        <f t="shared" si="17"/>
        <v>0</v>
      </c>
      <c r="AW58" s="201"/>
      <c r="AX58" s="199"/>
      <c r="AY58" s="207"/>
      <c r="AZ58" s="208"/>
      <c r="BA58"/>
      <c r="BB58"/>
      <c r="BC58"/>
      <c r="BD58" s="201"/>
      <c r="BE58" s="201">
        <f t="shared" si="19"/>
        <v>0</v>
      </c>
      <c r="BF58" s="201">
        <f t="shared" si="20"/>
        <v>0</v>
      </c>
      <c r="BG58" s="201">
        <f t="shared" si="21"/>
        <v>0</v>
      </c>
      <c r="BH58" s="201"/>
      <c r="BI58" s="199"/>
      <c r="BJ58" s="207"/>
      <c r="BK58" s="208"/>
      <c r="BL58"/>
      <c r="BM58"/>
      <c r="BN58"/>
      <c r="BO58" s="201"/>
      <c r="BP58" s="201">
        <f t="shared" si="22"/>
        <v>0</v>
      </c>
      <c r="BQ58" s="201">
        <f t="shared" si="23"/>
        <v>0</v>
      </c>
      <c r="BR58" s="201">
        <f t="shared" si="24"/>
        <v>0</v>
      </c>
      <c r="BS58" s="201"/>
      <c r="BT58" s="199"/>
      <c r="BU58" s="207"/>
      <c r="BV58" s="208"/>
      <c r="BW58"/>
      <c r="BX58"/>
      <c r="BY58"/>
      <c r="BZ58" s="201"/>
      <c r="CA58" s="201">
        <f t="shared" si="25"/>
        <v>0</v>
      </c>
      <c r="CB58" s="201">
        <f t="shared" si="26"/>
        <v>0</v>
      </c>
      <c r="CC58" s="201">
        <f t="shared" si="27"/>
        <v>0</v>
      </c>
      <c r="CD58" s="201"/>
    </row>
    <row r="59" spans="1:82" ht="12.75" hidden="1" customHeight="1">
      <c r="A59" s="89"/>
      <c r="B59" s="77"/>
      <c r="C59" s="77"/>
      <c r="D59" s="178"/>
      <c r="E59" s="202"/>
      <c r="F59" s="200"/>
      <c r="G59" s="243"/>
      <c r="H59" s="224">
        <f t="shared" si="1"/>
        <v>0</v>
      </c>
      <c r="I59" s="198"/>
      <c r="J59" s="202"/>
      <c r="K59" s="200"/>
      <c r="L59" s="245"/>
      <c r="M59" s="198"/>
      <c r="N59" s="202"/>
      <c r="O59" s="200"/>
      <c r="P59" s="223"/>
      <c r="Q59" s="224">
        <f t="shared" si="2"/>
        <v>0</v>
      </c>
      <c r="R59" s="200"/>
      <c r="T59" s="383"/>
      <c r="V59" s="198"/>
      <c r="W59" s="383"/>
      <c r="X59" s="340"/>
      <c r="Y59" s="198"/>
      <c r="Z59" s="198"/>
      <c r="AA59" s="157">
        <f t="shared" si="14"/>
        <v>0</v>
      </c>
      <c r="AB59" s="253"/>
      <c r="AC59" s="207"/>
      <c r="AD59" s="208"/>
      <c r="AH59" s="202"/>
      <c r="AI59" s="201">
        <f t="shared" si="15"/>
        <v>0</v>
      </c>
      <c r="AJ59" s="202">
        <f t="shared" si="16"/>
        <v>0</v>
      </c>
      <c r="AK59" s="202"/>
      <c r="AL59" s="202"/>
      <c r="AM59" s="200"/>
      <c r="AN59" s="207"/>
      <c r="AO59" s="208"/>
      <c r="AP59"/>
      <c r="AQ59"/>
      <c r="AR59"/>
      <c r="AS59" s="202"/>
      <c r="AT59" s="201">
        <f t="shared" si="17"/>
        <v>0</v>
      </c>
      <c r="AU59" s="202">
        <f t="shared" si="18"/>
        <v>0</v>
      </c>
      <c r="AV59" s="201">
        <f t="shared" si="17"/>
        <v>0</v>
      </c>
      <c r="AW59" s="202"/>
      <c r="AX59" s="200"/>
      <c r="AY59" s="207"/>
      <c r="AZ59" s="208"/>
      <c r="BA59"/>
      <c r="BB59"/>
      <c r="BC59"/>
      <c r="BD59" s="202"/>
      <c r="BE59" s="201">
        <f t="shared" si="19"/>
        <v>0</v>
      </c>
      <c r="BF59" s="202">
        <f t="shared" si="20"/>
        <v>0</v>
      </c>
      <c r="BG59" s="201">
        <f t="shared" si="21"/>
        <v>0</v>
      </c>
      <c r="BH59" s="202"/>
      <c r="BI59" s="200"/>
      <c r="BJ59" s="207"/>
      <c r="BK59" s="208"/>
      <c r="BL59"/>
      <c r="BM59"/>
      <c r="BN59"/>
      <c r="BO59" s="202"/>
      <c r="BP59" s="201">
        <f t="shared" si="22"/>
        <v>0</v>
      </c>
      <c r="BQ59" s="202">
        <f t="shared" si="23"/>
        <v>0</v>
      </c>
      <c r="BR59" s="201">
        <f t="shared" si="24"/>
        <v>0</v>
      </c>
      <c r="BS59" s="202"/>
      <c r="BT59" s="200"/>
      <c r="BU59" s="207"/>
      <c r="BV59" s="208"/>
      <c r="BW59"/>
      <c r="BX59"/>
      <c r="BY59"/>
      <c r="BZ59" s="202"/>
      <c r="CA59" s="201">
        <f t="shared" si="25"/>
        <v>0</v>
      </c>
      <c r="CB59" s="202">
        <f t="shared" si="26"/>
        <v>0</v>
      </c>
      <c r="CC59" s="201">
        <f t="shared" si="27"/>
        <v>0</v>
      </c>
      <c r="CD59" s="202"/>
    </row>
    <row r="60" spans="1:82" ht="12.75" hidden="1" customHeight="1">
      <c r="A60" s="89"/>
      <c r="B60" s="77"/>
      <c r="C60" s="77"/>
      <c r="D60" s="176"/>
      <c r="E60" s="201"/>
      <c r="F60" s="199"/>
      <c r="G60" s="238"/>
      <c r="H60" s="224">
        <f t="shared" si="1"/>
        <v>0</v>
      </c>
      <c r="I60" s="154"/>
      <c r="J60" s="201"/>
      <c r="K60" s="199"/>
      <c r="L60" s="157"/>
      <c r="M60" s="154"/>
      <c r="N60" s="201"/>
      <c r="O60" s="199"/>
      <c r="P60" s="223"/>
      <c r="Q60" s="224">
        <f t="shared" si="2"/>
        <v>0</v>
      </c>
      <c r="R60" s="199"/>
      <c r="T60" s="383"/>
      <c r="V60" s="154"/>
      <c r="W60" s="383"/>
      <c r="X60" s="340"/>
      <c r="Y60" s="154"/>
      <c r="Z60" s="154"/>
      <c r="AA60" s="157">
        <f t="shared" si="14"/>
        <v>0</v>
      </c>
      <c r="AB60" s="252"/>
      <c r="AC60" s="207"/>
      <c r="AD60" s="208"/>
      <c r="AH60" s="201"/>
      <c r="AI60" s="201">
        <f t="shared" si="15"/>
        <v>0</v>
      </c>
      <c r="AJ60" s="201">
        <f t="shared" si="16"/>
        <v>0</v>
      </c>
      <c r="AK60" s="201"/>
      <c r="AL60" s="201"/>
      <c r="AM60" s="199"/>
      <c r="AN60" s="207"/>
      <c r="AO60" s="208"/>
      <c r="AP60"/>
      <c r="AQ60"/>
      <c r="AR60"/>
      <c r="AS60" s="201"/>
      <c r="AT60" s="201">
        <f t="shared" si="17"/>
        <v>0</v>
      </c>
      <c r="AU60" s="201">
        <f t="shared" si="18"/>
        <v>0</v>
      </c>
      <c r="AV60" s="201">
        <f t="shared" si="17"/>
        <v>0</v>
      </c>
      <c r="AW60" s="201"/>
      <c r="AX60" s="199"/>
      <c r="AY60" s="207"/>
      <c r="AZ60" s="208"/>
      <c r="BA60"/>
      <c r="BB60"/>
      <c r="BC60"/>
      <c r="BD60" s="201"/>
      <c r="BE60" s="201">
        <f t="shared" si="19"/>
        <v>0</v>
      </c>
      <c r="BF60" s="201">
        <f t="shared" si="20"/>
        <v>0</v>
      </c>
      <c r="BG60" s="201">
        <f t="shared" si="21"/>
        <v>0</v>
      </c>
      <c r="BH60" s="201"/>
      <c r="BI60" s="199"/>
      <c r="BJ60" s="207"/>
      <c r="BK60" s="208"/>
      <c r="BL60"/>
      <c r="BM60"/>
      <c r="BN60"/>
      <c r="BO60" s="201"/>
      <c r="BP60" s="201">
        <f t="shared" si="22"/>
        <v>0</v>
      </c>
      <c r="BQ60" s="201">
        <f t="shared" si="23"/>
        <v>0</v>
      </c>
      <c r="BR60" s="201">
        <f t="shared" si="24"/>
        <v>0</v>
      </c>
      <c r="BS60" s="201"/>
      <c r="BT60" s="199"/>
      <c r="BU60" s="207"/>
      <c r="BV60" s="208"/>
      <c r="BW60"/>
      <c r="BX60"/>
      <c r="BY60"/>
      <c r="BZ60" s="201"/>
      <c r="CA60" s="201">
        <f t="shared" si="25"/>
        <v>0</v>
      </c>
      <c r="CB60" s="201">
        <f t="shared" si="26"/>
        <v>0</v>
      </c>
      <c r="CC60" s="201">
        <f t="shared" si="27"/>
        <v>0</v>
      </c>
      <c r="CD60" s="201"/>
    </row>
    <row r="61" spans="1:82" ht="12.75" hidden="1" customHeight="1">
      <c r="A61" s="89"/>
      <c r="B61" s="77"/>
      <c r="C61" s="77"/>
      <c r="D61" s="176"/>
      <c r="E61" s="201"/>
      <c r="F61" s="199"/>
      <c r="G61" s="238"/>
      <c r="H61" s="224">
        <f t="shared" si="1"/>
        <v>0</v>
      </c>
      <c r="I61" s="154"/>
      <c r="J61" s="201"/>
      <c r="K61" s="199"/>
      <c r="L61" s="157"/>
      <c r="M61" s="154"/>
      <c r="N61" s="201"/>
      <c r="O61" s="199"/>
      <c r="P61" s="223"/>
      <c r="Q61" s="224">
        <f t="shared" si="2"/>
        <v>0</v>
      </c>
      <c r="R61" s="199"/>
      <c r="T61" s="383"/>
      <c r="V61" s="154"/>
      <c r="W61" s="383"/>
      <c r="X61" s="340"/>
      <c r="Y61" s="154"/>
      <c r="Z61" s="154"/>
      <c r="AA61" s="157">
        <f t="shared" si="14"/>
        <v>0</v>
      </c>
      <c r="AB61" s="252"/>
      <c r="AC61" s="207"/>
      <c r="AD61" s="208"/>
      <c r="AH61" s="201"/>
      <c r="AI61" s="201">
        <f t="shared" si="15"/>
        <v>0</v>
      </c>
      <c r="AJ61" s="201">
        <f t="shared" si="16"/>
        <v>0</v>
      </c>
      <c r="AK61" s="201"/>
      <c r="AL61" s="201"/>
      <c r="AM61" s="199"/>
      <c r="AN61" s="207"/>
      <c r="AO61" s="208"/>
      <c r="AP61"/>
      <c r="AQ61"/>
      <c r="AR61"/>
      <c r="AS61" s="201"/>
      <c r="AT61" s="201">
        <f t="shared" si="17"/>
        <v>0</v>
      </c>
      <c r="AU61" s="201">
        <f t="shared" si="18"/>
        <v>0</v>
      </c>
      <c r="AV61" s="201">
        <f t="shared" si="17"/>
        <v>0</v>
      </c>
      <c r="AW61" s="201"/>
      <c r="AX61" s="199"/>
      <c r="AY61" s="207"/>
      <c r="AZ61" s="208"/>
      <c r="BA61"/>
      <c r="BB61"/>
      <c r="BC61"/>
      <c r="BD61" s="201"/>
      <c r="BE61" s="201">
        <f t="shared" si="19"/>
        <v>0</v>
      </c>
      <c r="BF61" s="201">
        <f t="shared" si="20"/>
        <v>0</v>
      </c>
      <c r="BG61" s="201">
        <f t="shared" si="21"/>
        <v>0</v>
      </c>
      <c r="BH61" s="201"/>
      <c r="BI61" s="199"/>
      <c r="BJ61" s="207"/>
      <c r="BK61" s="208"/>
      <c r="BL61"/>
      <c r="BM61"/>
      <c r="BN61"/>
      <c r="BO61" s="201"/>
      <c r="BP61" s="201">
        <f t="shared" si="22"/>
        <v>0</v>
      </c>
      <c r="BQ61" s="201">
        <f t="shared" si="23"/>
        <v>0</v>
      </c>
      <c r="BR61" s="201">
        <f t="shared" si="24"/>
        <v>0</v>
      </c>
      <c r="BS61" s="201"/>
      <c r="BT61" s="199"/>
      <c r="BU61" s="207"/>
      <c r="BV61" s="208"/>
      <c r="BW61"/>
      <c r="BX61"/>
      <c r="BY61"/>
      <c r="BZ61" s="201"/>
      <c r="CA61" s="201">
        <f t="shared" si="25"/>
        <v>0</v>
      </c>
      <c r="CB61" s="201">
        <f t="shared" si="26"/>
        <v>0</v>
      </c>
      <c r="CC61" s="201">
        <f t="shared" si="27"/>
        <v>0</v>
      </c>
      <c r="CD61" s="201"/>
    </row>
    <row r="62" spans="1:82" ht="12.75" hidden="1" customHeight="1">
      <c r="A62" s="89"/>
      <c r="B62" s="77"/>
      <c r="C62" s="77"/>
      <c r="D62" s="177"/>
      <c r="E62" s="201"/>
      <c r="F62" s="199"/>
      <c r="G62" s="238"/>
      <c r="H62" s="224">
        <f t="shared" si="1"/>
        <v>0</v>
      </c>
      <c r="I62" s="154"/>
      <c r="J62" s="201"/>
      <c r="K62" s="199"/>
      <c r="L62" s="157"/>
      <c r="M62" s="154"/>
      <c r="N62" s="201"/>
      <c r="O62" s="199"/>
      <c r="P62" s="223"/>
      <c r="Q62" s="224">
        <f t="shared" si="2"/>
        <v>0</v>
      </c>
      <c r="R62" s="199"/>
      <c r="T62" s="383"/>
      <c r="V62" s="154"/>
      <c r="W62" s="383"/>
      <c r="X62" s="340"/>
      <c r="Y62" s="154"/>
      <c r="Z62" s="154"/>
      <c r="AA62" s="157">
        <f t="shared" si="14"/>
        <v>0</v>
      </c>
      <c r="AB62" s="252"/>
      <c r="AC62" s="207"/>
      <c r="AD62" s="208"/>
      <c r="AH62" s="201"/>
      <c r="AI62" s="201">
        <f t="shared" si="15"/>
        <v>0</v>
      </c>
      <c r="AJ62" s="201">
        <f t="shared" si="16"/>
        <v>0</v>
      </c>
      <c r="AK62" s="201"/>
      <c r="AL62" s="201"/>
      <c r="AM62" s="199"/>
      <c r="AN62" s="207"/>
      <c r="AO62" s="208"/>
      <c r="AP62"/>
      <c r="AQ62"/>
      <c r="AR62"/>
      <c r="AS62" s="201"/>
      <c r="AT62" s="201">
        <f t="shared" si="17"/>
        <v>0</v>
      </c>
      <c r="AU62" s="201">
        <f t="shared" si="18"/>
        <v>0</v>
      </c>
      <c r="AV62" s="201">
        <f t="shared" si="17"/>
        <v>0</v>
      </c>
      <c r="AW62" s="201"/>
      <c r="AX62" s="199"/>
      <c r="AY62" s="207"/>
      <c r="AZ62" s="208"/>
      <c r="BA62"/>
      <c r="BB62"/>
      <c r="BC62"/>
      <c r="BD62" s="201"/>
      <c r="BE62" s="201">
        <f t="shared" si="19"/>
        <v>0</v>
      </c>
      <c r="BF62" s="201">
        <f t="shared" si="20"/>
        <v>0</v>
      </c>
      <c r="BG62" s="201">
        <f t="shared" si="21"/>
        <v>0</v>
      </c>
      <c r="BH62" s="201"/>
      <c r="BI62" s="199"/>
      <c r="BJ62" s="207"/>
      <c r="BK62" s="208"/>
      <c r="BL62"/>
      <c r="BM62"/>
      <c r="BN62"/>
      <c r="BO62" s="201"/>
      <c r="BP62" s="201">
        <f t="shared" si="22"/>
        <v>0</v>
      </c>
      <c r="BQ62" s="201">
        <f t="shared" si="23"/>
        <v>0</v>
      </c>
      <c r="BR62" s="201">
        <f t="shared" si="24"/>
        <v>0</v>
      </c>
      <c r="BS62" s="201"/>
      <c r="BT62" s="199"/>
      <c r="BU62" s="207"/>
      <c r="BV62" s="208"/>
      <c r="BW62"/>
      <c r="BX62"/>
      <c r="BY62"/>
      <c r="BZ62" s="201"/>
      <c r="CA62" s="201">
        <f t="shared" si="25"/>
        <v>0</v>
      </c>
      <c r="CB62" s="201">
        <f t="shared" si="26"/>
        <v>0</v>
      </c>
      <c r="CC62" s="201">
        <f t="shared" si="27"/>
        <v>0</v>
      </c>
      <c r="CD62" s="201"/>
    </row>
    <row r="63" spans="1:82" ht="12.75" hidden="1" customHeight="1">
      <c r="A63" s="89"/>
      <c r="B63" s="77"/>
      <c r="C63" s="77"/>
      <c r="D63" s="177"/>
      <c r="E63" s="201"/>
      <c r="F63" s="199"/>
      <c r="G63" s="238"/>
      <c r="H63" s="224">
        <f t="shared" si="1"/>
        <v>0</v>
      </c>
      <c r="I63" s="154"/>
      <c r="J63" s="201"/>
      <c r="K63" s="199"/>
      <c r="L63" s="157"/>
      <c r="M63" s="154"/>
      <c r="N63" s="201"/>
      <c r="O63" s="199"/>
      <c r="P63" s="223"/>
      <c r="Q63" s="224">
        <f t="shared" si="2"/>
        <v>0</v>
      </c>
      <c r="R63" s="199"/>
      <c r="T63" s="383"/>
      <c r="V63" s="154"/>
      <c r="W63" s="383"/>
      <c r="X63" s="340"/>
      <c r="Y63" s="154"/>
      <c r="Z63" s="154"/>
      <c r="AA63" s="157">
        <f t="shared" si="14"/>
        <v>0</v>
      </c>
      <c r="AB63" s="252"/>
      <c r="AC63" s="207"/>
      <c r="AD63" s="208"/>
      <c r="AH63" s="201"/>
      <c r="AI63" s="201">
        <f t="shared" si="15"/>
        <v>0</v>
      </c>
      <c r="AJ63" s="201">
        <f t="shared" si="16"/>
        <v>0</v>
      </c>
      <c r="AK63" s="201"/>
      <c r="AL63" s="201"/>
      <c r="AM63" s="199"/>
      <c r="AN63" s="207"/>
      <c r="AO63" s="208"/>
      <c r="AP63"/>
      <c r="AQ63"/>
      <c r="AR63"/>
      <c r="AS63" s="201"/>
      <c r="AT63" s="201">
        <f t="shared" si="17"/>
        <v>0</v>
      </c>
      <c r="AU63" s="201">
        <f t="shared" si="18"/>
        <v>0</v>
      </c>
      <c r="AV63" s="201">
        <f t="shared" si="17"/>
        <v>0</v>
      </c>
      <c r="AW63" s="201"/>
      <c r="AX63" s="199"/>
      <c r="AY63" s="207"/>
      <c r="AZ63" s="208"/>
      <c r="BA63"/>
      <c r="BB63"/>
      <c r="BC63"/>
      <c r="BD63" s="201"/>
      <c r="BE63" s="201">
        <f t="shared" si="19"/>
        <v>0</v>
      </c>
      <c r="BF63" s="201">
        <f t="shared" si="20"/>
        <v>0</v>
      </c>
      <c r="BG63" s="201">
        <f t="shared" si="21"/>
        <v>0</v>
      </c>
      <c r="BH63" s="201"/>
      <c r="BI63" s="199"/>
      <c r="BJ63" s="207"/>
      <c r="BK63" s="208"/>
      <c r="BL63"/>
      <c r="BM63"/>
      <c r="BN63"/>
      <c r="BO63" s="201"/>
      <c r="BP63" s="201">
        <f t="shared" si="22"/>
        <v>0</v>
      </c>
      <c r="BQ63" s="201">
        <f t="shared" si="23"/>
        <v>0</v>
      </c>
      <c r="BR63" s="201">
        <f t="shared" si="24"/>
        <v>0</v>
      </c>
      <c r="BS63" s="201"/>
      <c r="BT63" s="199"/>
      <c r="BU63" s="207"/>
      <c r="BV63" s="208"/>
      <c r="BW63"/>
      <c r="BX63"/>
      <c r="BY63"/>
      <c r="BZ63" s="201"/>
      <c r="CA63" s="201">
        <f t="shared" si="25"/>
        <v>0</v>
      </c>
      <c r="CB63" s="201">
        <f t="shared" si="26"/>
        <v>0</v>
      </c>
      <c r="CC63" s="201">
        <f t="shared" si="27"/>
        <v>0</v>
      </c>
      <c r="CD63" s="201"/>
    </row>
    <row r="64" spans="1:82" ht="12.75" hidden="1" customHeight="1">
      <c r="A64" s="89"/>
      <c r="B64" s="77"/>
      <c r="C64" s="77"/>
      <c r="D64" s="178"/>
      <c r="E64" s="202"/>
      <c r="F64" s="200"/>
      <c r="G64" s="243"/>
      <c r="H64" s="224">
        <f t="shared" si="1"/>
        <v>0</v>
      </c>
      <c r="I64" s="198"/>
      <c r="J64" s="202"/>
      <c r="K64" s="200"/>
      <c r="L64" s="245"/>
      <c r="M64" s="198"/>
      <c r="N64" s="202"/>
      <c r="O64" s="200"/>
      <c r="P64" s="223"/>
      <c r="Q64" s="224">
        <f t="shared" si="2"/>
        <v>0</v>
      </c>
      <c r="R64" s="200"/>
      <c r="T64" s="383"/>
      <c r="V64" s="198"/>
      <c r="W64" s="383"/>
      <c r="X64" s="340"/>
      <c r="Y64" s="198"/>
      <c r="Z64" s="198"/>
      <c r="AA64" s="157">
        <f t="shared" si="14"/>
        <v>0</v>
      </c>
      <c r="AB64" s="253"/>
      <c r="AC64" s="207"/>
      <c r="AD64" s="208"/>
      <c r="AH64" s="202"/>
      <c r="AI64" s="201">
        <f t="shared" si="15"/>
        <v>0</v>
      </c>
      <c r="AJ64" s="202">
        <f t="shared" si="16"/>
        <v>0</v>
      </c>
      <c r="AK64" s="202"/>
      <c r="AL64" s="202"/>
      <c r="AM64" s="200"/>
      <c r="AN64" s="207"/>
      <c r="AO64" s="208"/>
      <c r="AP64"/>
      <c r="AQ64"/>
      <c r="AR64"/>
      <c r="AS64" s="202"/>
      <c r="AT64" s="201">
        <f t="shared" si="17"/>
        <v>0</v>
      </c>
      <c r="AU64" s="202">
        <f t="shared" si="18"/>
        <v>0</v>
      </c>
      <c r="AV64" s="201">
        <f t="shared" si="17"/>
        <v>0</v>
      </c>
      <c r="AW64" s="202"/>
      <c r="AX64" s="200"/>
      <c r="AY64" s="207"/>
      <c r="AZ64" s="208"/>
      <c r="BA64"/>
      <c r="BB64"/>
      <c r="BC64"/>
      <c r="BD64" s="202"/>
      <c r="BE64" s="201">
        <f t="shared" si="19"/>
        <v>0</v>
      </c>
      <c r="BF64" s="202">
        <f t="shared" si="20"/>
        <v>0</v>
      </c>
      <c r="BG64" s="201">
        <f t="shared" si="21"/>
        <v>0</v>
      </c>
      <c r="BH64" s="202"/>
      <c r="BI64" s="200"/>
      <c r="BJ64" s="207"/>
      <c r="BK64" s="208"/>
      <c r="BL64"/>
      <c r="BM64"/>
      <c r="BN64"/>
      <c r="BO64" s="202"/>
      <c r="BP64" s="201">
        <f t="shared" si="22"/>
        <v>0</v>
      </c>
      <c r="BQ64" s="202">
        <f t="shared" si="23"/>
        <v>0</v>
      </c>
      <c r="BR64" s="201">
        <f t="shared" si="24"/>
        <v>0</v>
      </c>
      <c r="BS64" s="202"/>
      <c r="BT64" s="200"/>
      <c r="BU64" s="207"/>
      <c r="BV64" s="208"/>
      <c r="BW64"/>
      <c r="BX64"/>
      <c r="BY64"/>
      <c r="BZ64" s="202"/>
      <c r="CA64" s="201">
        <f t="shared" si="25"/>
        <v>0</v>
      </c>
      <c r="CB64" s="202">
        <f t="shared" si="26"/>
        <v>0</v>
      </c>
      <c r="CC64" s="201">
        <f t="shared" si="27"/>
        <v>0</v>
      </c>
      <c r="CD64" s="202"/>
    </row>
    <row r="65" spans="1:82" ht="12.75" hidden="1" customHeight="1">
      <c r="A65" s="89"/>
      <c r="B65" s="77"/>
      <c r="C65" s="77"/>
      <c r="D65" s="176"/>
      <c r="E65" s="201"/>
      <c r="F65" s="199"/>
      <c r="G65" s="238"/>
      <c r="H65" s="224">
        <f t="shared" si="1"/>
        <v>0</v>
      </c>
      <c r="I65" s="154"/>
      <c r="J65" s="201"/>
      <c r="K65" s="199"/>
      <c r="L65" s="157"/>
      <c r="M65" s="154"/>
      <c r="N65" s="201"/>
      <c r="O65" s="199"/>
      <c r="P65" s="223"/>
      <c r="Q65" s="224">
        <f t="shared" si="2"/>
        <v>0</v>
      </c>
      <c r="R65" s="199"/>
      <c r="T65" s="383"/>
      <c r="V65" s="154"/>
      <c r="W65" s="383"/>
      <c r="X65" s="340"/>
      <c r="Y65" s="154"/>
      <c r="Z65" s="154"/>
      <c r="AA65" s="157">
        <f t="shared" si="14"/>
        <v>0</v>
      </c>
      <c r="AB65" s="252"/>
      <c r="AC65" s="207"/>
      <c r="AD65" s="208"/>
      <c r="AH65" s="201"/>
      <c r="AI65" s="201">
        <f t="shared" si="15"/>
        <v>0</v>
      </c>
      <c r="AJ65" s="201">
        <f t="shared" si="16"/>
        <v>0</v>
      </c>
      <c r="AK65" s="201"/>
      <c r="AL65" s="201"/>
      <c r="AM65" s="199"/>
      <c r="AN65" s="207"/>
      <c r="AO65" s="208"/>
      <c r="AP65"/>
      <c r="AQ65"/>
      <c r="AR65"/>
      <c r="AS65" s="201"/>
      <c r="AT65" s="201">
        <f t="shared" si="17"/>
        <v>0</v>
      </c>
      <c r="AU65" s="201">
        <f t="shared" si="18"/>
        <v>0</v>
      </c>
      <c r="AV65" s="201">
        <f t="shared" si="17"/>
        <v>0</v>
      </c>
      <c r="AW65" s="201"/>
      <c r="AX65" s="199"/>
      <c r="AY65" s="207"/>
      <c r="AZ65" s="208"/>
      <c r="BA65"/>
      <c r="BB65"/>
      <c r="BC65"/>
      <c r="BD65" s="201"/>
      <c r="BE65" s="201">
        <f t="shared" si="19"/>
        <v>0</v>
      </c>
      <c r="BF65" s="201">
        <f t="shared" si="20"/>
        <v>0</v>
      </c>
      <c r="BG65" s="201">
        <f t="shared" si="21"/>
        <v>0</v>
      </c>
      <c r="BH65" s="201"/>
      <c r="BI65" s="199"/>
      <c r="BJ65" s="207"/>
      <c r="BK65" s="208"/>
      <c r="BL65"/>
      <c r="BM65"/>
      <c r="BN65"/>
      <c r="BO65" s="201"/>
      <c r="BP65" s="201">
        <f t="shared" si="22"/>
        <v>0</v>
      </c>
      <c r="BQ65" s="201">
        <f t="shared" si="23"/>
        <v>0</v>
      </c>
      <c r="BR65" s="201">
        <f t="shared" si="24"/>
        <v>0</v>
      </c>
      <c r="BS65" s="201"/>
      <c r="BT65" s="199"/>
      <c r="BU65" s="207"/>
      <c r="BV65" s="208"/>
      <c r="BW65"/>
      <c r="BX65"/>
      <c r="BY65"/>
      <c r="BZ65" s="201"/>
      <c r="CA65" s="201">
        <f t="shared" si="25"/>
        <v>0</v>
      </c>
      <c r="CB65" s="201">
        <f t="shared" si="26"/>
        <v>0</v>
      </c>
      <c r="CC65" s="201">
        <f t="shared" si="27"/>
        <v>0</v>
      </c>
      <c r="CD65" s="201"/>
    </row>
    <row r="66" spans="1:82" ht="12.75" hidden="1" customHeight="1">
      <c r="A66" s="89"/>
      <c r="B66" s="77"/>
      <c r="C66" s="77"/>
      <c r="D66" s="176"/>
      <c r="E66" s="201"/>
      <c r="F66" s="199"/>
      <c r="G66" s="238"/>
      <c r="H66" s="224">
        <f t="shared" si="1"/>
        <v>0</v>
      </c>
      <c r="I66" s="154"/>
      <c r="J66" s="201"/>
      <c r="K66" s="199"/>
      <c r="L66" s="157"/>
      <c r="M66" s="154"/>
      <c r="N66" s="201"/>
      <c r="O66" s="199"/>
      <c r="P66" s="223"/>
      <c r="Q66" s="224">
        <f t="shared" si="2"/>
        <v>0</v>
      </c>
      <c r="R66" s="199"/>
      <c r="T66" s="383"/>
      <c r="V66" s="154"/>
      <c r="W66" s="383"/>
      <c r="X66" s="340"/>
      <c r="Y66" s="154"/>
      <c r="Z66" s="154"/>
      <c r="AA66" s="157">
        <f t="shared" si="14"/>
        <v>0</v>
      </c>
      <c r="AB66" s="252"/>
      <c r="AC66" s="207"/>
      <c r="AD66" s="208"/>
      <c r="AH66" s="201"/>
      <c r="AI66" s="201">
        <f t="shared" si="15"/>
        <v>0</v>
      </c>
      <c r="AJ66" s="201">
        <f t="shared" si="16"/>
        <v>0</v>
      </c>
      <c r="AK66" s="201"/>
      <c r="AL66" s="201"/>
      <c r="AM66" s="199"/>
      <c r="AN66" s="207"/>
      <c r="AO66" s="208"/>
      <c r="AP66"/>
      <c r="AQ66"/>
      <c r="AR66"/>
      <c r="AS66" s="201"/>
      <c r="AT66" s="201">
        <f t="shared" si="17"/>
        <v>0</v>
      </c>
      <c r="AU66" s="201">
        <f t="shared" si="18"/>
        <v>0</v>
      </c>
      <c r="AV66" s="201">
        <f t="shared" si="17"/>
        <v>0</v>
      </c>
      <c r="AW66" s="201"/>
      <c r="AX66" s="199"/>
      <c r="AY66" s="207"/>
      <c r="AZ66" s="208"/>
      <c r="BA66"/>
      <c r="BB66"/>
      <c r="BC66"/>
      <c r="BD66" s="201"/>
      <c r="BE66" s="201">
        <f t="shared" si="19"/>
        <v>0</v>
      </c>
      <c r="BF66" s="201">
        <f t="shared" si="20"/>
        <v>0</v>
      </c>
      <c r="BG66" s="201">
        <f t="shared" si="21"/>
        <v>0</v>
      </c>
      <c r="BH66" s="201"/>
      <c r="BI66" s="199"/>
      <c r="BJ66" s="207"/>
      <c r="BK66" s="208"/>
      <c r="BL66"/>
      <c r="BM66"/>
      <c r="BN66"/>
      <c r="BO66" s="201"/>
      <c r="BP66" s="201">
        <f t="shared" si="22"/>
        <v>0</v>
      </c>
      <c r="BQ66" s="201">
        <f t="shared" si="23"/>
        <v>0</v>
      </c>
      <c r="BR66" s="201">
        <f t="shared" si="24"/>
        <v>0</v>
      </c>
      <c r="BS66" s="201"/>
      <c r="BT66" s="199"/>
      <c r="BU66" s="207"/>
      <c r="BV66" s="208"/>
      <c r="BW66"/>
      <c r="BX66"/>
      <c r="BY66"/>
      <c r="BZ66" s="201"/>
      <c r="CA66" s="201">
        <f t="shared" si="25"/>
        <v>0</v>
      </c>
      <c r="CB66" s="201">
        <f t="shared" si="26"/>
        <v>0</v>
      </c>
      <c r="CC66" s="201">
        <f t="shared" si="27"/>
        <v>0</v>
      </c>
      <c r="CD66" s="201"/>
    </row>
    <row r="67" spans="1:82">
      <c r="A67" s="89"/>
      <c r="B67" s="77" t="s">
        <v>21</v>
      </c>
      <c r="C67" s="77">
        <v>3</v>
      </c>
      <c r="D67" s="176">
        <f>'Test Year 2001 Sales and Revs.'!J69</f>
        <v>129286012</v>
      </c>
      <c r="E67" s="201">
        <f>surcharge_1*D67</f>
        <v>4947623.6344190231</v>
      </c>
      <c r="F67" s="199"/>
      <c r="G67" s="238">
        <v>3.7139999999999999E-2</v>
      </c>
      <c r="H67" s="224">
        <f t="shared" si="1"/>
        <v>4801682.4856799999</v>
      </c>
      <c r="I67" s="154">
        <f>H67/$H$127</f>
        <v>1.5275103266833333E-3</v>
      </c>
      <c r="J67" s="201">
        <f>I67*$E$129</f>
        <v>3757261.6435735635</v>
      </c>
      <c r="K67" s="199"/>
      <c r="L67" s="381">
        <v>8063568.5684400005</v>
      </c>
      <c r="M67" s="154">
        <f>L67/$L$127</f>
        <v>1.154933234515186E-3</v>
      </c>
      <c r="N67" s="201">
        <f>M67*$E$129</f>
        <v>2840822.9176128209</v>
      </c>
      <c r="O67" s="199"/>
      <c r="P67" s="223">
        <f>T_Equal</f>
        <v>3.6258823390606508E-2</v>
      </c>
      <c r="Q67" s="224">
        <f t="shared" si="2"/>
        <v>4687758.6759838341</v>
      </c>
      <c r="R67" s="199"/>
      <c r="S67" s="334"/>
      <c r="T67" s="383"/>
      <c r="U67" s="383">
        <v>1167664.8519711043</v>
      </c>
      <c r="V67" s="154">
        <f>U67/$U$127</f>
        <v>7.2305154714660867E-4</v>
      </c>
      <c r="W67" s="383"/>
      <c r="X67" s="383">
        <v>525484.2253918791</v>
      </c>
      <c r="Y67" s="154">
        <f>X67/$X$127</f>
        <v>3.4666187909102633E-4</v>
      </c>
      <c r="Z67" s="154">
        <f>AVERAGE(V67,Y67)</f>
        <v>5.3485671311881747E-4</v>
      </c>
      <c r="AA67" s="157">
        <f>$Z67*'Inputs and Assumptions'!$C$6</f>
        <v>1315602.6364630722</v>
      </c>
      <c r="AB67" s="252"/>
      <c r="AC67" s="390">
        <f>CHOOSE(gen_choice,'Generation Calculations'!$O69,'Generation Calculations'!$P69)</f>
        <v>2.4936892828426673E-2</v>
      </c>
      <c r="AD67" s="391">
        <f t="shared" ref="AD67:AD88" si="28">EPS</f>
        <v>0.01</v>
      </c>
      <c r="AE67" s="392">
        <f>AG67-SUM(AC67:AD67,AF67)</f>
        <v>6.4743453375495183E-2</v>
      </c>
      <c r="AF67" s="392">
        <f>AK67/$D67*-1</f>
        <v>6.7029382779683448E-3</v>
      </c>
      <c r="AG67" s="211">
        <f>AL67/$D67</f>
        <v>0.1063832844818902</v>
      </c>
      <c r="AH67" s="201">
        <f>$D67*AE67</f>
        <v>8370422.8900257107</v>
      </c>
      <c r="AI67" s="407">
        <f>CHOOSE(gen_choice,'Generation Calculations'!$M69,'Generation Calculations'!$N69)</f>
        <v>3223991.425458685</v>
      </c>
      <c r="AJ67" s="201">
        <f t="shared" si="16"/>
        <v>1292860.1200000001</v>
      </c>
      <c r="AK67" s="217">
        <f>CHOOSE(gen_choice,'Generation Calculations'!K69,'Generation Calculations'!L69)</f>
        <v>-866596.15864067478</v>
      </c>
      <c r="AL67" s="201">
        <f>$D67*gen_equal</f>
        <v>13753870.59412507</v>
      </c>
      <c r="AM67" s="199"/>
      <c r="AN67" s="390">
        <f>CHOOSE(gen_choice,'Generation Calculations'!$O69,'Generation Calculations'!$P69)</f>
        <v>2.4936892828426673E-2</v>
      </c>
      <c r="AO67" s="391">
        <f t="shared" ref="AO67:AO88" si="29">EPS</f>
        <v>0.01</v>
      </c>
      <c r="AP67" s="392">
        <f>AR67-SUM(AN67:AO67,AQ67)</f>
        <v>5.1765399848436117E-2</v>
      </c>
      <c r="AQ67" s="392">
        <f>AV67/$D67*-1</f>
        <v>6.7029382779683448E-3</v>
      </c>
      <c r="AR67" s="211">
        <f>AW67/$D67</f>
        <v>9.3405230954831137E-2</v>
      </c>
      <c r="AS67" s="201">
        <f>$D67*AP67</f>
        <v>6692542.1059897095</v>
      </c>
      <c r="AT67" s="201">
        <f>$AI67</f>
        <v>3223991.425458685</v>
      </c>
      <c r="AU67" s="201">
        <f t="shared" si="18"/>
        <v>1292860.1200000001</v>
      </c>
      <c r="AV67" s="201">
        <f>$AK67</f>
        <v>-866596.15864067478</v>
      </c>
      <c r="AW67" s="201">
        <f>$I67*'Inputs and Assumptions'!$C$15</f>
        <v>12075989.81008907</v>
      </c>
      <c r="AX67" s="199"/>
      <c r="AY67" s="390">
        <f>CHOOSE(gen_choice,'Generation Calculations'!$O69,'Generation Calculations'!$P69)</f>
        <v>2.4936892828426673E-2</v>
      </c>
      <c r="AZ67" s="391">
        <f t="shared" ref="AZ67:AZ88" si="30">EPS</f>
        <v>0.01</v>
      </c>
      <c r="BA67" s="392">
        <f>BC67-SUM(AY67:AZ67,BB67)</f>
        <v>2.8982804710105725E-2</v>
      </c>
      <c r="BB67" s="392">
        <f>BG67/$D67*-1</f>
        <v>6.7029382779683448E-3</v>
      </c>
      <c r="BC67" s="211">
        <f>BH67/$D67</f>
        <v>7.0622635816500745E-2</v>
      </c>
      <c r="BD67" s="201">
        <f>$D67*BA67</f>
        <v>3747071.2375443853</v>
      </c>
      <c r="BE67" s="201">
        <f>$AI67</f>
        <v>3223991.425458685</v>
      </c>
      <c r="BF67" s="201">
        <f t="shared" si="20"/>
        <v>1292860.1200000001</v>
      </c>
      <c r="BG67" s="201">
        <f>$AK67</f>
        <v>-866596.15864067478</v>
      </c>
      <c r="BH67" s="201">
        <f>$M67*'Inputs and Assumptions'!$C$15</f>
        <v>9130518.9416437447</v>
      </c>
      <c r="BI67" s="199"/>
      <c r="BJ67" s="390">
        <f>CHOOSE(gen_choice,'Generation Calculations'!$O69,'Generation Calculations'!$P69)</f>
        <v>2.4936892828426673E-2</v>
      </c>
      <c r="BK67" s="391">
        <f t="shared" ref="BK67:BK88" si="31">EPS</f>
        <v>0.01</v>
      </c>
      <c r="BL67" s="392">
        <f>BN67-SUM(BJ67:BK67,BM67)</f>
        <v>5.2045957533708317E-2</v>
      </c>
      <c r="BM67" s="392">
        <f>BR67/$D67*-1</f>
        <v>6.7029382779683448E-3</v>
      </c>
      <c r="BN67" s="211">
        <f>BS67/$D67</f>
        <v>9.3685788640103337E-2</v>
      </c>
      <c r="BO67" s="201">
        <f>$D67*BL67</f>
        <v>6728814.2902545035</v>
      </c>
      <c r="BP67" s="201">
        <f>$AI67</f>
        <v>3223991.425458685</v>
      </c>
      <c r="BQ67" s="201">
        <f t="shared" si="23"/>
        <v>1292860.1200000001</v>
      </c>
      <c r="BR67" s="201">
        <f>$AK67</f>
        <v>-866596.15864067478</v>
      </c>
      <c r="BS67" s="201">
        <f>D67*T_equal_gen</f>
        <v>12112261.994353864</v>
      </c>
      <c r="BT67" s="199"/>
      <c r="BU67" s="390">
        <f>CHOOSE(gen_choice,'Generation Calculations'!$O69,'Generation Calculations'!$P69)</f>
        <v>2.4936892828426673E-2</v>
      </c>
      <c r="BV67" s="391">
        <f t="shared" ref="BV67:BV88" si="32">EPS</f>
        <v>0.01</v>
      </c>
      <c r="BW67" s="392">
        <f>BY67-SUM(BU67:BV67,BX67)</f>
        <v>-8.934052334293896E-3</v>
      </c>
      <c r="BX67" s="392">
        <f>CC67/$D67*-1</f>
        <v>6.7029382779683448E-3</v>
      </c>
      <c r="BY67" s="211">
        <f>CD67/$D67</f>
        <v>3.2705778772101124E-2</v>
      </c>
      <c r="BZ67" s="201">
        <f>$D67*BW67</f>
        <v>-1155047.9973001487</v>
      </c>
      <c r="CA67" s="201">
        <f>$AI67</f>
        <v>3223991.425458685</v>
      </c>
      <c r="CB67" s="201">
        <f t="shared" si="26"/>
        <v>1292860.1200000001</v>
      </c>
      <c r="CC67" s="201">
        <f>$AK67</f>
        <v>-866596.15864067478</v>
      </c>
      <c r="CD67" s="201">
        <f>$Z67*'Inputs and Assumptions'!$C$15</f>
        <v>4228399.706799211</v>
      </c>
    </row>
    <row r="68" spans="1:82">
      <c r="A68" s="89"/>
      <c r="B68" s="77" t="s">
        <v>27</v>
      </c>
      <c r="C68" s="77">
        <v>2</v>
      </c>
      <c r="D68" s="176">
        <f>'Test Year 2001 Sales and Revs.'!J70</f>
        <v>29728442.999999996</v>
      </c>
      <c r="E68" s="201">
        <f>surcharge_1*D68</f>
        <v>1137672.5519329866</v>
      </c>
      <c r="F68" s="199"/>
      <c r="G68" s="238">
        <f>G67</f>
        <v>3.7139999999999999E-2</v>
      </c>
      <c r="H68" s="224">
        <f t="shared" si="1"/>
        <v>1104114.3730199998</v>
      </c>
      <c r="I68" s="154">
        <f>H68/$H$127</f>
        <v>3.5124065609446479E-4</v>
      </c>
      <c r="J68" s="201">
        <f>I68*$E$129</f>
        <v>863956.87266664999</v>
      </c>
      <c r="K68" s="199"/>
      <c r="L68" s="381">
        <v>1854162.98991</v>
      </c>
      <c r="M68" s="154">
        <f>L68/$L$127</f>
        <v>2.6556907665378635E-4</v>
      </c>
      <c r="N68" s="201">
        <f>M68*$E$129</f>
        <v>653227.99329092493</v>
      </c>
      <c r="O68" s="199"/>
      <c r="P68" s="223">
        <f>P_Equal</f>
        <v>3.7680738033375391E-2</v>
      </c>
      <c r="Q68" s="224">
        <f t="shared" si="2"/>
        <v>1120189.6728231322</v>
      </c>
      <c r="R68" s="199"/>
      <c r="S68" s="334"/>
      <c r="T68" s="383"/>
      <c r="U68" s="383">
        <v>364070.13439592859</v>
      </c>
      <c r="V68" s="154">
        <f>U68/$U$127</f>
        <v>2.2544266319267803E-4</v>
      </c>
      <c r="W68" s="383"/>
      <c r="X68" s="383">
        <v>358659.05335761845</v>
      </c>
      <c r="Y68" s="154">
        <f>X68/$X$127</f>
        <v>2.3660733354505405E-4</v>
      </c>
      <c r="Z68" s="154">
        <f>AVERAGE(V68,Y68)</f>
        <v>2.3102499836886604E-4</v>
      </c>
      <c r="AA68" s="157">
        <f>$Z68*'Inputs and Assumptions'!$C$6</f>
        <v>568258.91774015757</v>
      </c>
      <c r="AB68" s="252"/>
      <c r="AC68" s="390">
        <f>CHOOSE(gen_choice,'Generation Calculations'!$O70,'Generation Calculations'!$P70)</f>
        <v>3.9570126873594132E-2</v>
      </c>
      <c r="AD68" s="391">
        <f t="shared" si="28"/>
        <v>0.01</v>
      </c>
      <c r="AE68" s="392">
        <f>AG68-SUM(AC68:AD68,AF68)</f>
        <v>5.5827032783820472E-2</v>
      </c>
      <c r="AF68" s="392">
        <f>AK68/$D68*-1</f>
        <v>9.8612482447558189E-4</v>
      </c>
      <c r="AG68" s="211">
        <f>AL68/$D68</f>
        <v>0.10638328448189019</v>
      </c>
      <c r="AH68" s="201">
        <f>$D68*AE68</f>
        <v>1659650.761972938</v>
      </c>
      <c r="AI68" s="407">
        <f>CHOOSE(gen_choice,'Generation Calculations'!$M70,'Generation Calculations'!$N70)</f>
        <v>1176358.2612644113</v>
      </c>
      <c r="AJ68" s="201">
        <f t="shared" si="16"/>
        <v>297284.43</v>
      </c>
      <c r="AK68" s="217">
        <f>CHOOSE(gen_choice,'Generation Calculations'!K70,'Generation Calculations'!L70)</f>
        <v>-29315.955635307335</v>
      </c>
      <c r="AL68" s="201">
        <f>$D68*gen_equal</f>
        <v>3162609.4088726565</v>
      </c>
      <c r="AM68" s="199"/>
      <c r="AN68" s="390">
        <f>CHOOSE(gen_choice,'Generation Calculations'!$O70,'Generation Calculations'!$P70)</f>
        <v>3.9570126873594132E-2</v>
      </c>
      <c r="AO68" s="391">
        <f t="shared" si="29"/>
        <v>0.01</v>
      </c>
      <c r="AP68" s="392">
        <f>AR68-SUM(AN68:AO68,AQ68)</f>
        <v>4.284897925676142E-2</v>
      </c>
      <c r="AQ68" s="392">
        <f>AV68/$D68*-1</f>
        <v>9.8612482447558189E-4</v>
      </c>
      <c r="AR68" s="211">
        <f>AW68/$D68</f>
        <v>9.3405230954831137E-2</v>
      </c>
      <c r="AS68" s="201">
        <f>$D68*AP68</f>
        <v>1273833.437442814</v>
      </c>
      <c r="AT68" s="201">
        <f>$AI68</f>
        <v>1176358.2612644113</v>
      </c>
      <c r="AU68" s="201">
        <f t="shared" si="18"/>
        <v>297284.43</v>
      </c>
      <c r="AV68" s="201">
        <f>$AK68</f>
        <v>-29315.955635307335</v>
      </c>
      <c r="AW68" s="201">
        <f>$I68*'Inputs and Assumptions'!$C$15</f>
        <v>2776792.0843425328</v>
      </c>
      <c r="AX68" s="199"/>
      <c r="AY68" s="390">
        <f>CHOOSE(gen_choice,'Generation Calculations'!$O70,'Generation Calculations'!$P70)</f>
        <v>3.9570126873594132E-2</v>
      </c>
      <c r="AZ68" s="391">
        <f t="shared" si="30"/>
        <v>0.01</v>
      </c>
      <c r="BA68" s="392">
        <f>BC68-SUM(AY68:AZ68,BB68)</f>
        <v>2.0066384118431042E-2</v>
      </c>
      <c r="BB68" s="392">
        <f>BG68/$D68*-1</f>
        <v>9.8612482447558189E-4</v>
      </c>
      <c r="BC68" s="211">
        <f>BH68/$D68</f>
        <v>7.0622635816500759E-2</v>
      </c>
      <c r="BD68" s="201">
        <f>$D68*BA68</f>
        <v>596542.35648088239</v>
      </c>
      <c r="BE68" s="201">
        <f>$AI68</f>
        <v>1176358.2612644113</v>
      </c>
      <c r="BF68" s="201">
        <f t="shared" si="20"/>
        <v>297284.43</v>
      </c>
      <c r="BG68" s="201">
        <f>$AK68</f>
        <v>-29315.955635307335</v>
      </c>
      <c r="BH68" s="201">
        <f>$M68*'Inputs and Assumptions'!$C$15</f>
        <v>2099501.0033806008</v>
      </c>
      <c r="BI68" s="199"/>
      <c r="BJ68" s="390">
        <f>CHOOSE(gen_choice,'Generation Calculations'!$O70,'Generation Calculations'!$P70)</f>
        <v>3.9570126873594132E-2</v>
      </c>
      <c r="BK68" s="391">
        <f t="shared" si="31"/>
        <v>0.01</v>
      </c>
      <c r="BL68" s="392">
        <f>BN68-SUM(BJ68:BK68,BM68)</f>
        <v>4.6803489437723951E-2</v>
      </c>
      <c r="BM68" s="392">
        <f>BR68/$D68*-1</f>
        <v>9.8612482447558189E-4</v>
      </c>
      <c r="BN68" s="211">
        <f>BS68/$D68</f>
        <v>9.7359741135793668E-2</v>
      </c>
      <c r="BO68" s="201">
        <f>$D68*BL68</f>
        <v>1391394.8679504783</v>
      </c>
      <c r="BP68" s="201">
        <f>$AI68</f>
        <v>1176358.2612644113</v>
      </c>
      <c r="BQ68" s="201">
        <f t="shared" si="23"/>
        <v>297284.43</v>
      </c>
      <c r="BR68" s="201">
        <f>$AK68</f>
        <v>-29315.955635307335</v>
      </c>
      <c r="BS68" s="201">
        <f>D68*P_equal_gen</f>
        <v>2894353.5148501969</v>
      </c>
      <c r="BT68" s="199"/>
      <c r="BU68" s="390">
        <f>CHOOSE(gen_choice,'Generation Calculations'!$O70,'Generation Calculations'!$P70)</f>
        <v>3.9570126873594132E-2</v>
      </c>
      <c r="BV68" s="391">
        <f t="shared" si="32"/>
        <v>0.01</v>
      </c>
      <c r="BW68" s="392">
        <f>BY68-SUM(BU68:BV68,BX68)</f>
        <v>1.0880096727323985E-2</v>
      </c>
      <c r="BX68" s="392">
        <f>CC68/$D68*-1</f>
        <v>9.8612482447558189E-4</v>
      </c>
      <c r="BY68" s="211">
        <f>CD68/$D68</f>
        <v>6.1436348425393701E-2</v>
      </c>
      <c r="BZ68" s="201">
        <f>$D68*BW68</f>
        <v>323448.33539273759</v>
      </c>
      <c r="CA68" s="201">
        <f>$AI68</f>
        <v>1176358.2612644113</v>
      </c>
      <c r="CB68" s="201">
        <f t="shared" si="26"/>
        <v>297284.43</v>
      </c>
      <c r="CC68" s="201">
        <f>$AK68</f>
        <v>-29315.955635307335</v>
      </c>
      <c r="CD68" s="201">
        <f>$Z68*'Inputs and Assumptions'!$C$15</f>
        <v>1826406.9822924561</v>
      </c>
    </row>
    <row r="69" spans="1:82">
      <c r="A69" s="89"/>
      <c r="B69" s="77" t="s">
        <v>28</v>
      </c>
      <c r="C69" s="77">
        <v>1</v>
      </c>
      <c r="D69" s="179">
        <f>'Test Year 2001 Sales and Revs.'!J71</f>
        <v>7352085</v>
      </c>
      <c r="E69" s="202">
        <f>surcharge_1*D69</f>
        <v>281355.64664379606</v>
      </c>
      <c r="F69" s="200"/>
      <c r="G69" s="243">
        <f>G67</f>
        <v>3.7139999999999999E-2</v>
      </c>
      <c r="H69" s="225">
        <f t="shared" si="1"/>
        <v>273056.43689999997</v>
      </c>
      <c r="I69" s="198">
        <f>H69/$H$127</f>
        <v>8.6864662204551828E-5</v>
      </c>
      <c r="J69" s="202">
        <f>I69*$E$129</f>
        <v>213663.53980191253</v>
      </c>
      <c r="K69" s="200"/>
      <c r="L69" s="382">
        <v>458549.54145000002</v>
      </c>
      <c r="M69" s="198">
        <f>L69/$L$127</f>
        <v>6.5677385960985341E-5</v>
      </c>
      <c r="N69" s="202">
        <f>M69*$E$129</f>
        <v>161548.57928665521</v>
      </c>
      <c r="O69" s="200"/>
      <c r="P69" s="223">
        <f>S_Equal</f>
        <v>3.8569434685105937E-2</v>
      </c>
      <c r="Q69" s="224">
        <f t="shared" si="2"/>
        <v>283565.76220684708</v>
      </c>
      <c r="R69" s="200"/>
      <c r="S69" s="334"/>
      <c r="T69" s="383"/>
      <c r="U69" s="384">
        <v>46322.594442017595</v>
      </c>
      <c r="V69" s="198">
        <f>U69/$U$127</f>
        <v>2.8684278303492659E-5</v>
      </c>
      <c r="W69" s="383"/>
      <c r="X69" s="384">
        <v>48147.942059287998</v>
      </c>
      <c r="Y69" s="198">
        <f>X69/$X$127</f>
        <v>3.1763191475807493E-5</v>
      </c>
      <c r="Z69" s="198">
        <f>AVERAGE(V69,Y69)</f>
        <v>3.0223734889650075E-5</v>
      </c>
      <c r="AA69" s="245">
        <f>$Z69*'Inputs and Assumptions'!$C$6</f>
        <v>74342.201059279643</v>
      </c>
      <c r="AB69" s="253"/>
      <c r="AC69" s="393">
        <f>CHOOSE(gen_choice,'Generation Calculations'!$O71,'Generation Calculations'!$P71)</f>
        <v>2.8184645604551681E-2</v>
      </c>
      <c r="AD69" s="394">
        <f t="shared" si="28"/>
        <v>0.01</v>
      </c>
      <c r="AE69" s="395">
        <f>AG69-SUM(AC69:AD69,AF69)</f>
        <v>6.7560023697365634E-2</v>
      </c>
      <c r="AF69" s="395">
        <f>AK69/$D69*-1</f>
        <v>6.3861517997286738E-4</v>
      </c>
      <c r="AG69" s="214">
        <f>AL69/$D69</f>
        <v>0.10638328448189019</v>
      </c>
      <c r="AH69" s="202">
        <f>$D69*AE69</f>
        <v>496707.03682504641</v>
      </c>
      <c r="AI69" s="408">
        <f>CHOOSE(gen_choice,'Generation Calculations'!$M71,'Generation Calculations'!$N71)</f>
        <v>207215.91017954034</v>
      </c>
      <c r="AJ69" s="202">
        <f t="shared" si="16"/>
        <v>73520.850000000006</v>
      </c>
      <c r="AK69" s="284">
        <f>CHOOSE(gen_choice,'Generation Calculations'!K71,'Generation Calculations'!L71)</f>
        <v>-4695.1530854508183</v>
      </c>
      <c r="AL69" s="202">
        <f>$D69*gen_equal</f>
        <v>782138.95009003766</v>
      </c>
      <c r="AM69" s="200"/>
      <c r="AN69" s="393">
        <f>CHOOSE(gen_choice,'Generation Calculations'!$O71,'Generation Calculations'!$P71)</f>
        <v>2.8184645604551681E-2</v>
      </c>
      <c r="AO69" s="394">
        <f t="shared" si="29"/>
        <v>0.01</v>
      </c>
      <c r="AP69" s="395">
        <f>AR69-SUM(AN69:AO69,AQ69)</f>
        <v>5.4581970170306589E-2</v>
      </c>
      <c r="AQ69" s="395">
        <f>AV69/$D69*-1</f>
        <v>6.3861517997286738E-4</v>
      </c>
      <c r="AR69" s="214">
        <f>AW69/$D69</f>
        <v>9.3405230954831137E-2</v>
      </c>
      <c r="AS69" s="202">
        <f>$D69*AP69</f>
        <v>401291.28415955853</v>
      </c>
      <c r="AT69" s="202">
        <f>$AI69</f>
        <v>207215.91017954034</v>
      </c>
      <c r="AU69" s="202">
        <f t="shared" si="18"/>
        <v>73520.850000000006</v>
      </c>
      <c r="AV69" s="201">
        <f>$AK69</f>
        <v>-4695.1530854508183</v>
      </c>
      <c r="AW69" s="202">
        <f>$I69*'Inputs and Assumptions'!$C$15</f>
        <v>686723.19742454973</v>
      </c>
      <c r="AX69" s="200"/>
      <c r="AY69" s="393">
        <f>CHOOSE(gen_choice,'Generation Calculations'!$O71,'Generation Calculations'!$P71)</f>
        <v>2.8184645604551681E-2</v>
      </c>
      <c r="AZ69" s="394">
        <f t="shared" si="30"/>
        <v>0.01</v>
      </c>
      <c r="BA69" s="395">
        <f>BC69-SUM(AY69:AZ69,BB69)</f>
        <v>3.1799375031976197E-2</v>
      </c>
      <c r="BB69" s="395">
        <f>BG69/$D69*-1</f>
        <v>6.3861517997286738E-4</v>
      </c>
      <c r="BC69" s="214">
        <f>BH69/$D69</f>
        <v>7.0622635816500745E-2</v>
      </c>
      <c r="BD69" s="202">
        <f>$D69*BA69</f>
        <v>233791.70818196671</v>
      </c>
      <c r="BE69" s="201">
        <f>$AI69</f>
        <v>207215.91017954034</v>
      </c>
      <c r="BF69" s="202">
        <f t="shared" si="20"/>
        <v>73520.850000000006</v>
      </c>
      <c r="BG69" s="201">
        <f>$AK69</f>
        <v>-4695.1530854508183</v>
      </c>
      <c r="BH69" s="202">
        <f>$M69*'Inputs and Assumptions'!$C$15</f>
        <v>519223.62144695787</v>
      </c>
      <c r="BI69" s="200"/>
      <c r="BJ69" s="393">
        <f>CHOOSE(gen_choice,'Generation Calculations'!$O71,'Generation Calculations'!$P71)</f>
        <v>2.8184645604551681E-2</v>
      </c>
      <c r="BK69" s="394">
        <f t="shared" si="31"/>
        <v>0.01</v>
      </c>
      <c r="BL69" s="395">
        <f>BN69-SUM(BJ69:BK69,BM69)</f>
        <v>6.0832700661075566E-2</v>
      </c>
      <c r="BM69" s="395">
        <f>BR69/$D69*-1</f>
        <v>6.3861517997286738E-4</v>
      </c>
      <c r="BN69" s="214">
        <f>BS69/$D69</f>
        <v>9.9655961445600114E-2</v>
      </c>
      <c r="BO69" s="202">
        <f>$D69*BL69</f>
        <v>447247.18603978376</v>
      </c>
      <c r="BP69" s="201">
        <f>$AI69</f>
        <v>207215.91017954034</v>
      </c>
      <c r="BQ69" s="202">
        <f t="shared" si="23"/>
        <v>73520.850000000006</v>
      </c>
      <c r="BR69" s="201">
        <f>$AK69</f>
        <v>-4695.1530854508183</v>
      </c>
      <c r="BS69" s="202">
        <f>D69*s_equal_gen</f>
        <v>732679.09930477489</v>
      </c>
      <c r="BT69" s="200"/>
      <c r="BU69" s="393">
        <f>CHOOSE(gen_choice,'Generation Calculations'!$O71,'Generation Calculations'!$P71)</f>
        <v>2.8184645604551681E-2</v>
      </c>
      <c r="BV69" s="394">
        <f t="shared" si="32"/>
        <v>0.01</v>
      </c>
      <c r="BW69" s="395">
        <f>BY69-SUM(BU69:BV69,BX69)</f>
        <v>-6.3237970666144006E-3</v>
      </c>
      <c r="BX69" s="395">
        <f>CC69/$D69*-1</f>
        <v>6.3861517997286738E-4</v>
      </c>
      <c r="BY69" s="214">
        <f>CD69/$D69</f>
        <v>3.2499463717910147E-2</v>
      </c>
      <c r="BZ69" s="202">
        <f>$D69*BW69</f>
        <v>-46493.093556499734</v>
      </c>
      <c r="CA69" s="201">
        <f>$AI69</f>
        <v>207215.91017954034</v>
      </c>
      <c r="CB69" s="202">
        <f t="shared" si="26"/>
        <v>73520.850000000006</v>
      </c>
      <c r="CC69" s="201">
        <f>$AK69</f>
        <v>-4695.1530854508183</v>
      </c>
      <c r="CD69" s="202">
        <f>$Z69*'Inputs and Assumptions'!$C$15</f>
        <v>238938.81970849144</v>
      </c>
    </row>
    <row r="70" spans="1:82">
      <c r="A70" s="188" t="s">
        <v>57</v>
      </c>
      <c r="B70" s="189"/>
      <c r="C70" s="189"/>
      <c r="D70" s="176">
        <f>SUM(D67:D69)</f>
        <v>166366540</v>
      </c>
      <c r="E70" s="201">
        <f>SUM(E67:E69)</f>
        <v>6366651.8329958059</v>
      </c>
      <c r="F70" s="199"/>
      <c r="G70" s="238"/>
      <c r="H70" s="224">
        <f>SUM(H67:H69)</f>
        <v>6178853.2955999998</v>
      </c>
      <c r="I70" s="154">
        <f>SUM(I67:I69)</f>
        <v>1.9656156449823501E-3</v>
      </c>
      <c r="J70" s="201">
        <f>SUM(J67:J69)</f>
        <v>4834882.0560421254</v>
      </c>
      <c r="K70" s="199"/>
      <c r="L70" s="157">
        <f>SUM(L67:L69)</f>
        <v>10376281.0998</v>
      </c>
      <c r="M70" s="154">
        <f>SUM(M67:M69)</f>
        <v>1.4861796971299577E-3</v>
      </c>
      <c r="N70" s="201">
        <f>SUM(N67:N69)</f>
        <v>3655599.4901904012</v>
      </c>
      <c r="O70" s="199"/>
      <c r="P70" s="223"/>
      <c r="Q70" s="224">
        <f>SUM(Q67:Q69)</f>
        <v>6091514.1110138129</v>
      </c>
      <c r="R70" s="199"/>
      <c r="T70" s="383"/>
      <c r="U70" s="340">
        <f>SUM(U67:U69)</f>
        <v>1578057.5808090505</v>
      </c>
      <c r="V70" s="154">
        <f>SUM(V67:V69)</f>
        <v>9.7717848864277944E-4</v>
      </c>
      <c r="W70" s="383"/>
      <c r="X70" s="340">
        <f>SUM(X67:X69)</f>
        <v>932291.22080878564</v>
      </c>
      <c r="Y70" s="154">
        <f>SUM(Y67:Y69)</f>
        <v>6.1503240411188789E-4</v>
      </c>
      <c r="Z70" s="154">
        <f>AVERAGE(V70,Y70)</f>
        <v>7.9610544637733361E-4</v>
      </c>
      <c r="AA70" s="157">
        <f>SUM(AA67:AA69)</f>
        <v>1958203.7552625095</v>
      </c>
      <c r="AB70" s="252"/>
      <c r="AC70" s="208">
        <f>CHOOSE(gen_choice,'Generation Calculations'!$O73,'Generation Calculations'!$P73)</f>
        <v>2.769526610881393E-2</v>
      </c>
      <c r="AD70" s="291">
        <f t="shared" si="28"/>
        <v>0.01</v>
      </c>
      <c r="AE70" s="211">
        <f>AH70/$D70</f>
        <v>6.3274626549447335E-2</v>
      </c>
      <c r="AF70" s="211">
        <f>AK70/$D70*-1</f>
        <v>5.413391823628916E-3</v>
      </c>
      <c r="AG70" s="211">
        <f>AL70/$D70</f>
        <v>0.10638328448189018</v>
      </c>
      <c r="AH70" s="201">
        <f>AL70+AK70-SUM(AI70:AJ70)</f>
        <v>10526780.688823693</v>
      </c>
      <c r="AI70" s="201">
        <f>SUM(AI67:AI69)</f>
        <v>4607565.5969026368</v>
      </c>
      <c r="AJ70" s="201">
        <f>SUM(AJ67:AJ69)</f>
        <v>1663665.4000000001</v>
      </c>
      <c r="AK70" s="201">
        <f>SUM(AK67:AK69)</f>
        <v>-900607.26736143301</v>
      </c>
      <c r="AL70" s="201">
        <f>SUM(AL67:AL69)</f>
        <v>17698618.953087762</v>
      </c>
      <c r="AM70" s="199"/>
      <c r="AN70" s="208">
        <f>CHOOSE(gen_choice,'Generation Calculations'!$O73,'Generation Calculations'!$P73)</f>
        <v>2.769526610881393E-2</v>
      </c>
      <c r="AO70" s="291">
        <f t="shared" si="29"/>
        <v>0.01</v>
      </c>
      <c r="AP70" s="211">
        <f>AS70/$D70</f>
        <v>5.029657302238829E-2</v>
      </c>
      <c r="AQ70" s="211">
        <f>AV70/$D70*-1</f>
        <v>5.413391823628916E-3</v>
      </c>
      <c r="AR70" s="211">
        <f>AW70/$D70</f>
        <v>9.3405230954831137E-2</v>
      </c>
      <c r="AS70" s="201">
        <f>SUM(AS67:AS69)</f>
        <v>8367666.8275920823</v>
      </c>
      <c r="AT70" s="201">
        <f>SUM(AT67:AT69)</f>
        <v>4607565.5969026368</v>
      </c>
      <c r="AU70" s="201">
        <f>SUM(AU67:AU69)</f>
        <v>1663665.4000000001</v>
      </c>
      <c r="AV70" s="201">
        <f>SUM(AV67:AV69)</f>
        <v>-900607.26736143301</v>
      </c>
      <c r="AW70" s="201">
        <f>SUM(AW67:AW69)</f>
        <v>15539505.091856152</v>
      </c>
      <c r="AX70" s="199"/>
      <c r="AY70" s="208">
        <f>CHOOSE(gen_choice,'Generation Calculations'!$O73,'Generation Calculations'!$P73)</f>
        <v>2.769526610881393E-2</v>
      </c>
      <c r="AZ70" s="291">
        <f t="shared" si="30"/>
        <v>0.01</v>
      </c>
      <c r="BA70" s="211">
        <f>BD70/$D70</f>
        <v>2.7513977884057902E-2</v>
      </c>
      <c r="BB70" s="211">
        <f>BG70/$D70*-1</f>
        <v>5.413391823628916E-3</v>
      </c>
      <c r="BC70" s="211">
        <f>BH70/$D70</f>
        <v>7.0622635816500745E-2</v>
      </c>
      <c r="BD70" s="201">
        <f>SUM(BD67:BD69)</f>
        <v>4577405.3022072343</v>
      </c>
      <c r="BE70" s="201">
        <f>SUM(BE67:BE69)</f>
        <v>4607565.5969026368</v>
      </c>
      <c r="BF70" s="201">
        <f>SUM(BF67:BF69)</f>
        <v>1663665.4000000001</v>
      </c>
      <c r="BG70" s="201">
        <f>SUM(BG67:BG69)</f>
        <v>-900607.26736143301</v>
      </c>
      <c r="BH70" s="201">
        <f>SUM(BH67:BH69)</f>
        <v>11749243.566471303</v>
      </c>
      <c r="BI70" s="199"/>
      <c r="BJ70" s="208">
        <f>CHOOSE(gen_choice,'Generation Calculations'!$O73,'Generation Calculations'!$P73)</f>
        <v>2.769526610881393E-2</v>
      </c>
      <c r="BK70" s="291">
        <f t="shared" si="31"/>
        <v>0.01</v>
      </c>
      <c r="BL70" s="211">
        <f>BO70/$D70</f>
        <v>5.1497472654325596E-2</v>
      </c>
      <c r="BM70" s="211">
        <f>BR70/$D70*-1</f>
        <v>5.413391823628916E-3</v>
      </c>
      <c r="BN70" s="211">
        <f>BS70/$D70</f>
        <v>9.460613058676845E-2</v>
      </c>
      <c r="BO70" s="201">
        <f>SUM(BO67:BO69)</f>
        <v>8567456.3442447651</v>
      </c>
      <c r="BP70" s="201">
        <f>SUM(BP67:BP69)</f>
        <v>4607565.5969026368</v>
      </c>
      <c r="BQ70" s="201">
        <f>SUM(BQ67:BQ69)</f>
        <v>1663665.4000000001</v>
      </c>
      <c r="BR70" s="201">
        <f>SUM(BR67:BR69)</f>
        <v>-900607.26736143301</v>
      </c>
      <c r="BS70" s="201">
        <f>SUM(BS67:BS69)</f>
        <v>15739294.608508836</v>
      </c>
      <c r="BT70" s="199"/>
      <c r="BU70" s="208">
        <f>CHOOSE(gen_choice,'Generation Calculations'!$O73,'Generation Calculations'!$P73)</f>
        <v>2.769526610881393E-2</v>
      </c>
      <c r="BV70" s="291">
        <f t="shared" si="32"/>
        <v>0.01</v>
      </c>
      <c r="BW70" s="211">
        <f>BZ70/$D70</f>
        <v>-5.2780610540070789E-3</v>
      </c>
      <c r="BX70" s="211">
        <f>CC70/$D70*-1</f>
        <v>5.413391823628916E-3</v>
      </c>
      <c r="BY70" s="211">
        <f>CD70/$D70</f>
        <v>3.783059687843577E-2</v>
      </c>
      <c r="BZ70" s="201">
        <f>SUM(BZ67:BZ69)</f>
        <v>-878092.75546391087</v>
      </c>
      <c r="CA70" s="201">
        <f>SUM(CA67:CA69)</f>
        <v>4607565.5969026368</v>
      </c>
      <c r="CB70" s="201">
        <f>SUM(CB67:CB69)</f>
        <v>1663665.4000000001</v>
      </c>
      <c r="CC70" s="201">
        <f>SUM(CC67:CC69)</f>
        <v>-900607.26736143301</v>
      </c>
      <c r="CD70" s="201">
        <f>SUM(CD67:CD69)</f>
        <v>6293745.5088001592</v>
      </c>
    </row>
    <row r="71" spans="1:82">
      <c r="A71" s="81"/>
      <c r="B71" s="77"/>
      <c r="C71" s="77"/>
      <c r="D71" s="176"/>
      <c r="E71" s="201"/>
      <c r="F71" s="199"/>
      <c r="G71" s="238"/>
      <c r="H71" s="224"/>
      <c r="I71" s="154"/>
      <c r="J71" s="201"/>
      <c r="K71" s="199"/>
      <c r="L71" s="157"/>
      <c r="M71" s="154"/>
      <c r="N71" s="201"/>
      <c r="O71" s="199"/>
      <c r="P71" s="223"/>
      <c r="Q71" s="224"/>
      <c r="R71" s="199"/>
      <c r="T71" s="383"/>
      <c r="V71" s="154"/>
      <c r="W71" s="383"/>
      <c r="X71" s="340"/>
      <c r="Y71" s="154"/>
      <c r="Z71" s="154"/>
      <c r="AA71" s="157"/>
      <c r="AB71" s="252"/>
      <c r="AC71" s="207"/>
      <c r="AD71" s="208"/>
      <c r="AH71" s="201"/>
      <c r="AJ71" s="201"/>
      <c r="AK71" s="201"/>
      <c r="AL71" s="201">
        <f>AL70-SUM(AH70:AJ70)+AK70</f>
        <v>0</v>
      </c>
      <c r="AM71" s="199"/>
      <c r="AN71" s="207"/>
      <c r="AO71" s="208"/>
      <c r="AP71"/>
      <c r="AQ71"/>
      <c r="AR71"/>
      <c r="AS71" s="201"/>
      <c r="AT71" s="201"/>
      <c r="AU71" s="201"/>
      <c r="AV71" s="201"/>
      <c r="AW71" s="201"/>
      <c r="AX71" s="199"/>
      <c r="AY71" s="207"/>
      <c r="AZ71" s="208"/>
      <c r="BA71"/>
      <c r="BB71"/>
      <c r="BC71"/>
      <c r="BD71" s="201"/>
      <c r="BE71" s="201"/>
      <c r="BF71" s="201"/>
      <c r="BG71" s="201"/>
      <c r="BH71" s="201"/>
      <c r="BI71" s="199"/>
      <c r="BJ71" s="207"/>
      <c r="BK71" s="208"/>
      <c r="BL71"/>
      <c r="BM71"/>
      <c r="BN71"/>
      <c r="BO71" s="201"/>
      <c r="BP71" s="201"/>
      <c r="BQ71" s="201"/>
      <c r="BR71" s="201"/>
      <c r="BS71" s="201"/>
      <c r="BT71" s="199"/>
      <c r="BU71" s="207"/>
      <c r="BV71" s="208"/>
      <c r="BW71"/>
      <c r="BX71"/>
      <c r="BY71"/>
      <c r="BZ71" s="201"/>
      <c r="CA71" s="201"/>
      <c r="CB71" s="201"/>
      <c r="CC71" s="201"/>
      <c r="CD71" s="201"/>
    </row>
    <row r="72" spans="1:82">
      <c r="A72" s="89" t="s">
        <v>100</v>
      </c>
      <c r="B72" s="73" t="s">
        <v>28</v>
      </c>
      <c r="C72" s="73">
        <v>1</v>
      </c>
      <c r="D72" s="177">
        <f>'Test Year 2001 Sales and Revs.'!J75</f>
        <v>179726421.125</v>
      </c>
      <c r="E72" s="201">
        <f t="shared" ref="E72:E88" si="33">surcharge_1*D72</f>
        <v>6877918.7719673514</v>
      </c>
      <c r="F72" s="199"/>
      <c r="G72" s="238">
        <v>3.8280000000000002E-2</v>
      </c>
      <c r="H72" s="224">
        <f t="shared" si="1"/>
        <v>6879927.4006650001</v>
      </c>
      <c r="I72" s="154">
        <f t="shared" ref="I72:I91" si="34">H72/$H$127</f>
        <v>2.188641207053726E-3</v>
      </c>
      <c r="J72" s="201">
        <f t="shared" ref="J72:J88" si="35">I72*$E$129</f>
        <v>5383464.5273152869</v>
      </c>
      <c r="K72" s="199"/>
      <c r="L72" s="381">
        <v>19157039.227713753</v>
      </c>
      <c r="M72" s="154">
        <f t="shared" ref="M72:M91" si="36">L72/$L$127</f>
        <v>2.7438349523799151E-3</v>
      </c>
      <c r="N72" s="201">
        <f t="shared" ref="N72:N88" si="37">M72*$E$129</f>
        <v>6749090.7542720409</v>
      </c>
      <c r="O72" s="199"/>
      <c r="P72" s="223">
        <f t="shared" ref="P72:P80" si="38">S_Equal</f>
        <v>3.8569434685105937E-2</v>
      </c>
      <c r="Q72" s="224">
        <f t="shared" si="2"/>
        <v>6931946.4607685311</v>
      </c>
      <c r="R72" s="199"/>
      <c r="S72" s="331">
        <f t="shared" ref="S72:S77" si="39">$S$11</f>
        <v>1</v>
      </c>
      <c r="T72" s="383">
        <v>4847399.4985418078</v>
      </c>
      <c r="U72" s="340">
        <f t="shared" ref="U72:U81" si="40">$S72*T72</f>
        <v>4847399.4985418078</v>
      </c>
      <c r="V72" s="154">
        <f t="shared" ref="V72:V91" si="41">U72/$U$127</f>
        <v>3.0016487189297395E-3</v>
      </c>
      <c r="W72" s="383">
        <v>4026831.3829169422</v>
      </c>
      <c r="X72" s="340">
        <f t="shared" ref="X72:X81" si="42">$S72*W72</f>
        <v>4026831.3829169422</v>
      </c>
      <c r="Y72" s="154">
        <f t="shared" ref="Y72:Y91" si="43">X72/$X$127</f>
        <v>2.6565001698075266E-3</v>
      </c>
      <c r="Z72" s="154">
        <f t="shared" ref="Z72:Z81" si="44">AVERAGE(V72,Y72)</f>
        <v>2.829074444368633E-3</v>
      </c>
      <c r="AA72" s="157">
        <f>$Z72*'Inputs and Assumptions'!$C$6</f>
        <v>6958756.8155564182</v>
      </c>
      <c r="AB72" s="252"/>
      <c r="AC72" s="208">
        <f>CHOOSE(gen_choice,'Generation Calculations'!$O75,'Generation Calculations'!$P75)</f>
        <v>8.8322007590489957E-2</v>
      </c>
      <c r="AD72" s="291">
        <f t="shared" si="28"/>
        <v>0.01</v>
      </c>
      <c r="AE72" s="211">
        <f t="shared" ref="AE72:AE81" si="45">AG72-SUM(AC72:AD72,AF72)</f>
        <v>8.0612768914002236E-3</v>
      </c>
      <c r="AF72" s="211">
        <f t="shared" ref="AF72:AF88" si="46">AK72/$D72*-1</f>
        <v>0</v>
      </c>
      <c r="AG72" s="211">
        <f t="shared" ref="AG72:AG81" si="47">AL72/$D72</f>
        <v>0.10638328448189018</v>
      </c>
      <c r="AH72" s="201">
        <f t="shared" ref="AH72:AH81" si="48">$D72*AE72</f>
        <v>1448824.4453890275</v>
      </c>
      <c r="AI72" s="407">
        <f>CHOOSE(gen_choice,'Generation Calculations'!$M75,'Generation Calculations'!$N75)</f>
        <v>15873798.330813844</v>
      </c>
      <c r="AJ72" s="201">
        <f t="shared" ref="AJ72:AJ81" si="49">$D72*AD72</f>
        <v>1797264.2112499999</v>
      </c>
      <c r="AK72" s="217">
        <f>CHOOSE(gen_choice,'Generation Calculations'!K75,'Generation Calculations'!L75)</f>
        <v>0</v>
      </c>
      <c r="AL72" s="201">
        <f t="shared" ref="AL72:AL88" si="50">$D72*gen_equal</f>
        <v>19119886.987452872</v>
      </c>
      <c r="AM72" s="199"/>
      <c r="AN72" s="208">
        <f>CHOOSE(gen_choice,'Generation Calculations'!$O75,'Generation Calculations'!$P75)</f>
        <v>8.8322007590489957E-2</v>
      </c>
      <c r="AO72" s="291">
        <f t="shared" si="29"/>
        <v>0.01</v>
      </c>
      <c r="AP72" s="211">
        <f t="shared" ref="AP72:AP81" si="51">AR72-SUM(AN72:AO72,AQ72)</f>
        <v>-2.0497340053812624E-3</v>
      </c>
      <c r="AQ72" s="211">
        <f t="shared" ref="AQ72:AQ81" si="52">AV72/$D72*-1</f>
        <v>0</v>
      </c>
      <c r="AR72" s="211">
        <f t="shared" ref="AR72:AR81" si="53">AW72/$D72</f>
        <v>9.6272273585108689E-2</v>
      </c>
      <c r="AS72" s="201">
        <f t="shared" ref="AS72:AS81" si="54">$D72*AP72</f>
        <v>-368391.35704538575</v>
      </c>
      <c r="AT72" s="201">
        <f t="shared" ref="AT72:AT80" si="55">$AI72</f>
        <v>15873798.330813844</v>
      </c>
      <c r="AU72" s="201">
        <f t="shared" ref="AU72:AU81" si="56">$D72*AO72</f>
        <v>1797264.2112499999</v>
      </c>
      <c r="AV72" s="201">
        <f t="shared" ref="AV72:AV86" si="57">$AK72</f>
        <v>0</v>
      </c>
      <c r="AW72" s="201">
        <f>$I72*'Inputs and Assumptions'!$C$15</f>
        <v>17302671.185018457</v>
      </c>
      <c r="AX72" s="199"/>
      <c r="AY72" s="208">
        <f>CHOOSE(gen_choice,'Generation Calculations'!$O75,'Generation Calculations'!$P75)</f>
        <v>8.8322007590489957E-2</v>
      </c>
      <c r="AZ72" s="291">
        <f t="shared" si="30"/>
        <v>0.01</v>
      </c>
      <c r="BA72" s="211">
        <f t="shared" ref="BA72:BA81" si="58">BC72-SUM(AY72:AZ72,BB72)</f>
        <v>2.2371703355170067E-2</v>
      </c>
      <c r="BB72" s="211">
        <f t="shared" ref="BB72:BB81" si="59">BG72/$D72*-1</f>
        <v>0</v>
      </c>
      <c r="BC72" s="211">
        <f t="shared" ref="BC72:BC81" si="60">BH72/$D72</f>
        <v>0.12069371094566002</v>
      </c>
      <c r="BD72" s="201">
        <f t="shared" ref="BD72:BD81" si="61">$D72*BA72</f>
        <v>4020786.1784948707</v>
      </c>
      <c r="BE72" s="201">
        <f t="shared" ref="BE72:BE81" si="62">$AI72</f>
        <v>15873798.330813844</v>
      </c>
      <c r="BF72" s="201">
        <f t="shared" ref="BF72:BF81" si="63">$D72*AZ72</f>
        <v>1797264.2112499999</v>
      </c>
      <c r="BG72" s="201">
        <f t="shared" ref="BG72:BG86" si="64">$AK72</f>
        <v>0</v>
      </c>
      <c r="BH72" s="201">
        <f>$M72*'Inputs and Assumptions'!$C$15</f>
        <v>21691848.720558714</v>
      </c>
      <c r="BI72" s="199"/>
      <c r="BJ72" s="208">
        <f>CHOOSE(gen_choice,'Generation Calculations'!$O75,'Generation Calculations'!$P75)</f>
        <v>8.8322007590489957E-2</v>
      </c>
      <c r="BK72" s="291">
        <f t="shared" si="31"/>
        <v>0.01</v>
      </c>
      <c r="BL72" s="211">
        <f t="shared" ref="BL72:BL81" si="65">BN72-SUM(BJ72:BK72,BM72)</f>
        <v>1.3339538551101621E-3</v>
      </c>
      <c r="BM72" s="211">
        <f t="shared" ref="BM72:BM81" si="66">BR72/$D72*-1</f>
        <v>0</v>
      </c>
      <c r="BN72" s="211">
        <f t="shared" ref="BN72:BN81" si="67">BS72/$D72</f>
        <v>9.9655961445600114E-2</v>
      </c>
      <c r="BO72" s="201">
        <f t="shared" ref="BO72:BO81" si="68">$D72*BL72</f>
        <v>239746.75232484622</v>
      </c>
      <c r="BP72" s="201">
        <f t="shared" ref="BP72:BP88" si="69">$AI72</f>
        <v>15873798.330813844</v>
      </c>
      <c r="BQ72" s="201">
        <f t="shared" ref="BQ72:BQ81" si="70">$D72*BK72</f>
        <v>1797264.2112499999</v>
      </c>
      <c r="BR72" s="201">
        <f t="shared" ref="BR72:BR86" si="71">$AK72</f>
        <v>0</v>
      </c>
      <c r="BS72" s="201">
        <f t="shared" ref="BS72:BS80" si="72">D72*s_equal_gen</f>
        <v>17910809.294388689</v>
      </c>
      <c r="BT72" s="199"/>
      <c r="BU72" s="208">
        <f>CHOOSE(gen_choice,'Generation Calculations'!$O75,'Generation Calculations'!$P75)</f>
        <v>8.8322007590489957E-2</v>
      </c>
      <c r="BV72" s="291">
        <f t="shared" si="32"/>
        <v>0.01</v>
      </c>
      <c r="BW72" s="211">
        <f t="shared" ref="BW72:BW81" si="73">BY72-SUM(BU72:BV72,BX72)</f>
        <v>2.6121152861350402E-2</v>
      </c>
      <c r="BX72" s="211">
        <f t="shared" ref="BX72:BX81" si="74">CC72/$D72*-1</f>
        <v>0</v>
      </c>
      <c r="BY72" s="211">
        <f t="shared" ref="BY72:BY81" si="75">CD72/$D72</f>
        <v>0.12444316045184035</v>
      </c>
      <c r="BZ72" s="201">
        <f t="shared" ref="BZ72:BZ81" si="76">$D72*BW72</f>
        <v>4694661.3194295615</v>
      </c>
      <c r="CA72" s="201">
        <f t="shared" ref="CA72:CA88" si="77">$AI72</f>
        <v>15873798.330813844</v>
      </c>
      <c r="CB72" s="201">
        <f t="shared" ref="CB72:CB81" si="78">$D72*BV72</f>
        <v>1797264.2112499999</v>
      </c>
      <c r="CC72" s="201">
        <f t="shared" ref="CC72:CC86" si="79">$AK72</f>
        <v>0</v>
      </c>
      <c r="CD72" s="201">
        <f>$Z72*'Inputs and Assumptions'!$C$15</f>
        <v>22365723.861493405</v>
      </c>
    </row>
    <row r="73" spans="1:82">
      <c r="A73" s="89" t="s">
        <v>59</v>
      </c>
      <c r="B73" s="73" t="s">
        <v>28</v>
      </c>
      <c r="C73" s="73">
        <v>1</v>
      </c>
      <c r="D73" s="177">
        <f>'Test Year 2001 Sales and Revs.'!J76</f>
        <v>28756666</v>
      </c>
      <c r="E73" s="201">
        <f t="shared" si="33"/>
        <v>1100483.7889863441</v>
      </c>
      <c r="F73" s="199"/>
      <c r="G73" s="238">
        <v>3.551E-2</v>
      </c>
      <c r="H73" s="224">
        <f t="shared" si="1"/>
        <v>1021149.2096600001</v>
      </c>
      <c r="I73" s="154">
        <f t="shared" si="34"/>
        <v>3.2484779397471504E-4</v>
      </c>
      <c r="J73" s="201">
        <f t="shared" si="35"/>
        <v>799037.58094442834</v>
      </c>
      <c r="K73" s="199"/>
      <c r="L73" s="381">
        <v>3170997.5598200001</v>
      </c>
      <c r="M73" s="154">
        <f t="shared" si="36"/>
        <v>4.5417738279507076E-4</v>
      </c>
      <c r="N73" s="201">
        <f t="shared" si="37"/>
        <v>1117153.3376535478</v>
      </c>
      <c r="O73" s="199"/>
      <c r="P73" s="223">
        <f t="shared" si="38"/>
        <v>3.8569434685105937E-2</v>
      </c>
      <c r="Q73" s="224">
        <f t="shared" si="2"/>
        <v>1109128.3510484067</v>
      </c>
      <c r="R73" s="199"/>
      <c r="S73" s="331">
        <f t="shared" si="39"/>
        <v>1</v>
      </c>
      <c r="T73" s="383">
        <v>603048.86620603339</v>
      </c>
      <c r="U73" s="340">
        <f t="shared" si="40"/>
        <v>603048.86620603339</v>
      </c>
      <c r="V73" s="154">
        <f t="shared" si="41"/>
        <v>3.7342514419203487E-4</v>
      </c>
      <c r="W73" s="383">
        <v>510747.33966559736</v>
      </c>
      <c r="X73" s="340">
        <f t="shared" si="42"/>
        <v>510747.33966559736</v>
      </c>
      <c r="Y73" s="154">
        <f t="shared" si="43"/>
        <v>3.3693995738345704E-4</v>
      </c>
      <c r="Z73" s="154">
        <f t="shared" si="44"/>
        <v>3.5518255078774593E-4</v>
      </c>
      <c r="AA73" s="157">
        <f>$Z73*'Inputs and Assumptions'!$C$6</f>
        <v>873652.86586247326</v>
      </c>
      <c r="AB73" s="252"/>
      <c r="AC73" s="208">
        <f>CHOOSE(gen_choice,'Generation Calculations'!$O76,'Generation Calculations'!$P76)</f>
        <v>6.569283783516372E-2</v>
      </c>
      <c r="AD73" s="291">
        <f t="shared" si="28"/>
        <v>0.01</v>
      </c>
      <c r="AE73" s="211">
        <f t="shared" si="45"/>
        <v>3.0690446646726474E-2</v>
      </c>
      <c r="AF73" s="211">
        <f t="shared" si="46"/>
        <v>0</v>
      </c>
      <c r="AG73" s="211">
        <f t="shared" si="47"/>
        <v>0.10638328448189019</v>
      </c>
      <c r="AH73" s="201">
        <f t="shared" si="48"/>
        <v>882554.92361073324</v>
      </c>
      <c r="AI73" s="407">
        <f>CHOOSE(gen_choice,'Generation Calculations'!$M76,'Generation Calculations'!$N76)</f>
        <v>1889106.9962179661</v>
      </c>
      <c r="AJ73" s="201">
        <f t="shared" si="49"/>
        <v>287566.66000000003</v>
      </c>
      <c r="AK73" s="217">
        <f>CHOOSE(gen_choice,'Generation Calculations'!K76,'Generation Calculations'!L76)</f>
        <v>0</v>
      </c>
      <c r="AL73" s="201">
        <f t="shared" si="50"/>
        <v>3059228.5798286991</v>
      </c>
      <c r="AM73" s="199"/>
      <c r="AN73" s="208">
        <f>CHOOSE(gen_choice,'Generation Calculations'!$O76,'Generation Calculations'!$P76)</f>
        <v>6.569283783516372E-2</v>
      </c>
      <c r="AO73" s="291">
        <f t="shared" si="29"/>
        <v>0.01</v>
      </c>
      <c r="AP73" s="211">
        <f t="shared" si="51"/>
        <v>1.3613025148305688E-2</v>
      </c>
      <c r="AQ73" s="211">
        <f t="shared" si="52"/>
        <v>0</v>
      </c>
      <c r="AR73" s="211">
        <f t="shared" si="53"/>
        <v>8.9305862983469403E-2</v>
      </c>
      <c r="AS73" s="201">
        <f t="shared" si="54"/>
        <v>391465.21743942716</v>
      </c>
      <c r="AT73" s="201">
        <f t="shared" si="55"/>
        <v>1889106.9962179661</v>
      </c>
      <c r="AU73" s="201">
        <f t="shared" si="56"/>
        <v>287566.66000000003</v>
      </c>
      <c r="AV73" s="201">
        <f t="shared" si="57"/>
        <v>0</v>
      </c>
      <c r="AW73" s="201">
        <f>$I73*'Inputs and Assumptions'!$C$15</f>
        <v>2568138.8736573933</v>
      </c>
      <c r="AX73" s="199"/>
      <c r="AY73" s="208">
        <f>CHOOSE(gen_choice,'Generation Calculations'!$O76,'Generation Calculations'!$P76)</f>
        <v>6.569283783516372E-2</v>
      </c>
      <c r="AZ73" s="291">
        <f t="shared" si="30"/>
        <v>0.01</v>
      </c>
      <c r="BA73" s="211">
        <f t="shared" si="58"/>
        <v>4.9167801117626669E-2</v>
      </c>
      <c r="BB73" s="211">
        <f t="shared" si="59"/>
        <v>0</v>
      </c>
      <c r="BC73" s="211">
        <f t="shared" si="60"/>
        <v>0.12486063895279038</v>
      </c>
      <c r="BD73" s="201">
        <f t="shared" si="61"/>
        <v>1413902.0346940169</v>
      </c>
      <c r="BE73" s="201">
        <f t="shared" si="62"/>
        <v>1889106.9962179661</v>
      </c>
      <c r="BF73" s="201">
        <f t="shared" si="63"/>
        <v>287566.66000000003</v>
      </c>
      <c r="BG73" s="201">
        <f t="shared" si="64"/>
        <v>0</v>
      </c>
      <c r="BH73" s="201">
        <f>$M73*'Inputs and Assumptions'!$C$15</f>
        <v>3590575.6909119827</v>
      </c>
      <c r="BI73" s="199"/>
      <c r="BJ73" s="208">
        <f>CHOOSE(gen_choice,'Generation Calculations'!$O76,'Generation Calculations'!$P76)</f>
        <v>6.569283783516372E-2</v>
      </c>
      <c r="BK73" s="291">
        <f t="shared" si="31"/>
        <v>0.01</v>
      </c>
      <c r="BL73" s="211">
        <f t="shared" si="65"/>
        <v>2.3963123610436399E-2</v>
      </c>
      <c r="BM73" s="211">
        <f t="shared" si="66"/>
        <v>0</v>
      </c>
      <c r="BN73" s="211">
        <f t="shared" si="67"/>
        <v>9.9655961445600114E-2</v>
      </c>
      <c r="BO73" s="201">
        <f t="shared" si="68"/>
        <v>689099.54198203364</v>
      </c>
      <c r="BP73" s="201">
        <f t="shared" si="69"/>
        <v>1889106.9962179661</v>
      </c>
      <c r="BQ73" s="201">
        <f t="shared" si="70"/>
        <v>287566.66000000003</v>
      </c>
      <c r="BR73" s="201">
        <f t="shared" si="71"/>
        <v>0</v>
      </c>
      <c r="BS73" s="201">
        <f t="shared" si="72"/>
        <v>2865773.1981999995</v>
      </c>
      <c r="BT73" s="199"/>
      <c r="BU73" s="208">
        <f>CHOOSE(gen_choice,'Generation Calculations'!$O76,'Generation Calculations'!$P76)</f>
        <v>6.569283783516372E-2</v>
      </c>
      <c r="BV73" s="291">
        <f t="shared" si="32"/>
        <v>0.01</v>
      </c>
      <c r="BW73" s="211">
        <f t="shared" si="73"/>
        <v>2.1952535792457609E-2</v>
      </c>
      <c r="BX73" s="211">
        <f t="shared" si="74"/>
        <v>0</v>
      </c>
      <c r="BY73" s="211">
        <f t="shared" si="75"/>
        <v>9.7645373627621324E-2</v>
      </c>
      <c r="BZ73" s="201">
        <f t="shared" si="76"/>
        <v>631281.7396367488</v>
      </c>
      <c r="CA73" s="201">
        <f t="shared" si="77"/>
        <v>1889106.9962179661</v>
      </c>
      <c r="CB73" s="201">
        <f t="shared" si="78"/>
        <v>287566.66000000003</v>
      </c>
      <c r="CC73" s="201">
        <f t="shared" si="79"/>
        <v>0</v>
      </c>
      <c r="CD73" s="201">
        <f>$Z73*'Inputs and Assumptions'!$C$15</f>
        <v>2807955.3958547148</v>
      </c>
    </row>
    <row r="74" spans="1:82">
      <c r="A74" s="89" t="s">
        <v>60</v>
      </c>
      <c r="B74" s="73" t="s">
        <v>28</v>
      </c>
      <c r="C74" s="73">
        <v>1</v>
      </c>
      <c r="D74" s="177">
        <f>'Test Year 2001 Sales and Revs.'!J77</f>
        <v>31177676</v>
      </c>
      <c r="E74" s="201">
        <f t="shared" si="33"/>
        <v>1193132.9944948626</v>
      </c>
      <c r="F74" s="199"/>
      <c r="G74" s="238">
        <v>3.7409999999999999E-2</v>
      </c>
      <c r="H74" s="224">
        <f t="shared" ref="H74:H119" si="80">G74*D74</f>
        <v>1166356.85916</v>
      </c>
      <c r="I74" s="154">
        <f t="shared" si="34"/>
        <v>3.7104122404556082E-4</v>
      </c>
      <c r="J74" s="201">
        <f t="shared" si="35"/>
        <v>912660.90640314214</v>
      </c>
      <c r="K74" s="199"/>
      <c r="L74" s="381">
        <v>3502500.1218399997</v>
      </c>
      <c r="M74" s="154">
        <f t="shared" si="36"/>
        <v>5.0165801410046059E-4</v>
      </c>
      <c r="N74" s="201">
        <f t="shared" si="37"/>
        <v>1233942.8294822227</v>
      </c>
      <c r="O74" s="199"/>
      <c r="P74" s="223">
        <f t="shared" si="38"/>
        <v>3.8569434685105937E-2</v>
      </c>
      <c r="Q74" s="224">
        <f t="shared" ref="Q74:Q81" si="81">P74*D74</f>
        <v>1202505.3381153948</v>
      </c>
      <c r="R74" s="199"/>
      <c r="S74" s="331">
        <f t="shared" si="39"/>
        <v>1</v>
      </c>
      <c r="T74" s="383">
        <v>892439.88846103929</v>
      </c>
      <c r="U74" s="340">
        <f t="shared" si="40"/>
        <v>892439.88846103929</v>
      </c>
      <c r="V74" s="154">
        <f t="shared" si="41"/>
        <v>5.5262436048993092E-4</v>
      </c>
      <c r="W74" s="383">
        <v>675304.72071388038</v>
      </c>
      <c r="X74" s="340">
        <f t="shared" si="42"/>
        <v>675304.72071388038</v>
      </c>
      <c r="Y74" s="154">
        <f t="shared" si="43"/>
        <v>4.454984414939059E-4</v>
      </c>
      <c r="Z74" s="154">
        <f t="shared" si="44"/>
        <v>4.9906140099191835E-4</v>
      </c>
      <c r="AA74" s="157">
        <f>$Z74*'Inputs and Assumptions'!$C$6</f>
        <v>1227555.8645854879</v>
      </c>
      <c r="AB74" s="252"/>
      <c r="AC74" s="208">
        <f>CHOOSE(gen_choice,'Generation Calculations'!$O77,'Generation Calculations'!$P77)</f>
        <v>6.8611067001462051E-2</v>
      </c>
      <c r="AD74" s="291">
        <f t="shared" si="28"/>
        <v>0.01</v>
      </c>
      <c r="AE74" s="211">
        <f t="shared" si="45"/>
        <v>2.7772217480428144E-2</v>
      </c>
      <c r="AF74" s="211">
        <f t="shared" si="46"/>
        <v>0</v>
      </c>
      <c r="AG74" s="211">
        <f t="shared" si="47"/>
        <v>0.10638328448189019</v>
      </c>
      <c r="AH74" s="201">
        <f t="shared" si="48"/>
        <v>865873.19840632495</v>
      </c>
      <c r="AI74" s="407">
        <f>CHOOSE(gen_choice,'Generation Calculations'!$M77,'Generation Calculations'!$N77)</f>
        <v>2139133.6169858752</v>
      </c>
      <c r="AJ74" s="201">
        <f t="shared" si="49"/>
        <v>311776.76</v>
      </c>
      <c r="AK74" s="217">
        <f>CHOOSE(gen_choice,'Generation Calculations'!K77,'Generation Calculations'!L77)</f>
        <v>0</v>
      </c>
      <c r="AL74" s="201">
        <f t="shared" si="50"/>
        <v>3316783.5753922001</v>
      </c>
      <c r="AM74" s="199"/>
      <c r="AN74" s="208">
        <f>CHOOSE(gen_choice,'Generation Calculations'!$O77,'Generation Calculations'!$P77)</f>
        <v>6.8611067001462051E-2</v>
      </c>
      <c r="AO74" s="291">
        <f t="shared" si="29"/>
        <v>0.01</v>
      </c>
      <c r="AP74" s="211">
        <f t="shared" si="51"/>
        <v>1.5473200365803255E-2</v>
      </c>
      <c r="AQ74" s="211">
        <f t="shared" si="52"/>
        <v>0</v>
      </c>
      <c r="AR74" s="211">
        <f t="shared" si="53"/>
        <v>9.4084267367265301E-2</v>
      </c>
      <c r="AS74" s="201">
        <f t="shared" si="54"/>
        <v>482418.42768809537</v>
      </c>
      <c r="AT74" s="201">
        <f t="shared" si="55"/>
        <v>2139133.6169858752</v>
      </c>
      <c r="AU74" s="201">
        <f t="shared" si="56"/>
        <v>311776.76</v>
      </c>
      <c r="AV74" s="201">
        <f t="shared" si="57"/>
        <v>0</v>
      </c>
      <c r="AW74" s="201">
        <f>$I74*'Inputs and Assumptions'!$C$15</f>
        <v>2933328.8046739707</v>
      </c>
      <c r="AX74" s="199"/>
      <c r="AY74" s="208">
        <f>CHOOSE(gen_choice,'Generation Calculations'!$O77,'Generation Calculations'!$P77)</f>
        <v>6.8611067001462051E-2</v>
      </c>
      <c r="AZ74" s="291">
        <f t="shared" si="30"/>
        <v>0.01</v>
      </c>
      <c r="BA74" s="211">
        <f t="shared" si="58"/>
        <v>4.8593468955339184E-2</v>
      </c>
      <c r="BB74" s="211">
        <f t="shared" si="59"/>
        <v>0</v>
      </c>
      <c r="BC74" s="211">
        <f t="shared" si="60"/>
        <v>0.12720453595680123</v>
      </c>
      <c r="BD74" s="201">
        <f t="shared" si="61"/>
        <v>1515031.4308056235</v>
      </c>
      <c r="BE74" s="201">
        <f t="shared" si="62"/>
        <v>2139133.6169858752</v>
      </c>
      <c r="BF74" s="201">
        <f t="shared" si="63"/>
        <v>311776.76</v>
      </c>
      <c r="BG74" s="201">
        <f t="shared" si="64"/>
        <v>0</v>
      </c>
      <c r="BH74" s="201">
        <f>$M74*'Inputs and Assumptions'!$C$15</f>
        <v>3965941.8077914985</v>
      </c>
      <c r="BI74" s="199"/>
      <c r="BJ74" s="208">
        <f>CHOOSE(gen_choice,'Generation Calculations'!$O77,'Generation Calculations'!$P77)</f>
        <v>6.8611067001462051E-2</v>
      </c>
      <c r="BK74" s="291">
        <f t="shared" si="31"/>
        <v>0.01</v>
      </c>
      <c r="BL74" s="211">
        <f t="shared" si="65"/>
        <v>2.1044894444138068E-2</v>
      </c>
      <c r="BM74" s="211">
        <f t="shared" si="66"/>
        <v>0</v>
      </c>
      <c r="BN74" s="211">
        <f t="shared" si="67"/>
        <v>9.9655961445600114E-2</v>
      </c>
      <c r="BO74" s="201">
        <f t="shared" si="68"/>
        <v>656130.90043353674</v>
      </c>
      <c r="BP74" s="201">
        <f t="shared" si="69"/>
        <v>2139133.6169858752</v>
      </c>
      <c r="BQ74" s="201">
        <f t="shared" si="70"/>
        <v>311776.76</v>
      </c>
      <c r="BR74" s="201">
        <f t="shared" si="71"/>
        <v>0</v>
      </c>
      <c r="BS74" s="201">
        <f t="shared" si="72"/>
        <v>3107041.277419412</v>
      </c>
      <c r="BT74" s="199"/>
      <c r="BU74" s="208">
        <f>CHOOSE(gen_choice,'Generation Calculations'!$O77,'Generation Calculations'!$P77)</f>
        <v>6.8611067001462051E-2</v>
      </c>
      <c r="BV74" s="291">
        <f t="shared" si="32"/>
        <v>0.01</v>
      </c>
      <c r="BW74" s="211">
        <f t="shared" si="73"/>
        <v>4.7935050358910034E-2</v>
      </c>
      <c r="BX74" s="211">
        <f t="shared" si="74"/>
        <v>0</v>
      </c>
      <c r="BY74" s="211">
        <f t="shared" si="75"/>
        <v>0.12654611736037208</v>
      </c>
      <c r="BZ74" s="201">
        <f t="shared" si="76"/>
        <v>1494503.4691337808</v>
      </c>
      <c r="CA74" s="201">
        <f t="shared" si="77"/>
        <v>2139133.6169858752</v>
      </c>
      <c r="CB74" s="201">
        <f t="shared" si="78"/>
        <v>311776.76</v>
      </c>
      <c r="CC74" s="201">
        <f t="shared" si="79"/>
        <v>0</v>
      </c>
      <c r="CD74" s="201">
        <f>$Z74*'Inputs and Assumptions'!$C$15</f>
        <v>3945413.8461196558</v>
      </c>
    </row>
    <row r="75" spans="1:82">
      <c r="A75" s="89" t="s">
        <v>61</v>
      </c>
      <c r="B75" s="73" t="s">
        <v>28</v>
      </c>
      <c r="C75" s="73">
        <v>1</v>
      </c>
      <c r="D75" s="177">
        <f>'Test Year 2001 Sales and Revs.'!J78</f>
        <v>136212371</v>
      </c>
      <c r="E75" s="201">
        <f t="shared" si="33"/>
        <v>5212687.2477113167</v>
      </c>
      <c r="F75" s="199"/>
      <c r="G75" s="238">
        <v>3.5139999999999998E-2</v>
      </c>
      <c r="H75" s="224">
        <f t="shared" si="80"/>
        <v>4786502.7169399997</v>
      </c>
      <c r="I75" s="154">
        <f t="shared" si="34"/>
        <v>1.5226813415148708E-3</v>
      </c>
      <c r="J75" s="201">
        <f t="shared" si="35"/>
        <v>3745383.6480969335</v>
      </c>
      <c r="K75" s="199"/>
      <c r="L75" s="381">
        <v>14520238.748600001</v>
      </c>
      <c r="M75" s="154">
        <f t="shared" si="36"/>
        <v>2.0797127427537566E-3</v>
      </c>
      <c r="N75" s="201">
        <f t="shared" si="37"/>
        <v>5115530.0108290408</v>
      </c>
      <c r="O75" s="199"/>
      <c r="P75" s="223">
        <f t="shared" si="38"/>
        <v>3.8569434685105937E-2</v>
      </c>
      <c r="Q75" s="224">
        <f t="shared" si="81"/>
        <v>5253634.1465879185</v>
      </c>
      <c r="R75" s="199"/>
      <c r="S75" s="331">
        <f t="shared" si="39"/>
        <v>1</v>
      </c>
      <c r="T75" s="383">
        <v>2701251.8554749805</v>
      </c>
      <c r="U75" s="340">
        <f t="shared" si="40"/>
        <v>2701251.8554749805</v>
      </c>
      <c r="V75" s="154">
        <f t="shared" si="41"/>
        <v>1.6726925795846133E-3</v>
      </c>
      <c r="W75" s="383">
        <v>2304344.5225916686</v>
      </c>
      <c r="X75" s="340">
        <f t="shared" si="42"/>
        <v>2304344.5225916686</v>
      </c>
      <c r="Y75" s="154">
        <f t="shared" si="43"/>
        <v>1.5201757991479511E-3</v>
      </c>
      <c r="Z75" s="154">
        <f t="shared" si="44"/>
        <v>1.5964341893662821E-3</v>
      </c>
      <c r="AA75" s="157">
        <f>$Z75*'Inputs and Assumptions'!$C$6</f>
        <v>3926795.6762159895</v>
      </c>
      <c r="AB75" s="252"/>
      <c r="AC75" s="208">
        <f>CHOOSE(gen_choice,'Generation Calculations'!$O78,'Generation Calculations'!$P78)</f>
        <v>6.3835987228549287E-2</v>
      </c>
      <c r="AD75" s="291">
        <f t="shared" si="28"/>
        <v>0.01</v>
      </c>
      <c r="AE75" s="211">
        <f t="shared" si="45"/>
        <v>3.2547297253340907E-2</v>
      </c>
      <c r="AF75" s="211">
        <f t="shared" si="46"/>
        <v>0</v>
      </c>
      <c r="AG75" s="211">
        <f t="shared" si="47"/>
        <v>0.10638328448189019</v>
      </c>
      <c r="AH75" s="201">
        <f t="shared" si="48"/>
        <v>4433344.5285193529</v>
      </c>
      <c r="AI75" s="407">
        <f>CHOOSE(gen_choice,'Generation Calculations'!$M78,'Generation Calculations'!$N78)</f>
        <v>8695251.1755264178</v>
      </c>
      <c r="AJ75" s="201">
        <f t="shared" si="49"/>
        <v>1362123.71</v>
      </c>
      <c r="AK75" s="217">
        <f>CHOOSE(gen_choice,'Generation Calculations'!K78,'Generation Calculations'!L78)</f>
        <v>0</v>
      </c>
      <c r="AL75" s="201">
        <f t="shared" si="50"/>
        <v>14490719.41404577</v>
      </c>
      <c r="AM75" s="199"/>
      <c r="AN75" s="208">
        <f>CHOOSE(gen_choice,'Generation Calculations'!$O78,'Generation Calculations'!$P78)</f>
        <v>6.3835987228549287E-2</v>
      </c>
      <c r="AO75" s="291">
        <f t="shared" si="29"/>
        <v>0.01</v>
      </c>
      <c r="AP75" s="211">
        <f t="shared" si="51"/>
        <v>1.4539344374917773E-2</v>
      </c>
      <c r="AQ75" s="211">
        <f t="shared" si="52"/>
        <v>0</v>
      </c>
      <c r="AR75" s="211">
        <f t="shared" si="53"/>
        <v>8.8375331603467056E-2</v>
      </c>
      <c r="AS75" s="201">
        <f t="shared" si="54"/>
        <v>1980438.5700930627</v>
      </c>
      <c r="AT75" s="201">
        <f t="shared" si="55"/>
        <v>8695251.1755264178</v>
      </c>
      <c r="AU75" s="201">
        <f t="shared" si="56"/>
        <v>1362123.71</v>
      </c>
      <c r="AV75" s="201">
        <f t="shared" si="57"/>
        <v>0</v>
      </c>
      <c r="AW75" s="201">
        <f>$I75*'Inputs and Assumptions'!$C$15</f>
        <v>12037813.455619479</v>
      </c>
      <c r="AX75" s="199"/>
      <c r="AY75" s="208">
        <f>CHOOSE(gen_choice,'Generation Calculations'!$O78,'Generation Calculations'!$P78)</f>
        <v>6.3835987228549287E-2</v>
      </c>
      <c r="AZ75" s="291">
        <f t="shared" si="30"/>
        <v>0.01</v>
      </c>
      <c r="BA75" s="211">
        <f t="shared" si="58"/>
        <v>4.6869046891043126E-2</v>
      </c>
      <c r="BB75" s="211">
        <f t="shared" si="59"/>
        <v>0</v>
      </c>
      <c r="BC75" s="211">
        <f t="shared" si="60"/>
        <v>0.12070503411959241</v>
      </c>
      <c r="BD75" s="201">
        <f t="shared" si="61"/>
        <v>6384144.0035391627</v>
      </c>
      <c r="BE75" s="201">
        <f t="shared" si="62"/>
        <v>8695251.1755264178</v>
      </c>
      <c r="BF75" s="201">
        <f t="shared" si="63"/>
        <v>1362123.71</v>
      </c>
      <c r="BG75" s="201">
        <f t="shared" si="64"/>
        <v>0</v>
      </c>
      <c r="BH75" s="201">
        <f>$M75*'Inputs and Assumptions'!$C$15</f>
        <v>16441518.889065579</v>
      </c>
      <c r="BI75" s="199"/>
      <c r="BJ75" s="208">
        <f>CHOOSE(gen_choice,'Generation Calculations'!$O78,'Generation Calculations'!$P78)</f>
        <v>6.3835987228549287E-2</v>
      </c>
      <c r="BK75" s="291">
        <f t="shared" si="31"/>
        <v>0.01</v>
      </c>
      <c r="BL75" s="211">
        <f t="shared" si="65"/>
        <v>2.5819974217050831E-2</v>
      </c>
      <c r="BM75" s="211">
        <f t="shared" si="66"/>
        <v>0</v>
      </c>
      <c r="BN75" s="211">
        <f t="shared" si="67"/>
        <v>9.9655961445600114E-2</v>
      </c>
      <c r="BO75" s="201">
        <f t="shared" si="68"/>
        <v>3516999.9072633623</v>
      </c>
      <c r="BP75" s="201">
        <f t="shared" si="69"/>
        <v>8695251.1755264178</v>
      </c>
      <c r="BQ75" s="201">
        <f t="shared" si="70"/>
        <v>1362123.71</v>
      </c>
      <c r="BR75" s="201">
        <f t="shared" si="71"/>
        <v>0</v>
      </c>
      <c r="BS75" s="201">
        <f t="shared" si="72"/>
        <v>13574374.79278978</v>
      </c>
      <c r="BT75" s="199"/>
      <c r="BU75" s="208">
        <f>CHOOSE(gen_choice,'Generation Calculations'!$O78,'Generation Calculations'!$P78)</f>
        <v>6.3835987228549287E-2</v>
      </c>
      <c r="BV75" s="291">
        <f t="shared" si="32"/>
        <v>0.01</v>
      </c>
      <c r="BW75" s="211">
        <f t="shared" si="73"/>
        <v>1.8819906701296601E-2</v>
      </c>
      <c r="BX75" s="211">
        <f t="shared" si="74"/>
        <v>0</v>
      </c>
      <c r="BY75" s="211">
        <f t="shared" si="75"/>
        <v>9.2655893929845884E-2</v>
      </c>
      <c r="BZ75" s="201">
        <f t="shared" si="76"/>
        <v>2563504.1137823989</v>
      </c>
      <c r="CA75" s="201">
        <f t="shared" si="77"/>
        <v>8695251.1755264178</v>
      </c>
      <c r="CB75" s="201">
        <f t="shared" si="78"/>
        <v>1362123.71</v>
      </c>
      <c r="CC75" s="201">
        <f t="shared" si="79"/>
        <v>0</v>
      </c>
      <c r="CD75" s="201">
        <f>$Z75*'Inputs and Assumptions'!$C$15</f>
        <v>12620878.999308815</v>
      </c>
    </row>
    <row r="76" spans="1:82">
      <c r="A76" s="89" t="s">
        <v>62</v>
      </c>
      <c r="B76" s="73" t="s">
        <v>28</v>
      </c>
      <c r="C76" s="73">
        <v>1</v>
      </c>
      <c r="D76" s="177">
        <f>'Test Year 2001 Sales and Revs.'!J79</f>
        <v>83553832</v>
      </c>
      <c r="E76" s="201">
        <f t="shared" si="33"/>
        <v>3197506.8884441764</v>
      </c>
      <c r="F76" s="199"/>
      <c r="G76" s="238">
        <v>3.78E-2</v>
      </c>
      <c r="H76" s="224">
        <f t="shared" si="80"/>
        <v>3158334.8495999998</v>
      </c>
      <c r="I76" s="154">
        <f t="shared" si="34"/>
        <v>1.0047288866507876E-3</v>
      </c>
      <c r="J76" s="201">
        <f t="shared" si="35"/>
        <v>2471360.908047054</v>
      </c>
      <c r="K76" s="199"/>
      <c r="L76" s="381">
        <v>8712158.0626400001</v>
      </c>
      <c r="M76" s="154">
        <f t="shared" si="36"/>
        <v>1.247829767365516E-3</v>
      </c>
      <c r="N76" s="201">
        <f t="shared" si="37"/>
        <v>3069323.2253373358</v>
      </c>
      <c r="O76" s="199"/>
      <c r="P76" s="223">
        <f t="shared" si="38"/>
        <v>3.8569434685105937E-2</v>
      </c>
      <c r="Q76" s="224">
        <f t="shared" si="81"/>
        <v>3222624.0660143145</v>
      </c>
      <c r="R76" s="199"/>
      <c r="S76" s="331">
        <f t="shared" si="39"/>
        <v>1</v>
      </c>
      <c r="T76" s="383">
        <v>2021173.6247492898</v>
      </c>
      <c r="U76" s="340">
        <f t="shared" si="40"/>
        <v>2021173.6247492898</v>
      </c>
      <c r="V76" s="154">
        <f t="shared" si="41"/>
        <v>1.2515686448555171E-3</v>
      </c>
      <c r="W76" s="383">
        <v>1675422.9567491938</v>
      </c>
      <c r="X76" s="340">
        <f t="shared" si="42"/>
        <v>1675422.9567491938</v>
      </c>
      <c r="Y76" s="154">
        <f t="shared" si="43"/>
        <v>1.1052763192382878E-3</v>
      </c>
      <c r="Z76" s="154">
        <f t="shared" si="44"/>
        <v>1.1784224820469025E-3</v>
      </c>
      <c r="AA76" s="157">
        <f>$Z76*'Inputs and Assumptions'!$C$6</f>
        <v>2898600.1039569229</v>
      </c>
      <c r="AB76" s="252"/>
      <c r="AC76" s="390">
        <f>CHOOSE(gen_choice,'Generation Calculations'!$O79,'Generation Calculations'!$P79)</f>
        <v>5.8968908938392343E-2</v>
      </c>
      <c r="AD76" s="391">
        <f t="shared" si="28"/>
        <v>0.01</v>
      </c>
      <c r="AE76" s="392">
        <f t="shared" si="45"/>
        <v>3.741437554349783E-2</v>
      </c>
      <c r="AF76" s="211">
        <f t="shared" si="46"/>
        <v>0</v>
      </c>
      <c r="AG76" s="211">
        <f t="shared" si="47"/>
        <v>0.10638328448189018</v>
      </c>
      <c r="AH76" s="201">
        <f t="shared" si="48"/>
        <v>3126114.4485463263</v>
      </c>
      <c r="AI76" s="407">
        <f>CHOOSE(gen_choice,'Generation Calculations'!$M79,'Generation Calculations'!$N79)</f>
        <v>4927078.3106617322</v>
      </c>
      <c r="AJ76" s="201">
        <f t="shared" si="49"/>
        <v>835538.32000000007</v>
      </c>
      <c r="AK76" s="217">
        <f>CHOOSE(gen_choice,'Generation Calculations'!K79,'Generation Calculations'!L79)</f>
        <v>0</v>
      </c>
      <c r="AL76" s="201">
        <f t="shared" si="50"/>
        <v>8888731.0792080592</v>
      </c>
      <c r="AM76" s="199"/>
      <c r="AN76" s="390">
        <f>CHOOSE(gen_choice,'Generation Calculations'!$O79,'Generation Calculations'!$P79)</f>
        <v>5.8968908938392343E-2</v>
      </c>
      <c r="AO76" s="391">
        <f t="shared" si="29"/>
        <v>0.01</v>
      </c>
      <c r="AP76" s="392">
        <f t="shared" si="51"/>
        <v>2.6096188802388953E-2</v>
      </c>
      <c r="AQ76" s="211">
        <f t="shared" si="52"/>
        <v>0</v>
      </c>
      <c r="AR76" s="211">
        <f t="shared" si="53"/>
        <v>9.5065097740781299E-2</v>
      </c>
      <c r="AS76" s="201">
        <f t="shared" si="54"/>
        <v>2180436.5750350878</v>
      </c>
      <c r="AT76" s="201">
        <f t="shared" si="55"/>
        <v>4927078.3106617322</v>
      </c>
      <c r="AU76" s="201">
        <f t="shared" si="56"/>
        <v>835538.32000000007</v>
      </c>
      <c r="AV76" s="201">
        <f t="shared" si="57"/>
        <v>0</v>
      </c>
      <c r="AW76" s="201">
        <f>$I76*'Inputs and Assumptions'!$C$15</f>
        <v>7943053.2056968203</v>
      </c>
      <c r="AX76" s="199"/>
      <c r="AY76" s="390">
        <f>CHOOSE(gen_choice,'Generation Calculations'!$O79,'Generation Calculations'!$P79)</f>
        <v>5.8968908938392343E-2</v>
      </c>
      <c r="AZ76" s="391">
        <f t="shared" si="30"/>
        <v>0.01</v>
      </c>
      <c r="BA76" s="392">
        <f t="shared" si="58"/>
        <v>4.9097825654946317E-2</v>
      </c>
      <c r="BB76" s="211">
        <f t="shared" si="59"/>
        <v>0</v>
      </c>
      <c r="BC76" s="211">
        <f t="shared" si="60"/>
        <v>0.11806673459333866</v>
      </c>
      <c r="BD76" s="201">
        <f t="shared" si="61"/>
        <v>4102311.4763386748</v>
      </c>
      <c r="BE76" s="201">
        <f t="shared" si="62"/>
        <v>4927078.3106617322</v>
      </c>
      <c r="BF76" s="201">
        <f t="shared" si="63"/>
        <v>835538.32000000007</v>
      </c>
      <c r="BG76" s="201">
        <f t="shared" si="64"/>
        <v>0</v>
      </c>
      <c r="BH76" s="201">
        <f>$M76*'Inputs and Assumptions'!$C$15</f>
        <v>9864928.1070004068</v>
      </c>
      <c r="BI76" s="199"/>
      <c r="BJ76" s="390">
        <f>CHOOSE(gen_choice,'Generation Calculations'!$O79,'Generation Calculations'!$P79)</f>
        <v>5.8968908938392343E-2</v>
      </c>
      <c r="BK76" s="391">
        <f t="shared" si="31"/>
        <v>0.01</v>
      </c>
      <c r="BL76" s="392">
        <f t="shared" si="65"/>
        <v>3.0687052507207768E-2</v>
      </c>
      <c r="BM76" s="211">
        <f t="shared" si="66"/>
        <v>0</v>
      </c>
      <c r="BN76" s="211">
        <f t="shared" si="67"/>
        <v>9.9655961445600114E-2</v>
      </c>
      <c r="BO76" s="201">
        <f t="shared" si="68"/>
        <v>2564020.8297624164</v>
      </c>
      <c r="BP76" s="201">
        <f t="shared" si="69"/>
        <v>4927078.3106617322</v>
      </c>
      <c r="BQ76" s="201">
        <f t="shared" si="70"/>
        <v>835538.32000000007</v>
      </c>
      <c r="BR76" s="201">
        <f t="shared" si="71"/>
        <v>0</v>
      </c>
      <c r="BS76" s="201">
        <f t="shared" si="72"/>
        <v>8326637.4604241494</v>
      </c>
      <c r="BT76" s="199"/>
      <c r="BU76" s="390">
        <f>CHOOSE(gen_choice,'Generation Calculations'!$O79,'Generation Calculations'!$P79)</f>
        <v>5.8968908938392343E-2</v>
      </c>
      <c r="BV76" s="391">
        <f t="shared" si="32"/>
        <v>0.01</v>
      </c>
      <c r="BW76" s="392">
        <f t="shared" si="73"/>
        <v>4.253067062396966E-2</v>
      </c>
      <c r="BX76" s="211">
        <f t="shared" si="74"/>
        <v>0</v>
      </c>
      <c r="BY76" s="211">
        <f t="shared" si="75"/>
        <v>0.11149957956236201</v>
      </c>
      <c r="BZ76" s="201">
        <f t="shared" si="76"/>
        <v>3553600.5081624961</v>
      </c>
      <c r="CA76" s="201">
        <f t="shared" si="77"/>
        <v>4927078.3106617322</v>
      </c>
      <c r="CB76" s="201">
        <f t="shared" si="78"/>
        <v>835538.32000000007</v>
      </c>
      <c r="CC76" s="201">
        <f t="shared" si="79"/>
        <v>0</v>
      </c>
      <c r="CD76" s="201">
        <f>$Z76*'Inputs and Assumptions'!$C$15</f>
        <v>9316217.1388242282</v>
      </c>
    </row>
    <row r="77" spans="1:82">
      <c r="A77" s="89" t="s">
        <v>63</v>
      </c>
      <c r="B77" s="73"/>
      <c r="C77" s="73">
        <v>1</v>
      </c>
      <c r="D77" s="177">
        <f>'Test Year 2001 Sales and Revs.'!$J$80</f>
        <v>248926280</v>
      </c>
      <c r="E77" s="201">
        <f t="shared" si="33"/>
        <v>9526115.9896865506</v>
      </c>
      <c r="F77" s="199"/>
      <c r="G77" s="238">
        <v>3.7600000000000001E-2</v>
      </c>
      <c r="H77" s="224">
        <f t="shared" si="80"/>
        <v>9359628.1280000005</v>
      </c>
      <c r="I77" s="154">
        <f t="shared" si="34"/>
        <v>2.9774831347289944E-3</v>
      </c>
      <c r="J77" s="201">
        <f t="shared" si="35"/>
        <v>7323801.9940559343</v>
      </c>
      <c r="K77" s="199"/>
      <c r="L77" s="381">
        <v>26430992.410399999</v>
      </c>
      <c r="M77" s="154">
        <f t="shared" si="36"/>
        <v>3.7856727200740172E-3</v>
      </c>
      <c r="N77" s="201">
        <f t="shared" si="37"/>
        <v>9311729.4579217732</v>
      </c>
      <c r="O77" s="199"/>
      <c r="P77" s="223">
        <f t="shared" si="38"/>
        <v>3.8569434685105937E-2</v>
      </c>
      <c r="Q77" s="224">
        <f t="shared" si="81"/>
        <v>9600945.8978663925</v>
      </c>
      <c r="R77" s="199"/>
      <c r="S77" s="331">
        <f t="shared" si="39"/>
        <v>1</v>
      </c>
      <c r="T77" s="383">
        <v>7740740.8381810458</v>
      </c>
      <c r="U77" s="340">
        <f t="shared" si="40"/>
        <v>7740740.8381810458</v>
      </c>
      <c r="V77" s="154">
        <f t="shared" si="41"/>
        <v>4.7932886133034407E-3</v>
      </c>
      <c r="W77" s="383">
        <v>6548413.837695526</v>
      </c>
      <c r="X77" s="340">
        <f t="shared" si="42"/>
        <v>6548413.837695526</v>
      </c>
      <c r="Y77" s="154">
        <f t="shared" si="43"/>
        <v>4.3199878061958895E-3</v>
      </c>
      <c r="Z77" s="154">
        <f t="shared" si="44"/>
        <v>4.5566382097496656E-3</v>
      </c>
      <c r="AA77" s="157">
        <f>$Z77*'Inputs and Assumptions'!$C$6</f>
        <v>11208095.729413265</v>
      </c>
      <c r="AB77" s="252"/>
      <c r="AC77" s="390">
        <f>CHOOSE(gen_choice,'Generation Calculations'!$O80,'Generation Calculations'!$P80)</f>
        <v>8.3399163928727996E-2</v>
      </c>
      <c r="AD77" s="391">
        <f t="shared" si="28"/>
        <v>0.01</v>
      </c>
      <c r="AE77" s="392">
        <f t="shared" si="45"/>
        <v>1.2957870247352607E-2</v>
      </c>
      <c r="AF77" s="211">
        <f t="shared" si="46"/>
        <v>2.6250305809586297E-5</v>
      </c>
      <c r="AG77" s="211">
        <f t="shared" si="47"/>
        <v>0.10638328448189019</v>
      </c>
      <c r="AH77" s="201">
        <f t="shared" si="48"/>
        <v>3225554.4373961645</v>
      </c>
      <c r="AI77" s="407">
        <f>CHOOSE(gen_choice,'Generation Calculations'!$M80,'Generation Calculations'!$N80)</f>
        <v>20760243.631888445</v>
      </c>
      <c r="AJ77" s="201">
        <f t="shared" si="49"/>
        <v>2489262.8000000003</v>
      </c>
      <c r="AK77" s="217">
        <f>CHOOSE(gen_choice,'Generation Calculations'!K80,'Generation Calculations'!L80)</f>
        <v>-6534.3909740427052</v>
      </c>
      <c r="AL77" s="201">
        <f t="shared" si="50"/>
        <v>26481595.260258652</v>
      </c>
      <c r="AM77" s="199"/>
      <c r="AN77" s="390">
        <f>CHOOSE(gen_choice,'Generation Calculations'!$O80,'Generation Calculations'!$P80)</f>
        <v>8.3399163928727996E-2</v>
      </c>
      <c r="AO77" s="391">
        <f t="shared" si="29"/>
        <v>0.01</v>
      </c>
      <c r="AP77" s="392">
        <f t="shared" si="51"/>
        <v>1.1366935711073223E-3</v>
      </c>
      <c r="AQ77" s="211">
        <f t="shared" si="52"/>
        <v>2.6250305809586297E-5</v>
      </c>
      <c r="AR77" s="211">
        <f t="shared" si="53"/>
        <v>9.4562107805644904E-2</v>
      </c>
      <c r="AS77" s="201">
        <f t="shared" si="54"/>
        <v>282952.9021556612</v>
      </c>
      <c r="AT77" s="201">
        <f t="shared" si="55"/>
        <v>20760243.631888445</v>
      </c>
      <c r="AU77" s="201">
        <f t="shared" si="56"/>
        <v>2489262.8000000003</v>
      </c>
      <c r="AV77" s="201">
        <f t="shared" si="57"/>
        <v>-6534.3909740427052</v>
      </c>
      <c r="AW77" s="201">
        <f>$I77*'Inputs and Assumptions'!$C$15</f>
        <v>23538993.725018147</v>
      </c>
      <c r="AX77" s="199"/>
      <c r="AY77" s="390">
        <f>CHOOSE(gen_choice,'Generation Calculations'!$O80,'Generation Calculations'!$P80)</f>
        <v>8.3399163928727996E-2</v>
      </c>
      <c r="AZ77" s="391">
        <f t="shared" si="30"/>
        <v>0.01</v>
      </c>
      <c r="BA77" s="392">
        <f t="shared" si="58"/>
        <v>2.6804046579893201E-2</v>
      </c>
      <c r="BB77" s="211">
        <f t="shared" si="59"/>
        <v>2.6250305809586297E-5</v>
      </c>
      <c r="BC77" s="211">
        <f t="shared" si="60"/>
        <v>0.12022946081443078</v>
      </c>
      <c r="BD77" s="201">
        <f t="shared" si="61"/>
        <v>6672231.6040795371</v>
      </c>
      <c r="BE77" s="201">
        <f t="shared" si="62"/>
        <v>20760243.631888445</v>
      </c>
      <c r="BF77" s="201">
        <f t="shared" si="63"/>
        <v>2489262.8000000003</v>
      </c>
      <c r="BG77" s="201">
        <f t="shared" si="64"/>
        <v>-6534.3909740427052</v>
      </c>
      <c r="BH77" s="201">
        <f>$M77*'Inputs and Assumptions'!$C$15</f>
        <v>29928272.426942024</v>
      </c>
      <c r="BI77" s="199"/>
      <c r="BJ77" s="390">
        <f>CHOOSE(gen_choice,'Generation Calculations'!$O80,'Generation Calculations'!$P80)</f>
        <v>8.3399163928727996E-2</v>
      </c>
      <c r="BK77" s="391">
        <f t="shared" si="31"/>
        <v>0.01</v>
      </c>
      <c r="BL77" s="392">
        <f t="shared" si="65"/>
        <v>6.2305472110625315E-3</v>
      </c>
      <c r="BM77" s="211">
        <f t="shared" si="66"/>
        <v>2.6250305809586297E-5</v>
      </c>
      <c r="BN77" s="211">
        <f t="shared" si="67"/>
        <v>9.9655961445600114E-2</v>
      </c>
      <c r="BO77" s="201">
        <f t="shared" si="68"/>
        <v>1550946.9396141709</v>
      </c>
      <c r="BP77" s="201">
        <f t="shared" si="69"/>
        <v>20760243.631888445</v>
      </c>
      <c r="BQ77" s="201">
        <f t="shared" si="70"/>
        <v>2489262.8000000003</v>
      </c>
      <c r="BR77" s="201">
        <f t="shared" si="71"/>
        <v>-6534.3909740427052</v>
      </c>
      <c r="BS77" s="201">
        <f t="shared" si="72"/>
        <v>24806987.76247666</v>
      </c>
      <c r="BT77" s="199"/>
      <c r="BU77" s="390">
        <f>CHOOSE(gen_choice,'Generation Calculations'!$O80,'Generation Calculations'!$P80)</f>
        <v>8.3399163928727996E-2</v>
      </c>
      <c r="BV77" s="391">
        <f t="shared" si="32"/>
        <v>0.01</v>
      </c>
      <c r="BW77" s="392">
        <f t="shared" si="73"/>
        <v>5.1289196772280818E-2</v>
      </c>
      <c r="BX77" s="211">
        <f t="shared" si="74"/>
        <v>2.6250305809586297E-5</v>
      </c>
      <c r="BY77" s="211">
        <f t="shared" si="75"/>
        <v>0.1447146110068184</v>
      </c>
      <c r="BZ77" s="201">
        <f t="shared" si="76"/>
        <v>12767228.956711872</v>
      </c>
      <c r="CA77" s="201">
        <f t="shared" si="77"/>
        <v>20760243.631888445</v>
      </c>
      <c r="CB77" s="201">
        <f t="shared" si="78"/>
        <v>2489262.8000000003</v>
      </c>
      <c r="CC77" s="201">
        <f t="shared" si="79"/>
        <v>-6534.3909740427052</v>
      </c>
      <c r="CD77" s="201">
        <f>$Z77*'Inputs and Assumptions'!$C$15</f>
        <v>36023269.779574357</v>
      </c>
    </row>
    <row r="78" spans="1:82">
      <c r="A78" s="89" t="s">
        <v>64</v>
      </c>
      <c r="B78" s="73" t="s">
        <v>28</v>
      </c>
      <c r="C78" s="73">
        <v>1</v>
      </c>
      <c r="D78" s="177">
        <f>'Test Year 2001 Sales and Revs.'!J81</f>
        <v>25772789.999999996</v>
      </c>
      <c r="E78" s="201">
        <f t="shared" si="33"/>
        <v>986294.36360770592</v>
      </c>
      <c r="F78" s="199"/>
      <c r="G78" s="238">
        <v>3.7569999999999999E-2</v>
      </c>
      <c r="H78" s="224">
        <f t="shared" si="80"/>
        <v>968283.72029999981</v>
      </c>
      <c r="I78" s="154">
        <f t="shared" si="34"/>
        <v>3.0803023447064628E-4</v>
      </c>
      <c r="J78" s="201">
        <f t="shared" si="35"/>
        <v>757670.93997359253</v>
      </c>
      <c r="K78" s="199"/>
      <c r="L78" s="381">
        <v>2581402.6463999995</v>
      </c>
      <c r="M78" s="154">
        <f t="shared" si="36"/>
        <v>3.697305582123415E-4</v>
      </c>
      <c r="N78" s="201">
        <f t="shared" si="37"/>
        <v>909437.02347634721</v>
      </c>
      <c r="O78" s="199"/>
      <c r="P78" s="223">
        <f t="shared" si="38"/>
        <v>3.8569434685105937E-2</v>
      </c>
      <c r="Q78" s="224">
        <f t="shared" si="81"/>
        <v>994041.94055795134</v>
      </c>
      <c r="R78" s="199"/>
      <c r="S78" s="331">
        <f>$D78/SUM($D$78:$D$81,$D$83)</f>
        <v>5.6433592548681827E-2</v>
      </c>
      <c r="T78" s="383">
        <v>13618047.536549391</v>
      </c>
      <c r="U78" s="340">
        <f t="shared" si="40"/>
        <v>768515.34598620865</v>
      </c>
      <c r="V78" s="154">
        <f t="shared" si="41"/>
        <v>4.7588673152507502E-4</v>
      </c>
      <c r="W78" s="383">
        <v>9412444.412421314</v>
      </c>
      <c r="X78" s="340">
        <f t="shared" si="42"/>
        <v>531178.05285770132</v>
      </c>
      <c r="Y78" s="154">
        <f t="shared" si="43"/>
        <v>3.5041809637243007E-4</v>
      </c>
      <c r="Z78" s="154">
        <f t="shared" si="44"/>
        <v>4.1315241394875252E-4</v>
      </c>
      <c r="AA78" s="157">
        <f>$Z78*'Inputs and Assumptions'!$C$6</f>
        <v>1016243.0268147611</v>
      </c>
      <c r="AB78" s="252"/>
      <c r="AC78" s="390">
        <f>CHOOSE(gen_choice,'Generation Calculations'!$O81,'Generation Calculations'!$P81)</f>
        <v>7.622886705620073E-2</v>
      </c>
      <c r="AD78" s="391">
        <f t="shared" si="28"/>
        <v>0.01</v>
      </c>
      <c r="AE78" s="392">
        <f t="shared" si="45"/>
        <v>2.0124324226350132E-2</v>
      </c>
      <c r="AF78" s="211">
        <f t="shared" si="46"/>
        <v>3.0093199339322004E-5</v>
      </c>
      <c r="AG78" s="211">
        <f t="shared" si="47"/>
        <v>0.10638328448189018</v>
      </c>
      <c r="AH78" s="201">
        <f t="shared" si="48"/>
        <v>518659.98217763437</v>
      </c>
      <c r="AI78" s="407">
        <f>CHOOSE(gen_choice,'Generation Calculations'!$M81,'Generation Calculations'!$N81)</f>
        <v>1964630.5825773792</v>
      </c>
      <c r="AJ78" s="201">
        <f t="shared" si="49"/>
        <v>257727.89999999997</v>
      </c>
      <c r="AK78" s="217">
        <f>CHOOSE(gen_choice,'Generation Calculations'!K81,'Generation Calculations'!L81)</f>
        <v>-775.5857070004846</v>
      </c>
      <c r="AL78" s="201">
        <f t="shared" si="50"/>
        <v>2741794.050462014</v>
      </c>
      <c r="AM78" s="199"/>
      <c r="AN78" s="390">
        <f>CHOOSE(gen_choice,'Generation Calculations'!$O81,'Generation Calculations'!$P81)</f>
        <v>7.622886705620073E-2</v>
      </c>
      <c r="AO78" s="391">
        <f t="shared" si="29"/>
        <v>0.01</v>
      </c>
      <c r="AP78" s="392">
        <f t="shared" si="51"/>
        <v>8.2276990598343785E-3</v>
      </c>
      <c r="AQ78" s="211">
        <f t="shared" si="52"/>
        <v>3.0093199339322004E-5</v>
      </c>
      <c r="AR78" s="211">
        <f t="shared" si="53"/>
        <v>9.4486659315374422E-2</v>
      </c>
      <c r="AS78" s="201">
        <f t="shared" si="54"/>
        <v>212050.76005230885</v>
      </c>
      <c r="AT78" s="201">
        <f t="shared" si="55"/>
        <v>1964630.5825773792</v>
      </c>
      <c r="AU78" s="201">
        <f t="shared" si="56"/>
        <v>257727.89999999997</v>
      </c>
      <c r="AV78" s="201">
        <f t="shared" si="57"/>
        <v>-775.5857070004846</v>
      </c>
      <c r="AW78" s="201">
        <f>$I78*'Inputs and Assumptions'!$C$15</f>
        <v>2435184.8283366882</v>
      </c>
      <c r="AX78" s="199"/>
      <c r="AY78" s="390">
        <f>CHOOSE(gen_choice,'Generation Calculations'!$O81,'Generation Calculations'!$P81)</f>
        <v>7.622886705620073E-2</v>
      </c>
      <c r="AZ78" s="391">
        <f t="shared" si="30"/>
        <v>0.01</v>
      </c>
      <c r="BA78" s="392">
        <f t="shared" si="58"/>
        <v>2.7153949851574169E-2</v>
      </c>
      <c r="BB78" s="211">
        <f t="shared" si="59"/>
        <v>3.0093199339322004E-5</v>
      </c>
      <c r="BC78" s="211">
        <f t="shared" si="60"/>
        <v>0.11341291010711421</v>
      </c>
      <c r="BD78" s="201">
        <f t="shared" si="61"/>
        <v>699833.04719515215</v>
      </c>
      <c r="BE78" s="201">
        <f t="shared" si="62"/>
        <v>1964630.5825773792</v>
      </c>
      <c r="BF78" s="201">
        <f t="shared" si="63"/>
        <v>257727.89999999997</v>
      </c>
      <c r="BG78" s="201">
        <f t="shared" si="64"/>
        <v>-775.5857070004846</v>
      </c>
      <c r="BH78" s="201">
        <f>$M78*'Inputs and Assumptions'!$C$15</f>
        <v>2922967.1154795317</v>
      </c>
      <c r="BI78" s="199"/>
      <c r="BJ78" s="390">
        <f>CHOOSE(gen_choice,'Generation Calculations'!$O81,'Generation Calculations'!$P81)</f>
        <v>7.622886705620073E-2</v>
      </c>
      <c r="BK78" s="391">
        <f t="shared" si="31"/>
        <v>0.01</v>
      </c>
      <c r="BL78" s="392">
        <f t="shared" si="65"/>
        <v>1.3397001190060071E-2</v>
      </c>
      <c r="BM78" s="211">
        <f t="shared" si="66"/>
        <v>3.0093199339322004E-5</v>
      </c>
      <c r="BN78" s="211">
        <f t="shared" si="67"/>
        <v>9.9655961445600114E-2</v>
      </c>
      <c r="BO78" s="201">
        <f t="shared" si="68"/>
        <v>345278.09830116824</v>
      </c>
      <c r="BP78" s="201">
        <f t="shared" si="69"/>
        <v>1964630.5825773792</v>
      </c>
      <c r="BQ78" s="201">
        <f t="shared" si="70"/>
        <v>257727.89999999997</v>
      </c>
      <c r="BR78" s="201">
        <f t="shared" si="71"/>
        <v>-775.5857070004846</v>
      </c>
      <c r="BS78" s="201">
        <f t="shared" si="72"/>
        <v>2568412.1665855478</v>
      </c>
      <c r="BT78" s="199"/>
      <c r="BU78" s="390">
        <f>CHOOSE(gen_choice,'Generation Calculations'!$O81,'Generation Calculations'!$P81)</f>
        <v>7.622886705620073E-2</v>
      </c>
      <c r="BV78" s="391">
        <f t="shared" si="32"/>
        <v>0.01</v>
      </c>
      <c r="BW78" s="392">
        <f t="shared" si="73"/>
        <v>4.047337642298944E-2</v>
      </c>
      <c r="BX78" s="211">
        <f t="shared" si="74"/>
        <v>3.0093199339322004E-5</v>
      </c>
      <c r="BY78" s="211">
        <f t="shared" si="75"/>
        <v>0.12673233667852948</v>
      </c>
      <c r="BZ78" s="201">
        <f t="shared" si="76"/>
        <v>1043111.8311406579</v>
      </c>
      <c r="CA78" s="201">
        <f t="shared" si="77"/>
        <v>1964630.5825773792</v>
      </c>
      <c r="CB78" s="201">
        <f t="shared" si="78"/>
        <v>257727.89999999997</v>
      </c>
      <c r="CC78" s="201">
        <f t="shared" si="79"/>
        <v>-775.5857070004846</v>
      </c>
      <c r="CD78" s="201">
        <f>$Z78*'Inputs and Assumptions'!$C$15</f>
        <v>3266245.8994250377</v>
      </c>
    </row>
    <row r="79" spans="1:82">
      <c r="A79" s="89" t="s">
        <v>65</v>
      </c>
      <c r="B79" s="73" t="s">
        <v>28</v>
      </c>
      <c r="C79" s="73">
        <v>1</v>
      </c>
      <c r="D79" s="177">
        <f>'Test Year 2001 Sales and Revs.'!J82</f>
        <v>18241910</v>
      </c>
      <c r="E79" s="201">
        <f t="shared" si="33"/>
        <v>698096.44258301286</v>
      </c>
      <c r="F79" s="199"/>
      <c r="G79" s="238">
        <v>3.7569999999999999E-2</v>
      </c>
      <c r="H79" s="224">
        <f t="shared" si="80"/>
        <v>685348.55869999994</v>
      </c>
      <c r="I79" s="154">
        <f t="shared" si="34"/>
        <v>2.1802295422778938E-4</v>
      </c>
      <c r="J79" s="201">
        <f t="shared" si="35"/>
        <v>536277.41104527994</v>
      </c>
      <c r="K79" s="199"/>
      <c r="L79" s="381">
        <v>1827109.7056</v>
      </c>
      <c r="M79" s="154">
        <f t="shared" si="36"/>
        <v>2.6169427396720708E-4</v>
      </c>
      <c r="N79" s="201">
        <f t="shared" si="37"/>
        <v>643697.02825822949</v>
      </c>
      <c r="O79" s="199"/>
      <c r="P79" s="223">
        <f t="shared" si="38"/>
        <v>3.8569434685105937E-2</v>
      </c>
      <c r="Q79" s="224">
        <f t="shared" si="81"/>
        <v>703580.15627658088</v>
      </c>
      <c r="R79" s="199"/>
      <c r="S79" s="331">
        <f>$D79/SUM($D$78:$D$81,$D$83)</f>
        <v>3.9943541861386551E-2</v>
      </c>
      <c r="T79" s="383">
        <v>13618047.536549391</v>
      </c>
      <c r="U79" s="340">
        <f t="shared" si="40"/>
        <v>543953.05184651259</v>
      </c>
      <c r="V79" s="154">
        <f t="shared" si="41"/>
        <v>3.3683132197463229E-4</v>
      </c>
      <c r="W79" s="383">
        <v>9412444.412421314</v>
      </c>
      <c r="X79" s="340">
        <f t="shared" si="42"/>
        <v>375966.36740552471</v>
      </c>
      <c r="Y79" s="154">
        <f t="shared" si="43"/>
        <v>2.4802496650138376E-4</v>
      </c>
      <c r="Z79" s="154">
        <f t="shared" si="44"/>
        <v>2.92428144238008E-4</v>
      </c>
      <c r="AA79" s="157">
        <f>$Z79*'Inputs and Assumptions'!$C$6</f>
        <v>719294.02417365229</v>
      </c>
      <c r="AB79" s="252"/>
      <c r="AC79" s="390">
        <f>CHOOSE(gen_choice,'Generation Calculations'!$O82,'Generation Calculations'!$P82)</f>
        <v>6.9467582287187871E-2</v>
      </c>
      <c r="AD79" s="391">
        <f t="shared" si="28"/>
        <v>0.01</v>
      </c>
      <c r="AE79" s="392">
        <f t="shared" si="45"/>
        <v>2.6900687918182536E-2</v>
      </c>
      <c r="AF79" s="211">
        <f t="shared" si="46"/>
        <v>1.5014276519780825E-5</v>
      </c>
      <c r="AG79" s="211">
        <f t="shared" si="47"/>
        <v>0.10638328448189019</v>
      </c>
      <c r="AH79" s="201">
        <f t="shared" si="48"/>
        <v>490719.9279415732</v>
      </c>
      <c r="AI79" s="407">
        <f>CHOOSE(gen_choice,'Generation Calculations'!$M82,'Generation Calculations'!$N82)</f>
        <v>1267221.3840004753</v>
      </c>
      <c r="AJ79" s="201">
        <f t="shared" si="49"/>
        <v>182419.1</v>
      </c>
      <c r="AK79" s="217">
        <f>CHOOSE(gen_choice,'Generation Calculations'!K82,'Generation Calculations'!L82)</f>
        <v>-273.88908098895502</v>
      </c>
      <c r="AL79" s="201">
        <f t="shared" si="50"/>
        <v>1940634.3010230374</v>
      </c>
      <c r="AM79" s="199"/>
      <c r="AN79" s="390">
        <f>CHOOSE(gen_choice,'Generation Calculations'!$O82,'Generation Calculations'!$P82)</f>
        <v>6.9467582287187871E-2</v>
      </c>
      <c r="AO79" s="391">
        <f t="shared" si="29"/>
        <v>0.01</v>
      </c>
      <c r="AP79" s="392">
        <f t="shared" si="51"/>
        <v>1.5004062751666769E-2</v>
      </c>
      <c r="AQ79" s="211">
        <f t="shared" si="52"/>
        <v>1.5014276519780825E-5</v>
      </c>
      <c r="AR79" s="211">
        <f t="shared" si="53"/>
        <v>9.4486659315374422E-2</v>
      </c>
      <c r="AS79" s="201">
        <f t="shared" si="54"/>
        <v>273702.76235025754</v>
      </c>
      <c r="AT79" s="201">
        <f t="shared" si="55"/>
        <v>1267221.3840004753</v>
      </c>
      <c r="AU79" s="201">
        <f t="shared" si="56"/>
        <v>182419.1</v>
      </c>
      <c r="AV79" s="201">
        <f t="shared" si="57"/>
        <v>-273.88908098895502</v>
      </c>
      <c r="AW79" s="201">
        <f>$I79*'Inputs and Assumptions'!$C$15</f>
        <v>1723617.1354317218</v>
      </c>
      <c r="AX79" s="199"/>
      <c r="AY79" s="390">
        <f>CHOOSE(gen_choice,'Generation Calculations'!$O82,'Generation Calculations'!$P82)</f>
        <v>6.9467582287187871E-2</v>
      </c>
      <c r="AZ79" s="391">
        <f t="shared" si="30"/>
        <v>0.01</v>
      </c>
      <c r="BA79" s="392">
        <f t="shared" si="58"/>
        <v>3.3930313543406559E-2</v>
      </c>
      <c r="BB79" s="211">
        <f t="shared" si="59"/>
        <v>1.5014276519780825E-5</v>
      </c>
      <c r="BC79" s="211">
        <f t="shared" si="60"/>
        <v>0.11341291010711421</v>
      </c>
      <c r="BD79" s="201">
        <f t="shared" si="61"/>
        <v>618953.72593060357</v>
      </c>
      <c r="BE79" s="201">
        <f t="shared" si="62"/>
        <v>1267221.3840004753</v>
      </c>
      <c r="BF79" s="201">
        <f t="shared" si="63"/>
        <v>182419.1</v>
      </c>
      <c r="BG79" s="201">
        <f t="shared" si="64"/>
        <v>-273.88908098895502</v>
      </c>
      <c r="BH79" s="201">
        <f>$M79*'Inputs and Assumptions'!$C$15</f>
        <v>2068868.0990120678</v>
      </c>
      <c r="BI79" s="199"/>
      <c r="BJ79" s="390">
        <f>CHOOSE(gen_choice,'Generation Calculations'!$O82,'Generation Calculations'!$P82)</f>
        <v>6.9467582287187871E-2</v>
      </c>
      <c r="BK79" s="391">
        <f t="shared" si="31"/>
        <v>0.01</v>
      </c>
      <c r="BL79" s="392">
        <f t="shared" si="65"/>
        <v>2.0173364881892461E-2</v>
      </c>
      <c r="BM79" s="211">
        <f t="shared" si="66"/>
        <v>1.5014276519780825E-5</v>
      </c>
      <c r="BN79" s="211">
        <f t="shared" si="67"/>
        <v>9.9655961445600114E-2</v>
      </c>
      <c r="BO79" s="201">
        <f t="shared" si="68"/>
        <v>368000.7065726429</v>
      </c>
      <c r="BP79" s="201">
        <f t="shared" si="69"/>
        <v>1267221.3840004753</v>
      </c>
      <c r="BQ79" s="201">
        <f t="shared" si="70"/>
        <v>182419.1</v>
      </c>
      <c r="BR79" s="201">
        <f t="shared" si="71"/>
        <v>-273.88908098895502</v>
      </c>
      <c r="BS79" s="201">
        <f t="shared" si="72"/>
        <v>1817915.0796541071</v>
      </c>
      <c r="BT79" s="199"/>
      <c r="BU79" s="390">
        <f>CHOOSE(gen_choice,'Generation Calculations'!$O82,'Generation Calculations'!$P82)</f>
        <v>6.9467582287187871E-2</v>
      </c>
      <c r="BV79" s="391">
        <f t="shared" si="32"/>
        <v>0.01</v>
      </c>
      <c r="BW79" s="392">
        <f t="shared" si="73"/>
        <v>4.7249740114821859E-2</v>
      </c>
      <c r="BX79" s="211">
        <f t="shared" si="74"/>
        <v>1.5014276519780825E-5</v>
      </c>
      <c r="BY79" s="211">
        <f t="shared" si="75"/>
        <v>0.12673233667852951</v>
      </c>
      <c r="BZ79" s="201">
        <f t="shared" si="76"/>
        <v>861925.50669796998</v>
      </c>
      <c r="CA79" s="201">
        <f t="shared" si="77"/>
        <v>1267221.3840004753</v>
      </c>
      <c r="CB79" s="201">
        <f t="shared" si="78"/>
        <v>182419.1</v>
      </c>
      <c r="CC79" s="201">
        <f t="shared" si="79"/>
        <v>-273.88908098895502</v>
      </c>
      <c r="CD79" s="201">
        <f>$Z79*'Inputs and Assumptions'!$C$15</f>
        <v>2311839.8797794343</v>
      </c>
    </row>
    <row r="80" spans="1:82">
      <c r="A80" s="89" t="s">
        <v>66</v>
      </c>
      <c r="B80" s="73" t="s">
        <v>28</v>
      </c>
      <c r="C80" s="73">
        <v>1</v>
      </c>
      <c r="D80" s="177">
        <f>'Test Year 2001 Sales and Revs.'!J83</f>
        <v>374866115.00000006</v>
      </c>
      <c r="E80" s="201">
        <f t="shared" si="33"/>
        <v>14345685.365535442</v>
      </c>
      <c r="F80" s="199"/>
      <c r="G80" s="238">
        <f>G79</f>
        <v>3.7569999999999999E-2</v>
      </c>
      <c r="H80" s="224">
        <f t="shared" si="80"/>
        <v>14083719.940550001</v>
      </c>
      <c r="I80" s="154">
        <f t="shared" si="34"/>
        <v>4.4803103311108457E-3</v>
      </c>
      <c r="J80" s="201">
        <f t="shared" si="35"/>
        <v>11020349.823061412</v>
      </c>
      <c r="K80" s="199"/>
      <c r="L80" s="381">
        <v>37546590.078400008</v>
      </c>
      <c r="M80" s="154">
        <f t="shared" si="36"/>
        <v>5.3777436573161797E-3</v>
      </c>
      <c r="N80" s="201">
        <f t="shared" si="37"/>
        <v>13227792.715796085</v>
      </c>
      <c r="O80" s="199"/>
      <c r="P80" s="223">
        <f t="shared" si="38"/>
        <v>3.8569434685105937E-2</v>
      </c>
      <c r="Q80" s="224">
        <f t="shared" si="81"/>
        <v>14458374.138151914</v>
      </c>
      <c r="R80" s="199"/>
      <c r="S80" s="331">
        <f>$D80/SUM($D$78:$D$81,$D$83)</f>
        <v>0.82082854026348373</v>
      </c>
      <c r="T80" s="383">
        <v>13618047.536549391</v>
      </c>
      <c r="U80" s="340">
        <f t="shared" si="40"/>
        <v>11178082.080664568</v>
      </c>
      <c r="V80" s="154">
        <f t="shared" si="41"/>
        <v>6.9217888411325645E-3</v>
      </c>
      <c r="W80" s="383">
        <v>9412444.412421314</v>
      </c>
      <c r="X80" s="340">
        <f t="shared" si="42"/>
        <v>7726003.0073589711</v>
      </c>
      <c r="Y80" s="154">
        <f t="shared" si="43"/>
        <v>5.0968432371050441E-3</v>
      </c>
      <c r="Z80" s="154">
        <f t="shared" si="44"/>
        <v>6.0093160391188043E-3</v>
      </c>
      <c r="AA80" s="157">
        <f>$Z80*'Inputs and Assumptions'!$C$6</f>
        <v>14781289.69963634</v>
      </c>
      <c r="AB80" s="252"/>
      <c r="AC80" s="390">
        <f>CHOOSE(gen_choice,'Generation Calculations'!$O85,'Generation Calculations'!$P85)</f>
        <v>7.2100486810143943E-2</v>
      </c>
      <c r="AD80" s="391">
        <f t="shared" si="28"/>
        <v>0.01</v>
      </c>
      <c r="AE80" s="392">
        <f t="shared" si="45"/>
        <v>2.4259094767029601E-2</v>
      </c>
      <c r="AF80" s="211">
        <f t="shared" si="46"/>
        <v>2.3702904716645968E-5</v>
      </c>
      <c r="AG80" s="211">
        <f t="shared" si="47"/>
        <v>0.10638328448189019</v>
      </c>
      <c r="AH80" s="201">
        <f t="shared" si="48"/>
        <v>9093912.6087332182</v>
      </c>
      <c r="AI80" s="407">
        <f>CHOOSE(gen_choice,'Generation Calculations'!$M83,'Generation Calculations'!$N83)</f>
        <v>0</v>
      </c>
      <c r="AJ80" s="201">
        <f t="shared" si="49"/>
        <v>3748661.1500000008</v>
      </c>
      <c r="AK80" s="217">
        <f>CHOOSE(gen_choice,'Generation Calculations'!K83,'Generation Calculations'!L83)</f>
        <v>-8885.4158053442516</v>
      </c>
      <c r="AL80" s="201">
        <f t="shared" si="50"/>
        <v>39879488.554665968</v>
      </c>
      <c r="AM80" s="199"/>
      <c r="AN80" s="390">
        <f>CHOOSE(gen_choice,'Generation Calculations'!$O85,'Generation Calculations'!$P85)</f>
        <v>7.2100486810143943E-2</v>
      </c>
      <c r="AO80" s="391">
        <f t="shared" si="29"/>
        <v>0.01</v>
      </c>
      <c r="AP80" s="392">
        <f t="shared" si="51"/>
        <v>1.2362469600513834E-2</v>
      </c>
      <c r="AQ80" s="211">
        <f t="shared" si="52"/>
        <v>2.3702904716645968E-5</v>
      </c>
      <c r="AR80" s="211">
        <f t="shared" si="53"/>
        <v>9.4486659315374422E-2</v>
      </c>
      <c r="AS80" s="201">
        <f t="shared" si="54"/>
        <v>4634270.950950224</v>
      </c>
      <c r="AT80" s="201">
        <f t="shared" si="55"/>
        <v>0</v>
      </c>
      <c r="AU80" s="201">
        <f t="shared" si="56"/>
        <v>3748661.1500000008</v>
      </c>
      <c r="AV80" s="201">
        <f t="shared" si="57"/>
        <v>-8885.4158053442516</v>
      </c>
      <c r="AW80" s="201">
        <f>$I80*'Inputs and Assumptions'!$C$15</f>
        <v>35419846.896882974</v>
      </c>
      <c r="AX80" s="199"/>
      <c r="AY80" s="390">
        <f>CHOOSE(gen_choice,'Generation Calculations'!$O85,'Generation Calculations'!$P85)</f>
        <v>7.2100486810143943E-2</v>
      </c>
      <c r="AZ80" s="391">
        <f t="shared" si="30"/>
        <v>0.01</v>
      </c>
      <c r="BA80" s="392">
        <f t="shared" si="58"/>
        <v>3.1288720392253652E-2</v>
      </c>
      <c r="BB80" s="211">
        <f t="shared" si="59"/>
        <v>2.3702904716645968E-5</v>
      </c>
      <c r="BC80" s="211">
        <f t="shared" si="60"/>
        <v>0.11341291010711424</v>
      </c>
      <c r="BD80" s="201">
        <f t="shared" si="61"/>
        <v>11729081.056765405</v>
      </c>
      <c r="BE80" s="201">
        <f t="shared" si="62"/>
        <v>0</v>
      </c>
      <c r="BF80" s="201">
        <f t="shared" si="63"/>
        <v>3748661.1500000008</v>
      </c>
      <c r="BG80" s="201">
        <f t="shared" si="64"/>
        <v>-8885.4158053442516</v>
      </c>
      <c r="BH80" s="201">
        <f>$M80*'Inputs and Assumptions'!$C$15</f>
        <v>42514657.002698153</v>
      </c>
      <c r="BI80" s="199"/>
      <c r="BJ80" s="390">
        <f>CHOOSE(gen_choice,'Generation Calculations'!$O85,'Generation Calculations'!$P85)</f>
        <v>7.2100486810143943E-2</v>
      </c>
      <c r="BK80" s="391">
        <f t="shared" si="31"/>
        <v>0.01</v>
      </c>
      <c r="BL80" s="392">
        <f t="shared" si="65"/>
        <v>1.7531771730739526E-2</v>
      </c>
      <c r="BM80" s="211">
        <f t="shared" si="66"/>
        <v>2.3702904716645968E-5</v>
      </c>
      <c r="BN80" s="211">
        <f t="shared" si="67"/>
        <v>9.9655961445600114E-2</v>
      </c>
      <c r="BO80" s="201">
        <f t="shared" si="68"/>
        <v>6572067.1577691529</v>
      </c>
      <c r="BP80" s="201">
        <f t="shared" si="69"/>
        <v>0</v>
      </c>
      <c r="BQ80" s="201">
        <f t="shared" si="70"/>
        <v>3748661.1500000008</v>
      </c>
      <c r="BR80" s="201">
        <f t="shared" si="71"/>
        <v>-8885.4158053442516</v>
      </c>
      <c r="BS80" s="201">
        <f t="shared" si="72"/>
        <v>37357643.103701904</v>
      </c>
      <c r="BT80" s="199"/>
      <c r="BU80" s="390">
        <f>CHOOSE(gen_choice,'Generation Calculations'!$O85,'Generation Calculations'!$P85)</f>
        <v>7.2100486810143943E-2</v>
      </c>
      <c r="BV80" s="391">
        <f t="shared" si="32"/>
        <v>0.01</v>
      </c>
      <c r="BW80" s="392">
        <f t="shared" si="73"/>
        <v>4.4608146963668924E-2</v>
      </c>
      <c r="BX80" s="211">
        <f t="shared" si="74"/>
        <v>2.3702904716645968E-5</v>
      </c>
      <c r="BY80" s="211">
        <f t="shared" si="75"/>
        <v>0.12673233667852951</v>
      </c>
      <c r="BZ80" s="201">
        <f t="shared" si="76"/>
        <v>16722082.749619618</v>
      </c>
      <c r="CA80" s="201">
        <f t="shared" si="77"/>
        <v>0</v>
      </c>
      <c r="CB80" s="201">
        <f t="shared" si="78"/>
        <v>3748661.1500000008</v>
      </c>
      <c r="CC80" s="201">
        <f t="shared" si="79"/>
        <v>-8885.4158053442516</v>
      </c>
      <c r="CD80" s="201">
        <f>$Z80*'Inputs and Assumptions'!$C$15</f>
        <v>47507658.695552371</v>
      </c>
    </row>
    <row r="81" spans="1:82">
      <c r="A81" s="89" t="s">
        <v>66</v>
      </c>
      <c r="B81" s="73" t="s">
        <v>27</v>
      </c>
      <c r="C81" s="73">
        <v>2</v>
      </c>
      <c r="D81" s="177">
        <f>'Test Year 2001 Sales and Revs.'!J84</f>
        <v>358622</v>
      </c>
      <c r="E81" s="201">
        <f t="shared" si="33"/>
        <v>13724.042188126421</v>
      </c>
      <c r="F81" s="199"/>
      <c r="G81" s="238">
        <v>3.5740000000000001E-2</v>
      </c>
      <c r="H81" s="224">
        <f t="shared" si="80"/>
        <v>12817.15028</v>
      </c>
      <c r="I81" s="154">
        <f t="shared" si="34"/>
        <v>4.0773894295885649E-6</v>
      </c>
      <c r="J81" s="201">
        <f t="shared" si="35"/>
        <v>10029.273545383594</v>
      </c>
      <c r="K81" s="199"/>
      <c r="L81" s="381">
        <v>34147.986839999998</v>
      </c>
      <c r="M81" s="154">
        <f t="shared" si="36"/>
        <v>4.8909666431884899E-6</v>
      </c>
      <c r="N81" s="201">
        <f t="shared" si="37"/>
        <v>12030.453115397828</v>
      </c>
      <c r="O81" s="199"/>
      <c r="P81" s="248">
        <f>P_Equal</f>
        <v>3.7680738033375391E-2</v>
      </c>
      <c r="Q81" s="224">
        <f t="shared" si="81"/>
        <v>13513.14163500515</v>
      </c>
      <c r="R81" s="199"/>
      <c r="S81" s="331">
        <f>$D81/SUM($D$78:$D$81,$D$83)</f>
        <v>7.8525948595372784E-4</v>
      </c>
      <c r="T81" s="383">
        <v>13618047.536549391</v>
      </c>
      <c r="U81" s="340">
        <f t="shared" si="40"/>
        <v>10693.701008244205</v>
      </c>
      <c r="V81" s="154">
        <f t="shared" si="41"/>
        <v>6.6218461964337386E-6</v>
      </c>
      <c r="W81" s="383">
        <v>9412444.412421314</v>
      </c>
      <c r="X81" s="340">
        <f t="shared" si="42"/>
        <v>7391.2112608659991</v>
      </c>
      <c r="Y81" s="154">
        <f t="shared" si="43"/>
        <v>4.8759811629735725E-6</v>
      </c>
      <c r="Z81" s="154">
        <f t="shared" si="44"/>
        <v>5.748913679703656E-6</v>
      </c>
      <c r="AA81" s="157">
        <f>$Z81*'Inputs and Assumptions'!$C$6</f>
        <v>14140.770431232451</v>
      </c>
      <c r="AB81" s="252"/>
      <c r="AC81" s="215">
        <f>AC80</f>
        <v>7.2100486810143943E-2</v>
      </c>
      <c r="AD81" s="291">
        <f t="shared" si="28"/>
        <v>0.01</v>
      </c>
      <c r="AE81" s="211">
        <f t="shared" si="45"/>
        <v>2.4282797671746265E-2</v>
      </c>
      <c r="AF81" s="211">
        <f t="shared" si="46"/>
        <v>0</v>
      </c>
      <c r="AG81" s="211">
        <f t="shared" si="47"/>
        <v>0.1063832844818902</v>
      </c>
      <c r="AH81" s="201">
        <f t="shared" si="48"/>
        <v>8708.3454666369889</v>
      </c>
      <c r="AI81" s="407">
        <f>CHOOSE(gen_choice,'Generation Calculations'!$M84,'Generation Calculations'!$N84)</f>
        <v>0</v>
      </c>
      <c r="AJ81" s="201">
        <f t="shared" si="49"/>
        <v>3586.2200000000003</v>
      </c>
      <c r="AK81" s="217"/>
      <c r="AL81" s="201">
        <f t="shared" si="50"/>
        <v>38151.386247464427</v>
      </c>
      <c r="AM81" s="199"/>
      <c r="AN81" s="215">
        <f>AN80</f>
        <v>7.2100486810143943E-2</v>
      </c>
      <c r="AO81" s="291">
        <f t="shared" si="29"/>
        <v>0.01</v>
      </c>
      <c r="AP81" s="211">
        <f t="shared" si="51"/>
        <v>7.7838145987323554E-3</v>
      </c>
      <c r="AQ81" s="211">
        <f t="shared" si="52"/>
        <v>0</v>
      </c>
      <c r="AR81" s="211">
        <f t="shared" si="53"/>
        <v>8.9884301408876294E-2</v>
      </c>
      <c r="AS81" s="201">
        <f t="shared" si="54"/>
        <v>2791.4471590265948</v>
      </c>
      <c r="AT81" s="201"/>
      <c r="AU81" s="201">
        <f t="shared" si="56"/>
        <v>3586.2200000000003</v>
      </c>
      <c r="AV81" s="201">
        <f t="shared" si="57"/>
        <v>0</v>
      </c>
      <c r="AW81" s="201">
        <f>$I81*'Inputs and Assumptions'!$C$15</f>
        <v>32234.487939854032</v>
      </c>
      <c r="AX81" s="199"/>
      <c r="AY81" s="215">
        <f>AY80</f>
        <v>7.2100486810143943E-2</v>
      </c>
      <c r="AZ81" s="291">
        <f t="shared" si="30"/>
        <v>0.01</v>
      </c>
      <c r="BA81" s="211">
        <f t="shared" si="58"/>
        <v>2.5718775374355005E-2</v>
      </c>
      <c r="BB81" s="211">
        <f t="shared" si="59"/>
        <v>0</v>
      </c>
      <c r="BC81" s="211">
        <f t="shared" si="60"/>
        <v>0.10781926218449894</v>
      </c>
      <c r="BD81" s="201">
        <f t="shared" si="61"/>
        <v>9223.318662301941</v>
      </c>
      <c r="BE81" s="201">
        <f t="shared" si="62"/>
        <v>0</v>
      </c>
      <c r="BF81" s="201">
        <f t="shared" si="63"/>
        <v>3586.2200000000003</v>
      </c>
      <c r="BG81" s="201">
        <f t="shared" si="64"/>
        <v>0</v>
      </c>
      <c r="BH81" s="201">
        <f>$M81*'Inputs and Assumptions'!$C$15</f>
        <v>38666.359443129382</v>
      </c>
      <c r="BI81" s="199"/>
      <c r="BJ81" s="215">
        <f>BJ80</f>
        <v>7.2100486810143943E-2</v>
      </c>
      <c r="BK81" s="291">
        <f t="shared" si="31"/>
        <v>0.01</v>
      </c>
      <c r="BL81" s="211">
        <f t="shared" si="65"/>
        <v>1.5259254325649729E-2</v>
      </c>
      <c r="BM81" s="211">
        <f t="shared" si="66"/>
        <v>0</v>
      </c>
      <c r="BN81" s="211">
        <f t="shared" si="67"/>
        <v>9.7359741135793668E-2</v>
      </c>
      <c r="BO81" s="201">
        <f t="shared" si="68"/>
        <v>5472.3043047731571</v>
      </c>
      <c r="BP81" s="201">
        <f t="shared" si="69"/>
        <v>0</v>
      </c>
      <c r="BQ81" s="201">
        <f t="shared" si="70"/>
        <v>3586.2200000000003</v>
      </c>
      <c r="BR81" s="201">
        <f t="shared" si="71"/>
        <v>0</v>
      </c>
      <c r="BS81" s="201">
        <f>D81*P_equal_gen</f>
        <v>34915.345085600595</v>
      </c>
      <c r="BT81" s="199"/>
      <c r="BU81" s="215">
        <f>BU80</f>
        <v>7.2100486810143943E-2</v>
      </c>
      <c r="BV81" s="291">
        <f t="shared" si="32"/>
        <v>0.01</v>
      </c>
      <c r="BW81" s="211">
        <f t="shared" si="73"/>
        <v>4.4631849868385601E-2</v>
      </c>
      <c r="BX81" s="211">
        <f t="shared" si="74"/>
        <v>0</v>
      </c>
      <c r="BY81" s="211">
        <f t="shared" si="75"/>
        <v>0.12673233667852954</v>
      </c>
      <c r="BZ81" s="201">
        <f t="shared" si="76"/>
        <v>16005.963263500182</v>
      </c>
      <c r="CA81" s="201">
        <f t="shared" si="77"/>
        <v>0</v>
      </c>
      <c r="CB81" s="201">
        <f t="shared" si="78"/>
        <v>3586.2200000000003</v>
      </c>
      <c r="CC81" s="201">
        <f t="shared" si="79"/>
        <v>0</v>
      </c>
      <c r="CD81" s="201">
        <f>$Z81*'Inputs and Assumptions'!$C$15</f>
        <v>45449.004044327616</v>
      </c>
    </row>
    <row r="82" spans="1:82">
      <c r="A82" s="89" t="s">
        <v>67</v>
      </c>
      <c r="B82" s="73"/>
      <c r="C82" s="73"/>
      <c r="D82" s="176">
        <f>SUM(D80:D81)</f>
        <v>375224737.00000006</v>
      </c>
      <c r="E82" s="201">
        <f t="shared" si="33"/>
        <v>14359409.407723568</v>
      </c>
      <c r="F82" s="199"/>
      <c r="G82" s="238"/>
      <c r="H82" s="224">
        <f>SUM(H80:H81)</f>
        <v>14096537.090830002</v>
      </c>
      <c r="I82" s="154">
        <f t="shared" si="34"/>
        <v>4.484387720540434E-3</v>
      </c>
      <c r="J82" s="201">
        <f t="shared" si="35"/>
        <v>11030379.096606795</v>
      </c>
      <c r="K82" s="199"/>
      <c r="L82" s="381">
        <v>37580738.065240011</v>
      </c>
      <c r="M82" s="154">
        <f t="shared" si="36"/>
        <v>5.3826346239593684E-3</v>
      </c>
      <c r="N82" s="201">
        <f t="shared" si="37"/>
        <v>13239823.168911485</v>
      </c>
      <c r="O82" s="199"/>
      <c r="P82" s="223"/>
      <c r="Q82" s="51">
        <f>SUM(Q80:Q81)</f>
        <v>14471887.279786918</v>
      </c>
      <c r="R82" s="199"/>
      <c r="T82" s="383"/>
      <c r="V82" s="154">
        <f t="shared" si="41"/>
        <v>0</v>
      </c>
      <c r="W82" s="383"/>
      <c r="X82" s="340"/>
      <c r="Y82" s="154">
        <f t="shared" si="43"/>
        <v>0</v>
      </c>
      <c r="Z82" s="154"/>
      <c r="AA82" s="201">
        <f>SUM(AA80:AA81)</f>
        <v>14795430.470067572</v>
      </c>
      <c r="AB82" s="252"/>
      <c r="AC82" s="208"/>
      <c r="AD82" s="291"/>
      <c r="AE82" s="211"/>
      <c r="AF82" s="211"/>
      <c r="AG82" s="211"/>
      <c r="AH82" s="201">
        <f>SUM(AH80:AH81)</f>
        <v>9102620.9541998543</v>
      </c>
      <c r="AI82" s="407">
        <f>CHOOSE(gen_choice,'Generation Calculations'!$M85,'Generation Calculations'!$N85)</f>
        <v>27053886.200908236</v>
      </c>
      <c r="AJ82" s="201">
        <f>SUM(AJ80:AJ81)</f>
        <v>3752247.370000001</v>
      </c>
      <c r="AK82" s="201">
        <f>SUM(AK80:AK81)</f>
        <v>-8885.4158053442516</v>
      </c>
      <c r="AL82" s="201">
        <f>SUM(AL80:AL81)</f>
        <v>39917639.940913431</v>
      </c>
      <c r="AM82" s="199"/>
      <c r="AN82" s="208"/>
      <c r="AO82" s="291"/>
      <c r="AP82" s="211"/>
      <c r="AQ82" s="211"/>
      <c r="AR82" s="211"/>
      <c r="AS82" s="201">
        <f>SUM(AS80:AS81)</f>
        <v>4637062.3981092507</v>
      </c>
      <c r="AT82" s="201">
        <f>$AI82</f>
        <v>27053886.200908236</v>
      </c>
      <c r="AU82" s="201">
        <f>SUM(AU80:AU81)</f>
        <v>3752247.370000001</v>
      </c>
      <c r="AV82" s="201">
        <f t="shared" si="57"/>
        <v>-8885.4158053442516</v>
      </c>
      <c r="AW82" s="201">
        <f>SUM(AW80:AW81)</f>
        <v>35452081.384822831</v>
      </c>
      <c r="AX82" s="199"/>
      <c r="AY82" s="208"/>
      <c r="AZ82" s="291"/>
      <c r="BA82" s="211"/>
      <c r="BB82" s="211"/>
      <c r="BC82" s="211"/>
      <c r="BD82" s="201">
        <f>SUM(BD80:BD81)</f>
        <v>11738304.375427708</v>
      </c>
      <c r="BE82" s="201">
        <f t="shared" ref="BE82:BE88" si="82">$AI82</f>
        <v>27053886.200908236</v>
      </c>
      <c r="BF82" s="201">
        <f>SUM(BF80:BF81)</f>
        <v>3752247.370000001</v>
      </c>
      <c r="BG82" s="201">
        <f t="shared" si="64"/>
        <v>-8885.4158053442516</v>
      </c>
      <c r="BH82" s="201">
        <f>SUM(BH80:BH81)</f>
        <v>42553323.362141281</v>
      </c>
      <c r="BI82" s="199"/>
      <c r="BJ82" s="208"/>
      <c r="BK82" s="291"/>
      <c r="BL82" s="211"/>
      <c r="BM82" s="211"/>
      <c r="BN82" s="211"/>
      <c r="BO82" s="201">
        <f>SUM(BO80:BO81)</f>
        <v>6577539.4620739259</v>
      </c>
      <c r="BP82" s="201">
        <f t="shared" si="69"/>
        <v>27053886.200908236</v>
      </c>
      <c r="BQ82" s="201">
        <f>SUM(BQ80:BQ81)</f>
        <v>3752247.370000001</v>
      </c>
      <c r="BR82" s="201">
        <f t="shared" si="71"/>
        <v>-8885.4158053442516</v>
      </c>
      <c r="BS82" s="201">
        <f>SUM(BS80:BS81)</f>
        <v>37392558.448787503</v>
      </c>
      <c r="BT82" s="199"/>
      <c r="BU82" s="208"/>
      <c r="BV82" s="291"/>
      <c r="BW82" s="211"/>
      <c r="BX82" s="211"/>
      <c r="BY82" s="211"/>
      <c r="BZ82" s="201">
        <f>SUM(BZ80:BZ81)</f>
        <v>16738088.712883119</v>
      </c>
      <c r="CA82" s="201">
        <f t="shared" si="77"/>
        <v>27053886.200908236</v>
      </c>
      <c r="CB82" s="201">
        <f>SUM(CB80:CB81)</f>
        <v>3752247.370000001</v>
      </c>
      <c r="CC82" s="201">
        <f t="shared" si="79"/>
        <v>-8885.4158053442516</v>
      </c>
      <c r="CD82" s="201">
        <f>SUM(CD80:CD81)</f>
        <v>47553107.699596696</v>
      </c>
    </row>
    <row r="83" spans="1:82">
      <c r="A83" s="89" t="s">
        <v>68</v>
      </c>
      <c r="B83" s="73" t="s">
        <v>28</v>
      </c>
      <c r="C83" s="73">
        <v>1</v>
      </c>
      <c r="D83" s="177">
        <f>'Test Year 2001 Sales and Revs.'!J86</f>
        <v>37452913</v>
      </c>
      <c r="E83" s="201">
        <f t="shared" si="33"/>
        <v>1433278.9345891455</v>
      </c>
      <c r="F83" s="199"/>
      <c r="G83" s="238">
        <f>G79</f>
        <v>3.7569999999999999E-2</v>
      </c>
      <c r="H83" s="224">
        <f t="shared" si="80"/>
        <v>1407105.94141</v>
      </c>
      <c r="I83" s="154">
        <f t="shared" si="34"/>
        <v>4.4762827668245146E-4</v>
      </c>
      <c r="J83" s="201">
        <f t="shared" si="35"/>
        <v>1101044.3105872197</v>
      </c>
      <c r="K83" s="199"/>
      <c r="L83" s="381">
        <v>3751283.76608</v>
      </c>
      <c r="M83" s="154">
        <f t="shared" si="36"/>
        <v>5.3729093474816901E-4</v>
      </c>
      <c r="N83" s="201">
        <f t="shared" si="37"/>
        <v>1321590.1623083334</v>
      </c>
      <c r="O83" s="199"/>
      <c r="P83" s="223">
        <f>S_Equal</f>
        <v>3.8569434685105937E-2</v>
      </c>
      <c r="Q83" s="224">
        <f>P83*D83</f>
        <v>1444537.6817204549</v>
      </c>
      <c r="R83" s="199"/>
      <c r="S83" s="331">
        <f>$D83/SUM($D$78:$D$81,$D$83)</f>
        <v>8.2009065840494139E-2</v>
      </c>
      <c r="T83" s="383">
        <v>13618047.536549391</v>
      </c>
      <c r="U83" s="340">
        <f>$S83*T83</f>
        <v>1116803.3570438579</v>
      </c>
      <c r="V83" s="154">
        <f t="shared" si="41"/>
        <v>6.9155665155627277E-4</v>
      </c>
      <c r="W83" s="383">
        <v>9412444.412421314</v>
      </c>
      <c r="X83" s="340">
        <f>$S83*W83</f>
        <v>771905.77353825071</v>
      </c>
      <c r="Y83" s="154">
        <f t="shared" si="43"/>
        <v>5.0922614420333384E-4</v>
      </c>
      <c r="Z83" s="154">
        <f t="shared" ref="Z83:Z91" si="83">AVERAGE(V83,Y83)</f>
        <v>6.0039139787980336E-4</v>
      </c>
      <c r="AA83" s="157">
        <f>$Z83*'Inputs and Assumptions'!$C$6</f>
        <v>1476800.2094515155</v>
      </c>
      <c r="AB83" s="252"/>
      <c r="AC83" s="390">
        <f>CHOOSE(gen_choice,'Generation Calculations'!$O86,'Generation Calculations'!$P86)</f>
        <v>6.0369453650478466E-2</v>
      </c>
      <c r="AD83" s="391">
        <f t="shared" si="28"/>
        <v>0.01</v>
      </c>
      <c r="AE83" s="392">
        <f>AG83-SUM(AC83:AD83,AF83)</f>
        <v>3.5948756275283225E-2</v>
      </c>
      <c r="AF83" s="211">
        <f t="shared" si="46"/>
        <v>6.5074556128502537E-5</v>
      </c>
      <c r="AG83" s="211">
        <f>AL83/$D83</f>
        <v>0.10638328448189019</v>
      </c>
      <c r="AH83" s="201">
        <f>$D83*AE83</f>
        <v>1346385.6412363867</v>
      </c>
      <c r="AI83" s="407">
        <f>CHOOSE(gen_choice,'Generation Calculations'!$M86,'Generation Calculations'!$N86)</f>
        <v>2261011.8954289025</v>
      </c>
      <c r="AJ83" s="201">
        <f>$D83*AD83</f>
        <v>374529.13</v>
      </c>
      <c r="AK83" s="217">
        <f>CHOOSE(gen_choice,'Generation Calculations'!K86,'Generation Calculations'!L86)</f>
        <v>-2437.2316891944224</v>
      </c>
      <c r="AL83" s="201">
        <f t="shared" si="50"/>
        <v>3984363.8983544833</v>
      </c>
      <c r="AM83" s="199"/>
      <c r="AN83" s="390">
        <f>CHOOSE(gen_choice,'Generation Calculations'!$O86,'Generation Calculations'!$P86)</f>
        <v>6.0369453650478466E-2</v>
      </c>
      <c r="AO83" s="391">
        <f t="shared" si="29"/>
        <v>0.01</v>
      </c>
      <c r="AP83" s="392">
        <f>AR83-SUM(AN83:AO83,AQ83)</f>
        <v>2.4052131108767458E-2</v>
      </c>
      <c r="AQ83" s="211">
        <f>AV83/$D83*-1</f>
        <v>6.5074556128502537E-5</v>
      </c>
      <c r="AR83" s="211">
        <f>AW83/$D83</f>
        <v>9.4486659315374422E-2</v>
      </c>
      <c r="AS83" s="201">
        <f>$D83*AP83</f>
        <v>900822.3738812611</v>
      </c>
      <c r="AT83" s="201">
        <f>$AI83</f>
        <v>2261011.8954289025</v>
      </c>
      <c r="AU83" s="201">
        <f>$D83*AO83</f>
        <v>374529.13</v>
      </c>
      <c r="AV83" s="201">
        <f t="shared" si="57"/>
        <v>-2437.2316891944224</v>
      </c>
      <c r="AW83" s="201">
        <f>$I83*'Inputs and Assumptions'!$C$15</f>
        <v>3538800.6309993579</v>
      </c>
      <c r="AX83" s="199"/>
      <c r="AY83" s="390">
        <f>CHOOSE(gen_choice,'Generation Calculations'!$O86,'Generation Calculations'!$P86)</f>
        <v>6.0369453650478466E-2</v>
      </c>
      <c r="AZ83" s="391">
        <f t="shared" si="30"/>
        <v>0.01</v>
      </c>
      <c r="BA83" s="392">
        <f>BC83-SUM(AY83:AZ83,BB83)</f>
        <v>4.2978381900507262E-2</v>
      </c>
      <c r="BB83" s="211">
        <f>BG83/$D83*-1</f>
        <v>6.5074556128502537E-5</v>
      </c>
      <c r="BC83" s="211">
        <f>BH83/$D83</f>
        <v>0.11341291010711423</v>
      </c>
      <c r="BD83" s="201">
        <f>$D83*BA83</f>
        <v>1609665.5982004732</v>
      </c>
      <c r="BE83" s="201">
        <f t="shared" si="82"/>
        <v>2261011.8954289025</v>
      </c>
      <c r="BF83" s="201">
        <f>$D83*AZ83</f>
        <v>374529.13</v>
      </c>
      <c r="BG83" s="201">
        <f t="shared" si="64"/>
        <v>-2437.2316891944224</v>
      </c>
      <c r="BH83" s="201">
        <f>$M83*'Inputs and Assumptions'!$C$15</f>
        <v>4247643.8553185696</v>
      </c>
      <c r="BI83" s="199"/>
      <c r="BJ83" s="390">
        <f>CHOOSE(gen_choice,'Generation Calculations'!$O86,'Generation Calculations'!$P86)</f>
        <v>6.0369453650478466E-2</v>
      </c>
      <c r="BK83" s="391">
        <f t="shared" si="31"/>
        <v>0.01</v>
      </c>
      <c r="BL83" s="392">
        <f>BN83-SUM(BJ83:BK83,BM83)</f>
        <v>2.922143323899315E-2</v>
      </c>
      <c r="BM83" s="211">
        <f>BR83/$D83*-1</f>
        <v>6.5074556128502537E-5</v>
      </c>
      <c r="BN83" s="211">
        <f>BS83/$D83</f>
        <v>9.9655961445600114E-2</v>
      </c>
      <c r="BO83" s="201">
        <f>$D83*BL83</f>
        <v>1094427.7968353187</v>
      </c>
      <c r="BP83" s="201">
        <f t="shared" si="69"/>
        <v>2261011.8954289025</v>
      </c>
      <c r="BQ83" s="201">
        <f>$D83*BK83</f>
        <v>374529.13</v>
      </c>
      <c r="BR83" s="201">
        <f t="shared" si="71"/>
        <v>-2437.2316891944224</v>
      </c>
      <c r="BS83" s="201">
        <f>D83*s_equal_gen</f>
        <v>3732406.0539534152</v>
      </c>
      <c r="BT83" s="199"/>
      <c r="BU83" s="390">
        <f>CHOOSE(gen_choice,'Generation Calculations'!$O86,'Generation Calculations'!$P86)</f>
        <v>6.0369453650478466E-2</v>
      </c>
      <c r="BV83" s="391">
        <f t="shared" si="32"/>
        <v>0.01</v>
      </c>
      <c r="BW83" s="392">
        <f>BY83-SUM(BU83:BV83,BX83)</f>
        <v>5.629780847192252E-2</v>
      </c>
      <c r="BX83" s="211">
        <f>CC83/$D83*-1</f>
        <v>6.5074556128502537E-5</v>
      </c>
      <c r="BY83" s="211">
        <f>CD83/$D83</f>
        <v>0.12673233667852948</v>
      </c>
      <c r="BZ83" s="201">
        <f>$D83*BW83</f>
        <v>2108516.9227895769</v>
      </c>
      <c r="CA83" s="201">
        <f t="shared" si="77"/>
        <v>2261011.8954289025</v>
      </c>
      <c r="CB83" s="201">
        <f>$D83*BV83</f>
        <v>374529.13</v>
      </c>
      <c r="CC83" s="201">
        <f t="shared" si="79"/>
        <v>-2437.2316891944224</v>
      </c>
      <c r="CD83" s="201">
        <f>$Z83*'Inputs and Assumptions'!$C$15</f>
        <v>4746495.179907674</v>
      </c>
    </row>
    <row r="84" spans="1:82">
      <c r="A84" s="105" t="s">
        <v>69</v>
      </c>
      <c r="B84" s="73" t="s">
        <v>28</v>
      </c>
      <c r="C84" s="73">
        <v>1</v>
      </c>
      <c r="D84" s="177">
        <f>'Test Year 2001 Sales and Revs.'!J87</f>
        <v>1949345963.9999998</v>
      </c>
      <c r="E84" s="201">
        <f t="shared" si="33"/>
        <v>74599177.544015601</v>
      </c>
      <c r="F84" s="199"/>
      <c r="G84" s="238">
        <f>0.03841</f>
        <v>3.841E-2</v>
      </c>
      <c r="H84" s="224">
        <f t="shared" si="80"/>
        <v>74874378.477239996</v>
      </c>
      <c r="I84" s="154">
        <f t="shared" si="34"/>
        <v>2.3819023158875838E-2</v>
      </c>
      <c r="J84" s="201">
        <f t="shared" si="35"/>
        <v>58588345.059867851</v>
      </c>
      <c r="K84" s="199"/>
      <c r="L84" s="381">
        <v>205012715.03387997</v>
      </c>
      <c r="M84" s="154">
        <f t="shared" si="36"/>
        <v>2.9363673921932856E-2</v>
      </c>
      <c r="N84" s="201">
        <f t="shared" si="37"/>
        <v>72226684.045293152</v>
      </c>
      <c r="O84" s="199"/>
      <c r="P84" s="223">
        <f>S_Equal</f>
        <v>3.8569434685105937E-2</v>
      </c>
      <c r="Q84" s="224">
        <f>P84*D84</f>
        <v>75185171.837172866</v>
      </c>
      <c r="R84" s="199"/>
      <c r="S84" s="331">
        <f>$D84/SUM($D$84:$D$86,$D$88)</f>
        <v>0.86337198401880277</v>
      </c>
      <c r="T84" s="383">
        <v>52782541.948844828</v>
      </c>
      <c r="U84" s="340">
        <f>$S84*T84</f>
        <v>45570967.963929847</v>
      </c>
      <c r="V84" s="154">
        <f t="shared" si="41"/>
        <v>2.8218849643085273E-2</v>
      </c>
      <c r="W84" s="383">
        <v>46658771.297135189</v>
      </c>
      <c r="X84" s="340">
        <f>$S84*W84</f>
        <v>40283875.946687177</v>
      </c>
      <c r="Y84" s="154">
        <f t="shared" si="43"/>
        <v>2.6575268025094537E-2</v>
      </c>
      <c r="Z84" s="154">
        <f t="shared" si="83"/>
        <v>2.7397058834089903E-2</v>
      </c>
      <c r="AA84" s="157">
        <f>$Z84*'Inputs and Assumptions'!$C$6</f>
        <v>67389343.630535215</v>
      </c>
      <c r="AB84" s="252"/>
      <c r="AC84" s="390">
        <f>CHOOSE(gen_choice,'Generation Calculations'!$O89,'Generation Calculations'!$P89)</f>
        <v>4.8359284101297986E-2</v>
      </c>
      <c r="AD84" s="391">
        <f t="shared" si="28"/>
        <v>0.01</v>
      </c>
      <c r="AE84" s="392">
        <f>AG84-SUM(AC84:AD84,AF84)</f>
        <v>4.7936238029744185E-2</v>
      </c>
      <c r="AF84" s="211">
        <f t="shared" si="46"/>
        <v>8.7762350848012431E-5</v>
      </c>
      <c r="AG84" s="211">
        <f>AL84/$D84</f>
        <v>0.10638328448189019</v>
      </c>
      <c r="AH84" s="201">
        <f>$D84*AE84</f>
        <v>93444312.132625133</v>
      </c>
      <c r="AI84" s="407">
        <f>CHOOSE(gen_choice,'Generation Calculations'!$M87,'Generation Calculations'!$N87)</f>
        <v>0</v>
      </c>
      <c r="AJ84" s="157">
        <f>$D84*AD84</f>
        <v>19493459.639999997</v>
      </c>
      <c r="AK84" s="217">
        <f>CHOOSE(gen_choice,'Generation Calculations'!K87,'Generation Calculations'!L87)</f>
        <v>-171079.18441672498</v>
      </c>
      <c r="AL84" s="201">
        <f t="shared" si="50"/>
        <v>207377826.24183646</v>
      </c>
      <c r="AM84" s="199"/>
      <c r="AN84" s="390">
        <f>CHOOSE(gen_choice,'Generation Calculations'!$O89,'Generation Calculations'!$P89)</f>
        <v>4.8359284101297986E-2</v>
      </c>
      <c r="AO84" s="391">
        <f t="shared" si="29"/>
        <v>0.01</v>
      </c>
      <c r="AP84" s="392">
        <f>AR84-SUM(AN84:AO84,AQ84)</f>
        <v>3.8152170590801351E-2</v>
      </c>
      <c r="AQ84" s="211">
        <f>AV84/$D84*-1</f>
        <v>8.7762350848012431E-5</v>
      </c>
      <c r="AR84" s="211">
        <f>AW84/$D84</f>
        <v>9.6599217042947355E-2</v>
      </c>
      <c r="AS84" s="201">
        <f>$D84*AP84</f>
        <v>74371779.759018108</v>
      </c>
      <c r="AT84" s="157">
        <f>$AI84</f>
        <v>0</v>
      </c>
      <c r="AU84" s="157">
        <f>$D84*AO84</f>
        <v>19493459.639999997</v>
      </c>
      <c r="AV84" s="157">
        <f t="shared" si="57"/>
        <v>-171079.18441672498</v>
      </c>
      <c r="AW84" s="201">
        <f>$I84*'Inputs and Assumptions'!$C$15</f>
        <v>188305293.86822942</v>
      </c>
      <c r="AX84" s="199"/>
      <c r="AY84" s="390">
        <f>CHOOSE(gen_choice,'Generation Calculations'!$O89,'Generation Calculations'!$P89)</f>
        <v>4.8359284101297986E-2</v>
      </c>
      <c r="AZ84" s="391">
        <f t="shared" si="30"/>
        <v>0.01</v>
      </c>
      <c r="BA84" s="392">
        <f>BC84-SUM(AY84:AZ84,BB84)</f>
        <v>6.0638773795110401E-2</v>
      </c>
      <c r="BB84" s="211">
        <f>BG84/$D84*-1</f>
        <v>8.7762350848012431E-5</v>
      </c>
      <c r="BC84" s="211">
        <f>BH84/$D84</f>
        <v>0.1190858202472564</v>
      </c>
      <c r="BD84" s="201">
        <f>$D84*BA84</f>
        <v>118205948.9594074</v>
      </c>
      <c r="BE84" s="157">
        <f t="shared" si="82"/>
        <v>0</v>
      </c>
      <c r="BF84" s="157">
        <f>$D84*AZ84</f>
        <v>19493459.639999997</v>
      </c>
      <c r="BG84" s="157">
        <f t="shared" si="64"/>
        <v>-171079.18441672498</v>
      </c>
      <c r="BH84" s="201">
        <f>$M84*'Inputs and Assumptions'!$C$15</f>
        <v>232139463.06861871</v>
      </c>
      <c r="BI84" s="199"/>
      <c r="BJ84" s="390">
        <f>CHOOSE(gen_choice,'Generation Calculations'!$O89,'Generation Calculations'!$P89)</f>
        <v>4.8359284101297986E-2</v>
      </c>
      <c r="BK84" s="391">
        <f t="shared" si="31"/>
        <v>0.01</v>
      </c>
      <c r="BL84" s="392">
        <f>BN84-SUM(BJ84:BK84,BM84)</f>
        <v>4.120891499345411E-2</v>
      </c>
      <c r="BM84" s="211">
        <f>BR84/$D84*-1</f>
        <v>8.7762350848012431E-5</v>
      </c>
      <c r="BN84" s="211">
        <f>BS84/$D84</f>
        <v>9.9655961445600114E-2</v>
      </c>
      <c r="BO84" s="201">
        <f>$D84*BL84</f>
        <v>80330432.123308852</v>
      </c>
      <c r="BP84" s="157">
        <f t="shared" si="69"/>
        <v>0</v>
      </c>
      <c r="BQ84" s="157">
        <f>$D84*BK84</f>
        <v>19493459.639999997</v>
      </c>
      <c r="BR84" s="157">
        <f t="shared" si="71"/>
        <v>-171079.18441672498</v>
      </c>
      <c r="BS84" s="201">
        <f>D84*s_equal_gen</f>
        <v>194263946.23252016</v>
      </c>
      <c r="BT84" s="199"/>
      <c r="BU84" s="390">
        <f>CHOOSE(gen_choice,'Generation Calculations'!$O89,'Generation Calculations'!$P89)</f>
        <v>4.8359284101297986E-2</v>
      </c>
      <c r="BV84" s="391">
        <f t="shared" si="32"/>
        <v>0.01</v>
      </c>
      <c r="BW84" s="392">
        <f>BY84-SUM(BU84:BV84,BX84)</f>
        <v>5.266306981920299E-2</v>
      </c>
      <c r="BX84" s="211">
        <f>CC84/$D84*-1</f>
        <v>8.7762350848012431E-5</v>
      </c>
      <c r="BY84" s="211">
        <f>CD84/$D84</f>
        <v>0.11111011627134899</v>
      </c>
      <c r="BZ84" s="201">
        <f>$D84*BW84</f>
        <v>102658542.60391355</v>
      </c>
      <c r="CA84" s="157">
        <f t="shared" si="77"/>
        <v>0</v>
      </c>
      <c r="CB84" s="157">
        <f>$D84*BV84</f>
        <v>19493459.639999997</v>
      </c>
      <c r="CC84" s="157">
        <f t="shared" si="79"/>
        <v>-171079.18441672498</v>
      </c>
      <c r="CD84" s="201">
        <f>$Z84*'Inputs and Assumptions'!$C$15</f>
        <v>216592056.71312487</v>
      </c>
    </row>
    <row r="85" spans="1:82">
      <c r="A85" s="105" t="s">
        <v>69</v>
      </c>
      <c r="B85" s="73" t="s">
        <v>27</v>
      </c>
      <c r="C85" s="73">
        <v>2</v>
      </c>
      <c r="D85" s="177">
        <f>'Test Year 2001 Sales and Revs.'!J88-D86</f>
        <v>82732282</v>
      </c>
      <c r="E85" s="201">
        <f t="shared" si="33"/>
        <v>3166067.1361153866</v>
      </c>
      <c r="F85" s="199"/>
      <c r="G85" s="238">
        <f>0.03654</f>
        <v>3.6540000000000003E-2</v>
      </c>
      <c r="H85" s="224">
        <f t="shared" si="80"/>
        <v>3023037.5842800001</v>
      </c>
      <c r="I85" s="154">
        <f t="shared" si="34"/>
        <v>9.6168814612605314E-4</v>
      </c>
      <c r="J85" s="201">
        <f t="shared" si="35"/>
        <v>2365492.3448958523</v>
      </c>
      <c r="K85" s="199"/>
      <c r="L85" s="381">
        <v>8269918.9087199997</v>
      </c>
      <c r="M85" s="154">
        <f t="shared" si="36"/>
        <v>1.1844884945616688E-3</v>
      </c>
      <c r="N85" s="201">
        <f t="shared" si="37"/>
        <v>2913520.8516291534</v>
      </c>
      <c r="O85" s="199"/>
      <c r="P85" s="248">
        <f>P_Equal</f>
        <v>3.7680738033375391E-2</v>
      </c>
      <c r="Q85" s="224">
        <f>P85*D85</f>
        <v>3117413.4449453382</v>
      </c>
      <c r="R85" s="199"/>
      <c r="S85" s="331">
        <f>$D85/SUM($D$84:$D$86,$D$88)</f>
        <v>3.6642410209306024E-2</v>
      </c>
      <c r="T85" s="383">
        <v>52782541.948844828</v>
      </c>
      <c r="U85" s="340">
        <f>$S85*T85</f>
        <v>1934079.5539794753</v>
      </c>
      <c r="V85" s="154">
        <f t="shared" si="41"/>
        <v>1.197637499706199E-3</v>
      </c>
      <c r="W85" s="383">
        <v>46658771.297135189</v>
      </c>
      <c r="X85" s="340">
        <f>$S85*W85</f>
        <v>1709689.8377318212</v>
      </c>
      <c r="Y85" s="154">
        <f t="shared" si="43"/>
        <v>1.1278821764229966E-3</v>
      </c>
      <c r="Z85" s="154">
        <f t="shared" si="83"/>
        <v>1.1627598380645979E-3</v>
      </c>
      <c r="AA85" s="157">
        <f>$Z85*'Inputs and Assumptions'!$C$6</f>
        <v>2860074.2423351305</v>
      </c>
      <c r="AB85" s="252"/>
      <c r="AC85" s="215">
        <f>AC84</f>
        <v>4.8359284101297986E-2</v>
      </c>
      <c r="AD85" s="291">
        <f t="shared" si="28"/>
        <v>0.01</v>
      </c>
      <c r="AE85" s="211">
        <f>AG85-SUM(AC85:AD85,AF85)</f>
        <v>4.8024000380592201E-2</v>
      </c>
      <c r="AF85" s="211">
        <f t="shared" si="46"/>
        <v>0</v>
      </c>
      <c r="AG85" s="211">
        <f>AL85/$D85</f>
        <v>0.10638328448189019</v>
      </c>
      <c r="AH85" s="201">
        <f>$D85*AE85</f>
        <v>3973135.1422552611</v>
      </c>
      <c r="AI85" s="407">
        <f>CHOOSE(gen_choice,'Generation Calculations'!$M88,'Generation Calculations'!$N88)</f>
        <v>0</v>
      </c>
      <c r="AJ85" s="157">
        <f>$D85*AD85</f>
        <v>827322.82000000007</v>
      </c>
      <c r="AK85" s="217"/>
      <c r="AL85" s="201">
        <f t="shared" si="50"/>
        <v>8801331.8918419629</v>
      </c>
      <c r="AM85" s="199"/>
      <c r="AN85" s="215">
        <f>AN84</f>
        <v>4.8359284101297986E-2</v>
      </c>
      <c r="AO85" s="291">
        <f t="shared" si="29"/>
        <v>0.01</v>
      </c>
      <c r="AP85" s="211">
        <f>AR85-SUM(AN85:AO85,AQ85)</f>
        <v>3.3536977048123938E-2</v>
      </c>
      <c r="AQ85" s="211">
        <f>AV85/$D85*-1</f>
        <v>0</v>
      </c>
      <c r="AR85" s="211">
        <f>AW85/$D85</f>
        <v>9.1896261149421926E-2</v>
      </c>
      <c r="AS85" s="201">
        <f>$D85*AP85</f>
        <v>2774590.642572917</v>
      </c>
      <c r="AT85" s="157">
        <f>$AI85</f>
        <v>0</v>
      </c>
      <c r="AU85" s="157">
        <f>$D85*AO85</f>
        <v>827322.82000000007</v>
      </c>
      <c r="AV85" s="157">
        <f t="shared" si="57"/>
        <v>0</v>
      </c>
      <c r="AW85" s="201">
        <f>$I85*'Inputs and Assumptions'!$C$15</f>
        <v>7602787.3921596194</v>
      </c>
      <c r="AX85" s="199"/>
      <c r="AY85" s="215">
        <f>AY84</f>
        <v>4.8359284101297986E-2</v>
      </c>
      <c r="AZ85" s="291">
        <f t="shared" si="30"/>
        <v>0.01</v>
      </c>
      <c r="BA85" s="211">
        <f>BC85-SUM(AY85:AZ85,BB85)</f>
        <v>5.4827162527167829E-2</v>
      </c>
      <c r="BB85" s="211">
        <f>BG85/$D85*-1</f>
        <v>0</v>
      </c>
      <c r="BC85" s="211">
        <f>BH85/$D85</f>
        <v>0.11318644662846582</v>
      </c>
      <c r="BD85" s="201">
        <f>$D85*BA85</f>
        <v>4535976.2714574812</v>
      </c>
      <c r="BE85" s="157">
        <f t="shared" si="82"/>
        <v>0</v>
      </c>
      <c r="BF85" s="157">
        <f>$D85*AZ85</f>
        <v>827322.82000000007</v>
      </c>
      <c r="BG85" s="157">
        <f t="shared" si="64"/>
        <v>0</v>
      </c>
      <c r="BH85" s="201">
        <f>$M85*'Inputs and Assumptions'!$C$15</f>
        <v>9364173.0210441835</v>
      </c>
      <c r="BI85" s="199"/>
      <c r="BJ85" s="215">
        <f>BJ84</f>
        <v>4.8359284101297986E-2</v>
      </c>
      <c r="BK85" s="291">
        <f t="shared" si="31"/>
        <v>0.01</v>
      </c>
      <c r="BL85" s="211">
        <f>BN85-SUM(BJ85:BK85,BM85)</f>
        <v>3.9000457034495679E-2</v>
      </c>
      <c r="BM85" s="211">
        <f>BR85/$D85*-1</f>
        <v>0</v>
      </c>
      <c r="BN85" s="211">
        <f>BS85/$D85</f>
        <v>9.7359741135793668E-2</v>
      </c>
      <c r="BO85" s="201">
        <f>$D85*BL85</f>
        <v>3226596.8095067805</v>
      </c>
      <c r="BP85" s="157">
        <f t="shared" si="69"/>
        <v>0</v>
      </c>
      <c r="BQ85" s="157">
        <f>$D85*BK85</f>
        <v>827322.82000000007</v>
      </c>
      <c r="BR85" s="157">
        <f t="shared" si="71"/>
        <v>0</v>
      </c>
      <c r="BS85" s="201">
        <f>D85*P_equal_gen</f>
        <v>8054793.5590934819</v>
      </c>
      <c r="BT85" s="199"/>
      <c r="BU85" s="215">
        <f>BU84</f>
        <v>4.8359284101297986E-2</v>
      </c>
      <c r="BV85" s="291">
        <f t="shared" si="32"/>
        <v>0.01</v>
      </c>
      <c r="BW85" s="211">
        <f>BY85-SUM(BU85:BV85,BX85)</f>
        <v>5.2750832170051033E-2</v>
      </c>
      <c r="BX85" s="211">
        <f>CC85/$D85*-1</f>
        <v>0</v>
      </c>
      <c r="BY85" s="211">
        <f>CD85/$D85</f>
        <v>0.11111011627134902</v>
      </c>
      <c r="BZ85" s="201">
        <f>$D85*BW85</f>
        <v>4364196.722827334</v>
      </c>
      <c r="CA85" s="157">
        <f t="shared" si="77"/>
        <v>0</v>
      </c>
      <c r="CB85" s="157">
        <f>$D85*BV85</f>
        <v>827322.82000000007</v>
      </c>
      <c r="CC85" s="157">
        <f t="shared" si="79"/>
        <v>0</v>
      </c>
      <c r="CD85" s="201">
        <f>$Z85*'Inputs and Assumptions'!$C$15</f>
        <v>9192393.4724140354</v>
      </c>
    </row>
    <row r="86" spans="1:82">
      <c r="A86" s="105" t="s">
        <v>69</v>
      </c>
      <c r="B86" s="73" t="s">
        <v>21</v>
      </c>
      <c r="C86" s="73">
        <v>3</v>
      </c>
      <c r="D86" s="180">
        <v>69434402</v>
      </c>
      <c r="E86" s="201">
        <f t="shared" si="33"/>
        <v>2657172.9072821233</v>
      </c>
      <c r="F86" s="199"/>
      <c r="G86" s="238">
        <f>0.03578</f>
        <v>3.5779999999999999E-2</v>
      </c>
      <c r="H86" s="224">
        <f t="shared" si="80"/>
        <v>2484362.90356</v>
      </c>
      <c r="I86" s="154">
        <f t="shared" si="34"/>
        <v>7.9032505829661692E-4</v>
      </c>
      <c r="J86" s="201">
        <f t="shared" si="35"/>
        <v>1943985.5663303249</v>
      </c>
      <c r="K86" s="199"/>
      <c r="L86" s="381">
        <v>6789295.8275600001</v>
      </c>
      <c r="M86" s="154">
        <f t="shared" si="36"/>
        <v>9.7242099743455204E-4</v>
      </c>
      <c r="N86" s="201">
        <f t="shared" si="37"/>
        <v>2391892.2518838211</v>
      </c>
      <c r="O86" s="199"/>
      <c r="P86" s="248">
        <f>T_Equal</f>
        <v>3.6258823390606508E-2</v>
      </c>
      <c r="Q86" s="224">
        <f>P86*D86</f>
        <v>2517609.7193503752</v>
      </c>
      <c r="R86" s="199"/>
      <c r="S86" s="331">
        <f>$D86/SUM($D$84:$D$86,$D$88)</f>
        <v>3.0752733748137862E-2</v>
      </c>
      <c r="T86" s="383">
        <v>52782541.948844828</v>
      </c>
      <c r="U86" s="340">
        <f>$S86*T86</f>
        <v>1623207.4591027426</v>
      </c>
      <c r="V86" s="154">
        <f t="shared" si="41"/>
        <v>1.0051365874916287E-3</v>
      </c>
      <c r="W86" s="383">
        <v>46658771.297135189</v>
      </c>
      <c r="X86" s="340">
        <f>$S86*W86</f>
        <v>1434884.7707160555</v>
      </c>
      <c r="Y86" s="154">
        <f t="shared" si="43"/>
        <v>9.4659330739105285E-4</v>
      </c>
      <c r="Z86" s="154">
        <f t="shared" si="83"/>
        <v>9.7586494744134077E-4</v>
      </c>
      <c r="AA86" s="157">
        <f>$Z86*'Inputs and Assumptions'!$C$6</f>
        <v>2400363.4360302407</v>
      </c>
      <c r="AB86" s="252"/>
      <c r="AC86" s="215">
        <f>AC85</f>
        <v>4.8359284101297986E-2</v>
      </c>
      <c r="AD86" s="291">
        <f t="shared" si="28"/>
        <v>0.01</v>
      </c>
      <c r="AE86" s="211">
        <f>AG86-SUM(AC86:AD86,AF86)</f>
        <v>4.8024000380592201E-2</v>
      </c>
      <c r="AF86" s="211">
        <f t="shared" si="46"/>
        <v>0</v>
      </c>
      <c r="AG86" s="211">
        <f>AL86/$D86</f>
        <v>0.10638328448189019</v>
      </c>
      <c r="AH86" s="201">
        <f>$D86*AE86</f>
        <v>3334517.7480741921</v>
      </c>
      <c r="AI86" s="407"/>
      <c r="AJ86" s="157">
        <f>$D86*AD86</f>
        <v>694344.02</v>
      </c>
      <c r="AK86" s="217"/>
      <c r="AL86" s="201">
        <f t="shared" si="50"/>
        <v>7386659.7407959253</v>
      </c>
      <c r="AM86" s="199"/>
      <c r="AN86" s="215">
        <f>AN85</f>
        <v>4.8359284101297986E-2</v>
      </c>
      <c r="AO86" s="291">
        <f t="shared" si="29"/>
        <v>0.01</v>
      </c>
      <c r="AP86" s="211">
        <f>AR86-SUM(AN86:AO86,AQ86)</f>
        <v>3.1625615294605579E-2</v>
      </c>
      <c r="AQ86" s="211">
        <f>AV86/$D86*-1</f>
        <v>0</v>
      </c>
      <c r="AR86" s="211">
        <f>AW86/$D86</f>
        <v>8.9984899395903567E-2</v>
      </c>
      <c r="AS86" s="201">
        <f>$D86*AP86</f>
        <v>2195905.685862992</v>
      </c>
      <c r="AT86" s="157">
        <f>$AI86</f>
        <v>0</v>
      </c>
      <c r="AU86" s="157">
        <f>$D86*AO86</f>
        <v>694344.02</v>
      </c>
      <c r="AV86" s="157">
        <f t="shared" si="57"/>
        <v>0</v>
      </c>
      <c r="AW86" s="201">
        <f>$I86*'Inputs and Assumptions'!$C$15</f>
        <v>6248047.6785847256</v>
      </c>
      <c r="AX86" s="199"/>
      <c r="AY86" s="215">
        <f>AY85</f>
        <v>4.8359284101297986E-2</v>
      </c>
      <c r="AZ86" s="291">
        <f t="shared" si="30"/>
        <v>0.01</v>
      </c>
      <c r="BA86" s="211">
        <f>BC86-SUM(AY86:AZ86,BB86)</f>
        <v>5.2358710609900376E-2</v>
      </c>
      <c r="BB86" s="211">
        <f>BG86/$D86*-1</f>
        <v>0</v>
      </c>
      <c r="BC86" s="211">
        <f>BH86/$D86</f>
        <v>0.11071799471119836</v>
      </c>
      <c r="BD86" s="201">
        <f>$D86*BA86</f>
        <v>3635495.7606894877</v>
      </c>
      <c r="BE86" s="157">
        <f t="shared" si="82"/>
        <v>0</v>
      </c>
      <c r="BF86" s="157">
        <f>$D86*AZ86</f>
        <v>694344.02</v>
      </c>
      <c r="BG86" s="157">
        <f t="shared" si="64"/>
        <v>0</v>
      </c>
      <c r="BH86" s="201">
        <f>$M86*'Inputs and Assumptions'!$C$15</f>
        <v>7687637.7534112213</v>
      </c>
      <c r="BI86" s="199"/>
      <c r="BJ86" s="215">
        <f>BJ85</f>
        <v>4.8359284101297986E-2</v>
      </c>
      <c r="BK86" s="291">
        <f t="shared" si="31"/>
        <v>0.01</v>
      </c>
      <c r="BL86" s="211">
        <f>BN86-SUM(BJ86:BK86,BM86)</f>
        <v>3.5326504538805349E-2</v>
      </c>
      <c r="BM86" s="211">
        <f>BR86/$D86*-1</f>
        <v>0</v>
      </c>
      <c r="BN86" s="211">
        <f>BS86/$D86</f>
        <v>9.3685788640103337E-2</v>
      </c>
      <c r="BO86" s="201">
        <f>$D86*BL86</f>
        <v>2452874.7174022351</v>
      </c>
      <c r="BP86" s="157">
        <f t="shared" si="69"/>
        <v>0</v>
      </c>
      <c r="BQ86" s="157">
        <f>$D86*BK86</f>
        <v>694344.02</v>
      </c>
      <c r="BR86" s="157">
        <f t="shared" si="71"/>
        <v>0</v>
      </c>
      <c r="BS86" s="201">
        <f>D86*T_equal_gen</f>
        <v>6505016.7101239683</v>
      </c>
      <c r="BT86" s="199"/>
      <c r="BU86" s="215">
        <f>BU85</f>
        <v>4.8359284101297986E-2</v>
      </c>
      <c r="BV86" s="291">
        <f t="shared" si="32"/>
        <v>0.01</v>
      </c>
      <c r="BW86" s="211">
        <f>BY86-SUM(BU86:BV86,BX86)</f>
        <v>5.2750832170051005E-2</v>
      </c>
      <c r="BX86" s="211">
        <f>CC86/$D86*-1</f>
        <v>0</v>
      </c>
      <c r="BY86" s="211">
        <f>CD86/$D86</f>
        <v>0.11111011627134899</v>
      </c>
      <c r="BZ86" s="201">
        <f>$D86*BW86</f>
        <v>3662722.4867298538</v>
      </c>
      <c r="CA86" s="157">
        <f t="shared" si="77"/>
        <v>0</v>
      </c>
      <c r="CB86" s="157">
        <f>$D86*BV86</f>
        <v>694344.02</v>
      </c>
      <c r="CC86" s="157">
        <f t="shared" si="79"/>
        <v>0</v>
      </c>
      <c r="CD86" s="201">
        <f>$Z86*'Inputs and Assumptions'!$C$15</f>
        <v>7714864.4794515874</v>
      </c>
    </row>
    <row r="87" spans="1:82">
      <c r="A87" s="105" t="s">
        <v>70</v>
      </c>
      <c r="B87" s="72"/>
      <c r="C87" s="72"/>
      <c r="D87" s="176">
        <f>SUM(D84:D86)</f>
        <v>2101512647.9999998</v>
      </c>
      <c r="E87" s="201">
        <f t="shared" si="33"/>
        <v>80422417.587413117</v>
      </c>
      <c r="F87" s="199"/>
      <c r="G87" s="238"/>
      <c r="H87" s="224">
        <f>SUM(H84:H86)</f>
        <v>80381778.965079993</v>
      </c>
      <c r="I87" s="154">
        <f t="shared" si="34"/>
        <v>2.5571036363298504E-2</v>
      </c>
      <c r="J87" s="201">
        <f>SUM(J84:J86)</f>
        <v>62897822.971094027</v>
      </c>
      <c r="K87" s="199"/>
      <c r="L87" s="381">
        <v>220071929.77015996</v>
      </c>
      <c r="M87" s="154">
        <f t="shared" si="36"/>
        <v>3.1520583413929076E-2</v>
      </c>
      <c r="N87" s="201">
        <f>SUM(N84:N86)</f>
        <v>77532097.148806125</v>
      </c>
      <c r="O87" s="199"/>
      <c r="P87" s="223"/>
      <c r="Q87" s="224">
        <f>SUM(Q84:Q86)</f>
        <v>80820195.001468569</v>
      </c>
      <c r="R87" s="199"/>
      <c r="T87" s="383"/>
      <c r="V87" s="154">
        <f t="shared" si="41"/>
        <v>0</v>
      </c>
      <c r="W87" s="383"/>
      <c r="X87" s="340"/>
      <c r="Y87" s="154">
        <f t="shared" si="43"/>
        <v>0</v>
      </c>
      <c r="Z87" s="154">
        <f t="shared" si="83"/>
        <v>0</v>
      </c>
      <c r="AA87" s="157">
        <f>SUM(AA84:AA86)</f>
        <v>72649781.30890058</v>
      </c>
      <c r="AB87" s="252"/>
      <c r="AC87" s="208"/>
      <c r="AD87" s="291"/>
      <c r="AE87" s="211"/>
      <c r="AF87" s="211"/>
      <c r="AG87" s="211"/>
      <c r="AH87" s="201">
        <f>SUM(AH84:AH86)</f>
        <v>100751965.02295458</v>
      </c>
      <c r="AI87" s="407">
        <f>CHOOSE(gen_choice,'Generation Calculations'!$M89,'Generation Calculations'!$N89)</f>
        <v>101627647.18710302</v>
      </c>
      <c r="AJ87" s="201">
        <f>SUM(AJ84:AJ86)</f>
        <v>21015126.479999997</v>
      </c>
      <c r="AK87" s="201">
        <f>SUM(AK84:AK86)</f>
        <v>-171079.18441672498</v>
      </c>
      <c r="AL87" s="201">
        <f>SUM(AL84:AL86)</f>
        <v>223565817.87447435</v>
      </c>
      <c r="AM87" s="199"/>
      <c r="AN87" s="208"/>
      <c r="AO87" s="291"/>
      <c r="AP87" s="211"/>
      <c r="AQ87" s="211"/>
      <c r="AR87" s="211"/>
      <c r="AS87" s="201">
        <f>SUM(AS84:AS86)</f>
        <v>79342276.087454021</v>
      </c>
      <c r="AT87" s="201">
        <f>AI87</f>
        <v>101627647.18710302</v>
      </c>
      <c r="AU87" s="201">
        <f>SUM(AU84:AU86)</f>
        <v>21015126.479999997</v>
      </c>
      <c r="AV87" s="201">
        <f>SUM(AV84:AV86)</f>
        <v>-171079.18441672498</v>
      </c>
      <c r="AW87" s="201">
        <f>SUM(AW84:AW86)</f>
        <v>202156128.93897375</v>
      </c>
      <c r="AX87" s="199"/>
      <c r="AY87" s="208"/>
      <c r="AZ87" s="291"/>
      <c r="BA87" s="211"/>
      <c r="BB87" s="211"/>
      <c r="BC87" s="211"/>
      <c r="BD87" s="201">
        <f>SUM(BD84:BD86)</f>
        <v>126377420.99155436</v>
      </c>
      <c r="BE87" s="157">
        <f t="shared" si="82"/>
        <v>101627647.18710302</v>
      </c>
      <c r="BF87" s="201">
        <f>SUM(BF84:BF86)</f>
        <v>21015126.479999997</v>
      </c>
      <c r="BG87" s="201">
        <f>SUM(BG84:BG86)</f>
        <v>-171079.18441672498</v>
      </c>
      <c r="BH87" s="201">
        <f>SUM(BH84:BH86)</f>
        <v>249191273.84307414</v>
      </c>
      <c r="BI87" s="199"/>
      <c r="BJ87" s="208"/>
      <c r="BK87" s="291"/>
      <c r="BL87" s="211"/>
      <c r="BM87" s="211"/>
      <c r="BN87" s="211"/>
      <c r="BO87" s="201">
        <f>SUM(BO84:BO86)</f>
        <v>86009903.650217861</v>
      </c>
      <c r="BP87" s="157">
        <f t="shared" si="69"/>
        <v>101627647.18710302</v>
      </c>
      <c r="BQ87" s="201">
        <f>SUM(BQ84:BQ86)</f>
        <v>21015126.479999997</v>
      </c>
      <c r="BR87" s="201">
        <f>SUM(BR84:BR86)</f>
        <v>-171079.18441672498</v>
      </c>
      <c r="BS87" s="201">
        <f>SUM(BS84:BS86)</f>
        <v>208823756.50173759</v>
      </c>
      <c r="BT87" s="199"/>
      <c r="BU87" s="208"/>
      <c r="BV87" s="291"/>
      <c r="BW87" s="211"/>
      <c r="BX87" s="211"/>
      <c r="BY87" s="211"/>
      <c r="BZ87" s="201">
        <f>SUM(BZ84:BZ86)</f>
        <v>110685461.81347074</v>
      </c>
      <c r="CA87" s="157">
        <f t="shared" si="77"/>
        <v>101627647.18710302</v>
      </c>
      <c r="CB87" s="201">
        <f>SUM(CB84:CB86)</f>
        <v>21015126.479999997</v>
      </c>
      <c r="CC87" s="201">
        <f>SUM(CC84:CC86)</f>
        <v>-171079.18441672498</v>
      </c>
      <c r="CD87" s="201">
        <f>SUM(CD84:CD86)</f>
        <v>233499314.66499051</v>
      </c>
    </row>
    <row r="88" spans="1:82">
      <c r="A88" s="89" t="s">
        <v>101</v>
      </c>
      <c r="B88" s="73" t="s">
        <v>28</v>
      </c>
      <c r="C88" s="73">
        <v>1</v>
      </c>
      <c r="D88" s="178">
        <f>'Test Year 2001 Sales and Revs.'!J90</f>
        <v>156315959</v>
      </c>
      <c r="E88" s="202">
        <f t="shared" si="33"/>
        <v>5982027.9179566223</v>
      </c>
      <c r="F88" s="200"/>
      <c r="G88" s="243">
        <f>0.03841</f>
        <v>3.841E-2</v>
      </c>
      <c r="H88" s="225">
        <f t="shared" si="80"/>
        <v>6004095.9851900004</v>
      </c>
      <c r="I88" s="198">
        <f t="shared" si="34"/>
        <v>1.9100218823562742E-3</v>
      </c>
      <c r="J88" s="202">
        <f t="shared" si="35"/>
        <v>4698136.4587862128</v>
      </c>
      <c r="K88" s="200"/>
      <c r="L88" s="382">
        <v>16439749.40803</v>
      </c>
      <c r="M88" s="198">
        <f t="shared" si="36"/>
        <v>2.354641471363893E-3</v>
      </c>
      <c r="N88" s="202">
        <f t="shared" si="37"/>
        <v>5791780.2126631634</v>
      </c>
      <c r="O88" s="200"/>
      <c r="P88" s="223">
        <f>S_Equal</f>
        <v>3.8569434685105937E-2</v>
      </c>
      <c r="Q88" s="224">
        <f>P88*D88</f>
        <v>6029018.1708901972</v>
      </c>
      <c r="R88" s="200"/>
      <c r="S88" s="331">
        <f>$D88/SUM($D$84:$D$86,$D$88)</f>
        <v>6.9232872023753222E-2</v>
      </c>
      <c r="T88" s="383">
        <v>52782541.948844828</v>
      </c>
      <c r="U88" s="343">
        <f>$S88*T88</f>
        <v>3654286.9718327601</v>
      </c>
      <c r="V88" s="198">
        <f t="shared" si="41"/>
        <v>2.2628392421344878E-3</v>
      </c>
      <c r="W88" s="383">
        <v>46658771.297135189</v>
      </c>
      <c r="X88" s="343">
        <f>$S88*W88</f>
        <v>3230320.7420001305</v>
      </c>
      <c r="Y88" s="198">
        <f t="shared" si="43"/>
        <v>2.1310421976099719E-3</v>
      </c>
      <c r="Z88" s="198">
        <f t="shared" si="83"/>
        <v>2.1969407198722301E-3</v>
      </c>
      <c r="AA88" s="157">
        <f>$Z88*'Inputs and Assumptions'!$C$6</f>
        <v>5403879.0807415936</v>
      </c>
      <c r="AB88" s="253"/>
      <c r="AC88" s="393">
        <f>CHOOSE(gen_choice,'Generation Calculations'!$O90,'Generation Calculations'!$P90)</f>
        <v>4.7520719658277706E-2</v>
      </c>
      <c r="AD88" s="394">
        <f t="shared" si="28"/>
        <v>0.01</v>
      </c>
      <c r="AE88" s="395">
        <f>AG88-SUM(AC88:AD88,AF88)</f>
        <v>4.8827364612883242E-2</v>
      </c>
      <c r="AF88" s="395">
        <f t="shared" si="46"/>
        <v>3.5200210729239128E-5</v>
      </c>
      <c r="AG88" s="214">
        <f>AL88/$D88</f>
        <v>0.10638328448189019</v>
      </c>
      <c r="AH88" s="202">
        <f>$D88*AE88</f>
        <v>7632496.3249055082</v>
      </c>
      <c r="AI88" s="408">
        <f>CHOOSE(gen_choice,'Generation Calculations'!$M90,'Generation Calculations'!$N90)</f>
        <v>7428246.8657538323</v>
      </c>
      <c r="AJ88" s="202">
        <f>$D88*AD88</f>
        <v>1563159.59</v>
      </c>
      <c r="AK88" s="284">
        <f>CHOOSE(gen_choice,'Generation Calculations'!K90,'Generation Calculations'!L90)</f>
        <v>-5502.3546971431033</v>
      </c>
      <c r="AL88" s="202">
        <f t="shared" si="50"/>
        <v>16629405.135356482</v>
      </c>
      <c r="AM88" s="200"/>
      <c r="AN88" s="393">
        <f>CHOOSE(gen_choice,'Generation Calculations'!$O90,'Generation Calculations'!$P90)</f>
        <v>4.7520719658277706E-2</v>
      </c>
      <c r="AO88" s="394">
        <f t="shared" si="29"/>
        <v>0.01</v>
      </c>
      <c r="AP88" s="395">
        <f>AR88-SUM(AN88:AO88,AQ88)</f>
        <v>3.9043297173940408E-2</v>
      </c>
      <c r="AQ88" s="395">
        <f>AV88/$D88*-1</f>
        <v>3.5200210729239128E-5</v>
      </c>
      <c r="AR88" s="214">
        <f>AW88/$D88</f>
        <v>9.6599217042947355E-2</v>
      </c>
      <c r="AS88" s="202">
        <f>$D88*AP88</f>
        <v>6103090.4402664844</v>
      </c>
      <c r="AT88" s="202">
        <f>$AI88</f>
        <v>7428246.8657538323</v>
      </c>
      <c r="AU88" s="202">
        <f>$D88*AO88</f>
        <v>1563159.59</v>
      </c>
      <c r="AV88" s="202">
        <f>$AK88</f>
        <v>-5502.3546971431033</v>
      </c>
      <c r="AW88" s="202">
        <f>$I88*'Inputs and Assumptions'!$C$15</f>
        <v>15099999.250717459</v>
      </c>
      <c r="AX88" s="200"/>
      <c r="AY88" s="393">
        <f>CHOOSE(gen_choice,'Generation Calculations'!$O90,'Generation Calculations'!$P90)</f>
        <v>4.7520719658277706E-2</v>
      </c>
      <c r="AZ88" s="394">
        <f t="shared" si="30"/>
        <v>0.01</v>
      </c>
      <c r="BA88" s="395">
        <f>BC88-SUM(AY88:AZ88,BB88)</f>
        <v>6.1529900378249458E-2</v>
      </c>
      <c r="BB88" s="395">
        <f>BG88/$D88*-1</f>
        <v>3.5200210729239128E-5</v>
      </c>
      <c r="BC88" s="214">
        <f>BH88/$D88</f>
        <v>0.1190858202472564</v>
      </c>
      <c r="BD88" s="202">
        <f>$D88*BA88</f>
        <v>9618105.3848005272</v>
      </c>
      <c r="BE88" s="202">
        <f t="shared" si="82"/>
        <v>7428246.8657538323</v>
      </c>
      <c r="BF88" s="202">
        <f>$D88*AZ88</f>
        <v>1563159.59</v>
      </c>
      <c r="BG88" s="202">
        <f>$AK88</f>
        <v>-5502.3546971431033</v>
      </c>
      <c r="BH88" s="202">
        <f>$M88*'Inputs and Assumptions'!$C$15</f>
        <v>18615014.195251502</v>
      </c>
      <c r="BI88" s="200"/>
      <c r="BJ88" s="393">
        <f>CHOOSE(gen_choice,'Generation Calculations'!$O90,'Generation Calculations'!$P90)</f>
        <v>4.7520719658277706E-2</v>
      </c>
      <c r="BK88" s="394">
        <f t="shared" si="31"/>
        <v>0.01</v>
      </c>
      <c r="BL88" s="395">
        <f>BN88-SUM(BJ88:BK88,BM88)</f>
        <v>4.2100041576593167E-2</v>
      </c>
      <c r="BM88" s="395">
        <f>BR88/$D88*-1</f>
        <v>3.5200210729239128E-5</v>
      </c>
      <c r="BN88" s="214">
        <f>BS88/$D88</f>
        <v>9.9655961445600114E-2</v>
      </c>
      <c r="BO88" s="202">
        <f>$D88*BL88</f>
        <v>6580908.3729850324</v>
      </c>
      <c r="BP88" s="202">
        <f t="shared" si="69"/>
        <v>7428246.8657538323</v>
      </c>
      <c r="BQ88" s="202">
        <f>$D88*BK88</f>
        <v>1563159.59</v>
      </c>
      <c r="BR88" s="202">
        <f>$AK88</f>
        <v>-5502.3546971431033</v>
      </c>
      <c r="BS88" s="202">
        <f>D88*s_equal_gen</f>
        <v>15577817.183436008</v>
      </c>
      <c r="BT88" s="200"/>
      <c r="BU88" s="393">
        <f>CHOOSE(gen_choice,'Generation Calculations'!$O90,'Generation Calculations'!$P90)</f>
        <v>4.7520719658277706E-2</v>
      </c>
      <c r="BV88" s="394">
        <f t="shared" si="32"/>
        <v>0.01</v>
      </c>
      <c r="BW88" s="395">
        <f>BY88-SUM(BU88:BV88,BX88)</f>
        <v>5.3554196402342075E-2</v>
      </c>
      <c r="BX88" s="395">
        <f>CC88/$D88*-1</f>
        <v>3.5200210729239128E-5</v>
      </c>
      <c r="BY88" s="214">
        <f>CD88/$D88</f>
        <v>0.11111011627134902</v>
      </c>
      <c r="BZ88" s="202">
        <f>$D88*BW88</f>
        <v>8371375.5691064512</v>
      </c>
      <c r="CA88" s="202">
        <f t="shared" si="77"/>
        <v>7428246.8657538323</v>
      </c>
      <c r="CB88" s="202">
        <f>$D88*BV88</f>
        <v>1563159.59</v>
      </c>
      <c r="CC88" s="202">
        <f>$AK88</f>
        <v>-5502.3546971431033</v>
      </c>
      <c r="CD88" s="202">
        <f>$Z88*'Inputs and Assumptions'!$C$15</f>
        <v>17368284.379557427</v>
      </c>
    </row>
    <row r="89" spans="1:82">
      <c r="A89" s="190" t="s">
        <v>72</v>
      </c>
      <c r="B89" s="72"/>
      <c r="C89" s="72"/>
      <c r="D89" s="83">
        <f>SUM(D72:D76)</f>
        <v>459426966.125</v>
      </c>
      <c r="E89" s="201">
        <f>SUM(E72:E76)</f>
        <v>17581729.691604052</v>
      </c>
      <c r="F89" s="199"/>
      <c r="G89" s="238"/>
      <c r="H89" s="51">
        <f>SUM(H72:H76)</f>
        <v>17012271.036024999</v>
      </c>
      <c r="I89" s="154">
        <f t="shared" si="34"/>
        <v>5.4119404532396598E-3</v>
      </c>
      <c r="J89" s="201">
        <f>SUM(J72:J76)</f>
        <v>13311907.570806844</v>
      </c>
      <c r="K89" s="199"/>
      <c r="L89" s="157">
        <f>SUM(L72:L76)</f>
        <v>49062933.720613748</v>
      </c>
      <c r="M89" s="154">
        <f t="shared" si="36"/>
        <v>7.0272128593947183E-3</v>
      </c>
      <c r="N89" s="201">
        <f>SUM(N72:N76)</f>
        <v>17285040.157574188</v>
      </c>
      <c r="O89" s="199"/>
      <c r="P89" s="223"/>
      <c r="Q89" s="51">
        <f>SUM(Q72:Q76)</f>
        <v>17719838.362534568</v>
      </c>
      <c r="R89" s="199"/>
      <c r="T89" s="383"/>
      <c r="U89" s="340">
        <f>SUM(U72:U76)</f>
        <v>11065313.733433152</v>
      </c>
      <c r="V89" s="154">
        <f t="shared" si="41"/>
        <v>6.8519594480518364E-3</v>
      </c>
      <c r="W89" s="383"/>
      <c r="X89" s="340">
        <f>SUM(X72:X76)</f>
        <v>9192650.9226372819</v>
      </c>
      <c r="Y89" s="154">
        <f t="shared" si="43"/>
        <v>6.0643906870711285E-3</v>
      </c>
      <c r="Z89" s="154">
        <f t="shared" si="83"/>
        <v>6.4581750675614825E-3</v>
      </c>
      <c r="AA89" s="201">
        <f>SUM(AA72:AA76)</f>
        <v>15885361.326177292</v>
      </c>
      <c r="AB89" s="252"/>
      <c r="AC89" s="208"/>
      <c r="AD89" s="208"/>
      <c r="AE89" s="211"/>
      <c r="AF89" s="211"/>
      <c r="AG89" s="211"/>
      <c r="AH89" s="201">
        <f>SUM(AH72:AH76)</f>
        <v>10756711.544471765</v>
      </c>
      <c r="AI89" s="201">
        <f>SUM(AI72:AI76)</f>
        <v>33524368.430205837</v>
      </c>
      <c r="AJ89" s="201">
        <f>SUM(AJ72:AJ76)</f>
        <v>4594269.6612499999</v>
      </c>
      <c r="AK89" s="201"/>
      <c r="AL89" s="201">
        <f>SUM(AL72:AL76)</f>
        <v>48875349.635927603</v>
      </c>
      <c r="AM89" s="199"/>
      <c r="AN89" s="208"/>
      <c r="AO89" s="208"/>
      <c r="AP89" s="211"/>
      <c r="AQ89" s="211"/>
      <c r="AR89" s="211"/>
      <c r="AS89" s="201">
        <f>SUM(AS72:AS76)</f>
        <v>4666367.4332102872</v>
      </c>
      <c r="AT89" s="201">
        <f>SUM(AT72:AT76)</f>
        <v>33524368.430205837</v>
      </c>
      <c r="AU89" s="201">
        <f>SUM(AU72:AU76)</f>
        <v>4594269.6612499999</v>
      </c>
      <c r="AV89" s="201">
        <f>SUM(AV72:AV76)</f>
        <v>0</v>
      </c>
      <c r="AW89" s="201">
        <f>SUM(AW72:AW76)</f>
        <v>42785005.524666123</v>
      </c>
      <c r="AX89" s="199"/>
      <c r="AY89" s="208"/>
      <c r="AZ89" s="208"/>
      <c r="BA89" s="211"/>
      <c r="BB89" s="211"/>
      <c r="BC89" s="211"/>
      <c r="BD89" s="201">
        <f>SUM(BD72:BD76)</f>
        <v>17436175.123872347</v>
      </c>
      <c r="BE89" s="201">
        <f>SUM(BE72:BE76)</f>
        <v>33524368.430205837</v>
      </c>
      <c r="BF89" s="201">
        <f>SUM(BF72:BF76)</f>
        <v>4594269.6612499999</v>
      </c>
      <c r="BG89" s="201">
        <f>SUM(BG72:BG76)</f>
        <v>0</v>
      </c>
      <c r="BH89" s="201">
        <f>SUM(BH72:BH76)</f>
        <v>55554813.215328187</v>
      </c>
      <c r="BI89" s="199"/>
      <c r="BJ89" s="208"/>
      <c r="BK89" s="208"/>
      <c r="BL89" s="211"/>
      <c r="BM89" s="211"/>
      <c r="BN89" s="211"/>
      <c r="BO89" s="201">
        <f>SUM(BO72:BO76)</f>
        <v>7665997.9317661952</v>
      </c>
      <c r="BP89" s="201">
        <f>SUM(BP72:BP76)</f>
        <v>33524368.430205837</v>
      </c>
      <c r="BQ89" s="201">
        <f>SUM(BQ72:BQ76)</f>
        <v>4594269.6612499999</v>
      </c>
      <c r="BR89" s="201">
        <f>SUM(BR72:BR76)</f>
        <v>0</v>
      </c>
      <c r="BS89" s="201">
        <f>SUM(BS72:BS76)</f>
        <v>45784636.023222022</v>
      </c>
      <c r="BT89" s="199"/>
      <c r="BU89" s="208"/>
      <c r="BV89" s="208"/>
      <c r="BW89" s="211"/>
      <c r="BX89" s="211"/>
      <c r="BY89" s="211"/>
      <c r="BZ89" s="201">
        <f>SUM(BZ72:BZ76)</f>
        <v>12937551.150144987</v>
      </c>
      <c r="CA89" s="201">
        <f>SUM(CA72:CA76)</f>
        <v>33524368.430205837</v>
      </c>
      <c r="CB89" s="201">
        <f>SUM(CB72:CB76)</f>
        <v>4594269.6612499999</v>
      </c>
      <c r="CC89" s="201">
        <f>SUM(CC72:CC76)</f>
        <v>0</v>
      </c>
      <c r="CD89" s="201">
        <f>SUM(CD72:CD76)</f>
        <v>51056189.241600826</v>
      </c>
    </row>
    <row r="90" spans="1:82">
      <c r="A90" s="190" t="s">
        <v>73</v>
      </c>
      <c r="B90" s="72"/>
      <c r="C90" s="72"/>
      <c r="D90" s="121">
        <f>SUM(D77:D79,D82,D83,D87,D88)</f>
        <v>2963447237</v>
      </c>
      <c r="E90" s="202">
        <f>SUM(E77:E81,E83:E86,E88)</f>
        <v>113407640.64355972</v>
      </c>
      <c r="F90" s="200"/>
      <c r="G90" s="243"/>
      <c r="H90" s="226">
        <f>SUM(H77:H81,H83:H86,H88)</f>
        <v>112902778.38951001</v>
      </c>
      <c r="I90" s="198">
        <f t="shared" si="34"/>
        <v>3.5916610566305102E-2</v>
      </c>
      <c r="J90" s="202">
        <f>SUM(J77:J81,J83:J86,J88)</f>
        <v>88345133.182149082</v>
      </c>
      <c r="K90" s="200"/>
      <c r="L90" s="245">
        <f>SUM(L77:L81,L83:L86,L88)</f>
        <v>308683205.77190995</v>
      </c>
      <c r="M90" s="198">
        <f t="shared" si="36"/>
        <v>4.4212247996254068E-2</v>
      </c>
      <c r="N90" s="202">
        <f>SUM(N77:N81,N83:N86,N88)</f>
        <v>108750154.20234545</v>
      </c>
      <c r="O90" s="200"/>
      <c r="P90" s="249"/>
      <c r="Q90" s="226">
        <f>SUM(Q77:Q81,Q83:Q86,Q88)</f>
        <v>114064206.12856705</v>
      </c>
      <c r="R90" s="200"/>
      <c r="S90" s="333"/>
      <c r="T90" s="384"/>
      <c r="U90" s="343">
        <f>SUM(U77:U81,U83:U86,U88)</f>
        <v>74141330.323575273</v>
      </c>
      <c r="V90" s="198">
        <f t="shared" si="41"/>
        <v>4.5910436978106012E-2</v>
      </c>
      <c r="W90" s="384"/>
      <c r="X90" s="343">
        <f>SUM(X77:X81,X83:X86,X88)</f>
        <v>62619629.547252029</v>
      </c>
      <c r="Y90" s="198">
        <f t="shared" si="43"/>
        <v>4.1310161938059614E-2</v>
      </c>
      <c r="Z90" s="198">
        <f t="shared" si="83"/>
        <v>4.3610299458082813E-2</v>
      </c>
      <c r="AA90" s="202">
        <f>SUM(AA77:AA81,AA83:AA86,AA88)</f>
        <v>107269523.84956294</v>
      </c>
      <c r="AB90" s="253"/>
      <c r="AC90" s="213"/>
      <c r="AD90" s="213"/>
      <c r="AE90" s="214"/>
      <c r="AF90" s="214"/>
      <c r="AG90" s="214"/>
      <c r="AH90" s="202">
        <f>SUM(AH77:AH81,AH83:AH86,AH88)</f>
        <v>123068402.29081172</v>
      </c>
      <c r="AI90" s="202">
        <f>SUM(AI77:AI88)</f>
        <v>162362887.74766028</v>
      </c>
      <c r="AJ90" s="202">
        <f>SUM(AJ77:AJ81,AJ83:AJ86,AJ88)</f>
        <v>29634472.369999997</v>
      </c>
      <c r="AK90" s="202">
        <f>SUM(AK77:AK81,AK83:AK86,AK88)</f>
        <v>-195488.05237043891</v>
      </c>
      <c r="AL90" s="202">
        <f>SUM(AL77:AL81,AL83:AL86,AL88)</f>
        <v>315261250.46084243</v>
      </c>
      <c r="AM90" s="200"/>
      <c r="AN90" s="213"/>
      <c r="AO90" s="213"/>
      <c r="AP90" s="214"/>
      <c r="AQ90" s="214"/>
      <c r="AR90" s="214"/>
      <c r="AS90" s="202">
        <f>SUM(AS77:AS81,AS83:AS86,AS88)</f>
        <v>91751957.724269241</v>
      </c>
      <c r="AT90" s="202">
        <f>SUM(AT77:AT88)</f>
        <v>162362887.74766028</v>
      </c>
      <c r="AU90" s="202">
        <f>SUM(AU77:AU81,AU83:AU86,AU88)</f>
        <v>29634472.369999997</v>
      </c>
      <c r="AV90" s="202">
        <f>SUM(AV77:AV81,AV83:AV86,AV88)</f>
        <v>-195488.05237043891</v>
      </c>
      <c r="AW90" s="202">
        <f>SUM(AW77:AW81,AW83:AW86,AW88)</f>
        <v>283944805.89429998</v>
      </c>
      <c r="AX90" s="200"/>
      <c r="AY90" s="213"/>
      <c r="AZ90" s="213"/>
      <c r="BA90" s="214"/>
      <c r="BB90" s="214"/>
      <c r="BC90" s="214"/>
      <c r="BD90" s="202">
        <f>SUM(BD77:BD81,BD83:BD86,BD88)</f>
        <v>157334514.72718838</v>
      </c>
      <c r="BE90" s="202">
        <f>SUM(BE77:BE88)</f>
        <v>162362887.74766028</v>
      </c>
      <c r="BF90" s="202">
        <f>SUM(BF77:BF81,BF83:BF86,BF88)</f>
        <v>29634472.369999997</v>
      </c>
      <c r="BG90" s="202">
        <f>SUM(BG77:BG81,BG83:BG86,BG88)</f>
        <v>-195488.05237043891</v>
      </c>
      <c r="BH90" s="202">
        <f>SUM(BH77:BH81,BH83:BH86,BH88)</f>
        <v>349527362.89721912</v>
      </c>
      <c r="BI90" s="200"/>
      <c r="BJ90" s="213"/>
      <c r="BK90" s="213"/>
      <c r="BL90" s="214"/>
      <c r="BM90" s="214"/>
      <c r="BN90" s="214"/>
      <c r="BO90" s="202">
        <f>SUM(BO77:BO81,BO83:BO86,BO88)</f>
        <v>102527005.02660012</v>
      </c>
      <c r="BP90" s="202">
        <f>SUM(BP77:BP88)</f>
        <v>162362887.74766028</v>
      </c>
      <c r="BQ90" s="202">
        <f>SUM(BQ77:BQ81,BQ83:BQ86,BQ88)</f>
        <v>29634472.369999997</v>
      </c>
      <c r="BR90" s="202">
        <f>SUM(BR77:BR81,BR83:BR86,BR88)</f>
        <v>-195488.05237043891</v>
      </c>
      <c r="BS90" s="202">
        <f>SUM(BS77:BS81,BS83:BS86,BS88)</f>
        <v>294719853.1966309</v>
      </c>
      <c r="BT90" s="200"/>
      <c r="BU90" s="213"/>
      <c r="BV90" s="213"/>
      <c r="BW90" s="214"/>
      <c r="BX90" s="214"/>
      <c r="BY90" s="214"/>
      <c r="BZ90" s="202">
        <f>SUM(BZ77:BZ81,BZ83:BZ86,BZ88)</f>
        <v>152575709.31280041</v>
      </c>
      <c r="CA90" s="202">
        <f>SUM(CA77:CA88)</f>
        <v>162362887.74766028</v>
      </c>
      <c r="CB90" s="202">
        <f>SUM(CB77:CB81,CB83:CB86,CB88)</f>
        <v>29634472.369999997</v>
      </c>
      <c r="CC90" s="202">
        <f>SUM(CC77:CC81,CC83:CC86,CC88)</f>
        <v>-195488.05237043891</v>
      </c>
      <c r="CD90" s="202">
        <f>SUM(CD77:CD81,CD83:CD86,CD88)</f>
        <v>344768557.48283112</v>
      </c>
    </row>
    <row r="91" spans="1:82">
      <c r="A91" s="188" t="s">
        <v>74</v>
      </c>
      <c r="B91" s="189"/>
      <c r="C91" s="189"/>
      <c r="D91" s="83">
        <f>SUM(D89:D90)</f>
        <v>3422874203.125</v>
      </c>
      <c r="E91" s="201">
        <f>SUM(E89:E90)</f>
        <v>130989370.33516377</v>
      </c>
      <c r="F91" s="199"/>
      <c r="G91" s="238"/>
      <c r="H91" s="51">
        <f>SUM(H89:H90)</f>
        <v>129915049.42553501</v>
      </c>
      <c r="I91" s="154">
        <f t="shared" si="34"/>
        <v>4.132855101954476E-2</v>
      </c>
      <c r="J91" s="201">
        <f>SUM(J89:J90)</f>
        <v>101657040.75295593</v>
      </c>
      <c r="K91" s="199"/>
      <c r="L91" s="157">
        <f>SUM(L89:L90)</f>
        <v>357746139.49252367</v>
      </c>
      <c r="M91" s="154">
        <f t="shared" si="36"/>
        <v>5.1239460855648788E-2</v>
      </c>
      <c r="N91" s="201">
        <f>SUM(N89:N90)</f>
        <v>126035194.35991964</v>
      </c>
      <c r="O91" s="199"/>
      <c r="P91" s="223"/>
      <c r="Q91" s="51">
        <f>SUM(Q89:Q90)</f>
        <v>131784044.49110162</v>
      </c>
      <c r="R91" s="199"/>
      <c r="T91" s="383"/>
      <c r="U91" s="340">
        <f>SUM(U89:U90)</f>
        <v>85206644.05700843</v>
      </c>
      <c r="V91" s="154">
        <f t="shared" si="41"/>
        <v>5.2762396426157855E-2</v>
      </c>
      <c r="W91" s="383"/>
      <c r="X91" s="340">
        <f>SUM(X89:X90)</f>
        <v>71812280.469889313</v>
      </c>
      <c r="Y91" s="154">
        <f t="shared" si="43"/>
        <v>4.7374552625130746E-2</v>
      </c>
      <c r="Z91" s="154">
        <f t="shared" si="83"/>
        <v>5.0068474525644301E-2</v>
      </c>
      <c r="AA91" s="201">
        <f>SUM(AA89:AA90)</f>
        <v>123154885.17574024</v>
      </c>
      <c r="AB91" s="252"/>
      <c r="AC91" s="208">
        <f>CHOOSE(gen_choice,'Generation Calculations'!$O94,'Generation Calculations'!$P94)</f>
        <v>5.7228879752292947E-2</v>
      </c>
      <c r="AD91" s="208">
        <f>AJ91/$D$91</f>
        <v>0.01</v>
      </c>
      <c r="AE91" s="215">
        <f>AH91/$D91</f>
        <v>3.9097292478088873E-2</v>
      </c>
      <c r="AF91" s="215">
        <f>AK91/$D91*-1</f>
        <v>5.7112251508385297E-5</v>
      </c>
      <c r="AG91" s="215">
        <f>AL91/$D91</f>
        <v>0.10638328448189019</v>
      </c>
      <c r="AH91" s="201">
        <f>AL91+AK91-SUM(AI91:AJ91)</f>
        <v>133825113.83528352</v>
      </c>
      <c r="AI91" s="201">
        <f>SUM(AI89:AI90)</f>
        <v>195887256.1778661</v>
      </c>
      <c r="AJ91" s="201">
        <f>SUM(AJ89:AJ90)</f>
        <v>34228742.03125</v>
      </c>
      <c r="AK91" s="201">
        <f>SUM(AK89:AK90)</f>
        <v>-195488.05237043891</v>
      </c>
      <c r="AL91" s="201">
        <f>SUM(AL89:AL90)</f>
        <v>364136600.09677005</v>
      </c>
      <c r="AM91" s="199"/>
      <c r="AN91" s="208">
        <f>CHOOSE(gen_choice,'Generation Calculations'!$O94,'Generation Calculations'!$P94)</f>
        <v>5.7228879752292947E-2</v>
      </c>
      <c r="AO91" s="208">
        <f>AU91/$D$91</f>
        <v>0.01</v>
      </c>
      <c r="AP91" s="215">
        <f>AS91/$D91</f>
        <v>2.8168819370998785E-2</v>
      </c>
      <c r="AQ91" s="215">
        <f>AV91/$D91*-1</f>
        <v>5.7112251508385297E-5</v>
      </c>
      <c r="AR91" s="215">
        <f>AW91/$D91</f>
        <v>9.5454811374800108E-2</v>
      </c>
      <c r="AS91" s="201">
        <f>SUM(AS89:AS90)</f>
        <v>96418325.157479525</v>
      </c>
      <c r="AT91" s="201">
        <f>SUM(AT89:AT90)</f>
        <v>195887256.1778661</v>
      </c>
      <c r="AU91" s="201">
        <f>SUM(AU89:AU90)</f>
        <v>34228742.03125</v>
      </c>
      <c r="AV91" s="201">
        <f>SUM(AV89:AV90)</f>
        <v>-195488.05237043891</v>
      </c>
      <c r="AW91" s="201">
        <f>SUM(AW89:AW90)</f>
        <v>326729811.41896611</v>
      </c>
      <c r="AX91" s="199"/>
      <c r="AY91" s="208">
        <f>CHOOSE(gen_choice,'Generation Calculations'!$O94,'Generation Calculations'!$P94)</f>
        <v>5.7228879752292947E-2</v>
      </c>
      <c r="AZ91" s="208">
        <f>BF91/$D$91</f>
        <v>0.01</v>
      </c>
      <c r="BA91" s="215">
        <f>BD91/$D91</f>
        <v>5.1059629854786771E-2</v>
      </c>
      <c r="BB91" s="215">
        <f>BG91/$D91*-1</f>
        <v>5.7112251508385297E-5</v>
      </c>
      <c r="BC91" s="215">
        <f>BH91/$D91</f>
        <v>0.11834562185858809</v>
      </c>
      <c r="BD91" s="201">
        <f>SUM(BD89:BD90)</f>
        <v>174770689.85106072</v>
      </c>
      <c r="BE91" s="201">
        <f>SUM(BE89:BE90)</f>
        <v>195887256.1778661</v>
      </c>
      <c r="BF91" s="201">
        <f>SUM(BF89:BF90)</f>
        <v>34228742.03125</v>
      </c>
      <c r="BG91" s="201">
        <f>SUM(BG89:BG90)</f>
        <v>-195488.05237043891</v>
      </c>
      <c r="BH91" s="201">
        <f>SUM(BH89:BH90)</f>
        <v>405082176.11254728</v>
      </c>
      <c r="BI91" s="199"/>
      <c r="BJ91" s="208">
        <f>CHOOSE(gen_choice,'Generation Calculations'!$O94,'Generation Calculations'!$P94)</f>
        <v>5.7228879752292947E-2</v>
      </c>
      <c r="BK91" s="208">
        <f>BQ91/$D$91</f>
        <v>0.01</v>
      </c>
      <c r="BL91" s="215">
        <f>BO91/$D91</f>
        <v>3.2193120874194799E-2</v>
      </c>
      <c r="BM91" s="215">
        <f>BR91/$D91*-1</f>
        <v>5.7112251508385297E-5</v>
      </c>
      <c r="BN91" s="215">
        <f>BS91/$D91</f>
        <v>9.9479112877996129E-2</v>
      </c>
      <c r="BO91" s="201">
        <f>SUM(BO89:BO90)</f>
        <v>110193002.95836632</v>
      </c>
      <c r="BP91" s="201">
        <f>SUM(BP89:BP90)</f>
        <v>195887256.1778661</v>
      </c>
      <c r="BQ91" s="201">
        <f>SUM(BQ89:BQ90)</f>
        <v>34228742.03125</v>
      </c>
      <c r="BR91" s="201">
        <f>SUM(BR89:BR90)</f>
        <v>-195488.05237043891</v>
      </c>
      <c r="BS91" s="201">
        <f>SUM(BS89:BS90)</f>
        <v>340504489.21985292</v>
      </c>
      <c r="BT91" s="199"/>
      <c r="BU91" s="208">
        <f>CHOOSE(gen_choice,'Generation Calculations'!$O94,'Generation Calculations'!$P94)</f>
        <v>5.7228879752292947E-2</v>
      </c>
      <c r="BV91" s="208">
        <f>CB91/$D$91</f>
        <v>0.01</v>
      </c>
      <c r="BW91" s="215">
        <f>BZ91/$D91</f>
        <v>4.8355052111420237E-2</v>
      </c>
      <c r="BX91" s="215">
        <f>CC91/$D91*-1</f>
        <v>5.7112251508385297E-5</v>
      </c>
      <c r="BY91" s="215">
        <f>CD91/$D91</f>
        <v>0.11564104411522155</v>
      </c>
      <c r="BZ91" s="201">
        <f>SUM(BZ89:BZ90)</f>
        <v>165513260.4629454</v>
      </c>
      <c r="CA91" s="201">
        <f>SUM(CA89:CA90)</f>
        <v>195887256.1778661</v>
      </c>
      <c r="CB91" s="201">
        <f>SUM(CB89:CB90)</f>
        <v>34228742.03125</v>
      </c>
      <c r="CC91" s="201">
        <f>SUM(CC89:CC90)</f>
        <v>-195488.05237043891</v>
      </c>
      <c r="CD91" s="201">
        <f>SUM(CD89:CD90)</f>
        <v>395824746.72443193</v>
      </c>
    </row>
    <row r="92" spans="1:82">
      <c r="A92" s="81"/>
      <c r="B92" s="77"/>
      <c r="C92" s="77"/>
      <c r="D92" s="176"/>
      <c r="E92" s="201"/>
      <c r="F92" s="199"/>
      <c r="G92" s="238"/>
      <c r="H92" s="224"/>
      <c r="I92" s="154"/>
      <c r="J92" s="201"/>
      <c r="K92" s="199"/>
      <c r="L92" s="157"/>
      <c r="M92" s="154"/>
      <c r="N92" s="201"/>
      <c r="O92" s="199"/>
      <c r="P92" s="223"/>
      <c r="Q92" s="224"/>
      <c r="R92" s="199"/>
      <c r="T92" s="383"/>
      <c r="V92" s="154"/>
      <c r="W92" s="383"/>
      <c r="X92" s="340"/>
      <c r="Y92" s="154"/>
      <c r="Z92" s="154"/>
      <c r="AA92" s="157"/>
      <c r="AB92" s="252"/>
      <c r="AC92" s="207"/>
      <c r="AD92" s="208"/>
      <c r="AH92" s="201"/>
      <c r="AJ92" s="201"/>
      <c r="AK92" s="201"/>
      <c r="AL92" s="201">
        <f>AL91-SUM(AH91:AJ91)+AK91</f>
        <v>-9.8661985248327255E-9</v>
      </c>
      <c r="AM92" s="199"/>
      <c r="AN92" s="207"/>
      <c r="AO92" s="208"/>
      <c r="AP92"/>
      <c r="AQ92"/>
      <c r="AR92"/>
      <c r="AS92" s="201"/>
      <c r="AT92" s="201"/>
      <c r="AU92" s="201"/>
      <c r="AV92" s="201"/>
      <c r="AW92" s="201"/>
      <c r="AX92" s="199"/>
      <c r="AY92" s="207"/>
      <c r="AZ92" s="208"/>
      <c r="BA92"/>
      <c r="BB92"/>
      <c r="BC92"/>
      <c r="BD92" s="201"/>
      <c r="BE92" s="201"/>
      <c r="BF92" s="201"/>
      <c r="BG92" s="201"/>
      <c r="BH92" s="201"/>
      <c r="BI92" s="199"/>
      <c r="BJ92" s="207"/>
      <c r="BK92" s="208"/>
      <c r="BL92"/>
      <c r="BM92"/>
      <c r="BN92"/>
      <c r="BO92" s="201"/>
      <c r="BP92" s="201"/>
      <c r="BQ92" s="201"/>
      <c r="BR92" s="201"/>
      <c r="BS92" s="201"/>
      <c r="BT92" s="199"/>
      <c r="BU92" s="207"/>
      <c r="BV92" s="208"/>
      <c r="BW92"/>
      <c r="BX92"/>
      <c r="BY92"/>
      <c r="BZ92" s="201"/>
      <c r="CA92" s="201"/>
      <c r="CB92" s="201"/>
      <c r="CC92" s="201"/>
      <c r="CD92" s="201"/>
    </row>
    <row r="93" spans="1:82">
      <c r="A93" s="81" t="s">
        <v>102</v>
      </c>
      <c r="B93" s="77"/>
      <c r="C93" s="77"/>
      <c r="D93" s="176"/>
      <c r="E93" s="201"/>
      <c r="F93" s="199"/>
      <c r="G93" s="238"/>
      <c r="H93" s="224"/>
      <c r="I93" s="154"/>
      <c r="J93" s="201"/>
      <c r="K93" s="199"/>
      <c r="L93" s="157"/>
      <c r="M93" s="154"/>
      <c r="N93" s="201"/>
      <c r="O93" s="199"/>
      <c r="P93" s="223"/>
      <c r="Q93" s="224"/>
      <c r="R93" s="199"/>
      <c r="T93" s="383"/>
      <c r="V93" s="154"/>
      <c r="W93" s="383"/>
      <c r="X93" s="340"/>
      <c r="Y93" s="154"/>
      <c r="Z93" s="154"/>
      <c r="AA93" s="157"/>
      <c r="AB93" s="252"/>
      <c r="AC93" s="207"/>
      <c r="AD93" s="208"/>
      <c r="AH93" s="201"/>
      <c r="AJ93" s="201"/>
      <c r="AK93" s="201"/>
      <c r="AL93" s="201"/>
      <c r="AM93" s="199"/>
      <c r="AN93" s="207"/>
      <c r="AO93" s="208"/>
      <c r="AP93"/>
      <c r="AQ93"/>
      <c r="AR93"/>
      <c r="AS93" s="201"/>
      <c r="AT93" s="201"/>
      <c r="AU93" s="201"/>
      <c r="AV93" s="201"/>
      <c r="AW93" s="201"/>
      <c r="AX93" s="199"/>
      <c r="AY93" s="207"/>
      <c r="AZ93" s="208"/>
      <c r="BA93"/>
      <c r="BB93"/>
      <c r="BC93"/>
      <c r="BD93" s="201"/>
      <c r="BE93" s="201"/>
      <c r="BF93" s="201"/>
      <c r="BG93" s="201"/>
      <c r="BH93" s="201"/>
      <c r="BI93" s="199"/>
      <c r="BJ93" s="207"/>
      <c r="BK93" s="208"/>
      <c r="BL93"/>
      <c r="BM93"/>
      <c r="BN93"/>
      <c r="BO93" s="201"/>
      <c r="BP93" s="201"/>
      <c r="BQ93" s="201"/>
      <c r="BR93" s="201"/>
      <c r="BS93" s="201"/>
      <c r="BT93" s="199"/>
      <c r="BU93" s="207"/>
      <c r="BV93" s="208"/>
      <c r="BW93"/>
      <c r="BX93"/>
      <c r="BY93"/>
      <c r="BZ93" s="201"/>
      <c r="CA93" s="201"/>
      <c r="CB93" s="201"/>
      <c r="CC93" s="201"/>
      <c r="CD93" s="201"/>
    </row>
    <row r="94" spans="1:82">
      <c r="A94" s="89" t="s">
        <v>103</v>
      </c>
      <c r="B94" s="77" t="s">
        <v>21</v>
      </c>
      <c r="C94" s="77">
        <v>3</v>
      </c>
      <c r="D94" s="177">
        <v>4077242526.2356367</v>
      </c>
      <c r="E94" s="201">
        <f>surcharge_1*D94</f>
        <v>156031276.50083104</v>
      </c>
      <c r="F94" s="199"/>
      <c r="G94" s="238">
        <f>0.03601</f>
        <v>3.601E-2</v>
      </c>
      <c r="H94" s="224">
        <f t="shared" si="80"/>
        <v>146821503.36974528</v>
      </c>
      <c r="I94" s="154">
        <f>H94/$H$127</f>
        <v>4.670682895949483E-2</v>
      </c>
      <c r="J94" s="201">
        <f>I94*$E$129</f>
        <v>114886147.65930906</v>
      </c>
      <c r="K94" s="199"/>
      <c r="L94" s="381">
        <v>317291013.39165723</v>
      </c>
      <c r="M94" s="154">
        <f t="shared" ref="M94:M104" si="84">L94/$L$127</f>
        <v>4.5445131800984029E-2</v>
      </c>
      <c r="N94" s="201">
        <f>M94*$E$129</f>
        <v>111782714.40804493</v>
      </c>
      <c r="O94" s="199"/>
      <c r="P94" s="223">
        <f>T_Equal</f>
        <v>3.6258823390606508E-2</v>
      </c>
      <c r="Q94" s="224">
        <f>P94*D94</f>
        <v>147836016.67944828</v>
      </c>
      <c r="R94" s="199"/>
      <c r="S94" s="331">
        <f>$D94/$D$122</f>
        <v>0.55064693741945203</v>
      </c>
      <c r="T94" s="383">
        <v>90447566.613451004</v>
      </c>
      <c r="U94" s="340">
        <f>$S94*T94</f>
        <v>49804675.552738674</v>
      </c>
      <c r="V94" s="154">
        <f>U94/$U$127</f>
        <v>3.0840482740191046E-2</v>
      </c>
      <c r="W94" s="383">
        <v>93601441.810770005</v>
      </c>
      <c r="X94" s="340">
        <f>$S94*W94</f>
        <v>51541347.271145552</v>
      </c>
      <c r="Y94" s="154">
        <f>X94/$X$127</f>
        <v>3.4001820478195818E-2</v>
      </c>
      <c r="Z94" s="154">
        <f>AVERAGE(V94,Y94)</f>
        <v>3.2421151609193434E-2</v>
      </c>
      <c r="AA94" s="157">
        <f>$Z94*'Inputs and Assumptions'!$C$6</f>
        <v>79747250.970277146</v>
      </c>
      <c r="AB94" s="252"/>
      <c r="AC94" s="390">
        <f>CHOOSE(gen_choice,'Generation Calculations'!$O97,'Generation Calculations'!$P97)</f>
        <v>4.7107277483033103E-2</v>
      </c>
      <c r="AD94" s="391">
        <f t="shared" ref="AD94:AD104" si="85">EPS</f>
        <v>0.01</v>
      </c>
      <c r="AE94" s="392">
        <f>AG94-SUM(AC94:AD94,AF94)</f>
        <v>5.3657315046451784E-2</v>
      </c>
      <c r="AF94" s="211">
        <f>AK94/$D94*-1</f>
        <v>-4.3813080475947012E-3</v>
      </c>
      <c r="AG94" s="211">
        <f>AL94/$D94</f>
        <v>0.10638328448189019</v>
      </c>
      <c r="AH94" s="201">
        <f>$D94*AE94</f>
        <v>218773886.7510165</v>
      </c>
      <c r="AI94" s="407">
        <f>CHOOSE(gen_choice,'Generation Calculations'!$M97,'Generation Calculations'!$N97)</f>
        <v>192067795.049005</v>
      </c>
      <c r="AJ94" s="201">
        <f>$D94*AD94</f>
        <v>40772425.262356371</v>
      </c>
      <c r="AK94" s="217">
        <f>CHOOSE(gen_choice,'Generation Calculations'!K97,'Generation Calculations'!L97)</f>
        <v>17863655.492191546</v>
      </c>
      <c r="AL94" s="201">
        <f>$D94*gen_equal</f>
        <v>433750451.57018638</v>
      </c>
      <c r="AM94" s="199"/>
      <c r="AN94" s="390">
        <f>CHOOSE(gen_choice,'Generation Calculations'!$O97,'Generation Calculations'!$P97)</f>
        <v>4.7107277483033103E-2</v>
      </c>
      <c r="AO94" s="391">
        <f t="shared" ref="AO94:AO104" si="86">EPS</f>
        <v>0.01</v>
      </c>
      <c r="AP94" s="392">
        <f>AR94-SUM(AN94:AO94,AQ94)</f>
        <v>3.7837368385872039E-2</v>
      </c>
      <c r="AQ94" s="211">
        <f>AV94/$D94*-1</f>
        <v>-4.3813080475947012E-3</v>
      </c>
      <c r="AR94" s="211">
        <f>AW94/$D94</f>
        <v>9.0563337821310444E-2</v>
      </c>
      <c r="AS94" s="201">
        <f>$D94*AP94</f>
        <v>154272127.46372133</v>
      </c>
      <c r="AT94" s="201">
        <f>$AI94</f>
        <v>192067795.049005</v>
      </c>
      <c r="AU94" s="201">
        <f>$D94*AO94</f>
        <v>40772425.262356371</v>
      </c>
      <c r="AV94" s="201">
        <f>$AK94</f>
        <v>17863655.492191546</v>
      </c>
      <c r="AW94" s="201">
        <f>$I94*'Inputs and Assumptions'!$C$15</f>
        <v>369248692.28289115</v>
      </c>
      <c r="AX94" s="199"/>
      <c r="AY94" s="390">
        <f>CHOOSE(gen_choice,'Generation Calculations'!$O97,'Generation Calculations'!$P97)</f>
        <v>4.7107277483033103E-2</v>
      </c>
      <c r="AZ94" s="391">
        <f t="shared" ref="AZ94:AZ104" si="87">EPS</f>
        <v>0.01</v>
      </c>
      <c r="BA94" s="392">
        <f>BC94-SUM(AY94:AZ94,BB94)</f>
        <v>3.5390970106650529E-2</v>
      </c>
      <c r="BB94" s="211">
        <f>BG94/$D94*-1</f>
        <v>-4.3813080475947012E-3</v>
      </c>
      <c r="BC94" s="211">
        <f>BH94/$D94</f>
        <v>8.8116939542088935E-2</v>
      </c>
      <c r="BD94" s="201">
        <f>$D94*BA94</f>
        <v>144297568.36356971</v>
      </c>
      <c r="BE94" s="201">
        <f>$AI94</f>
        <v>192067795.049005</v>
      </c>
      <c r="BF94" s="201">
        <f>$D94*AZ94</f>
        <v>40772425.262356371</v>
      </c>
      <c r="BG94" s="201">
        <f>$AK94</f>
        <v>17863655.492191546</v>
      </c>
      <c r="BH94" s="201">
        <f>$M94*'Inputs and Assumptions'!$C$15</f>
        <v>359274133.18273956</v>
      </c>
      <c r="BI94" s="199"/>
      <c r="BJ94" s="390">
        <f>CHOOSE(gen_choice,'Generation Calculations'!$O97,'Generation Calculations'!$P97)</f>
        <v>4.7107277483033103E-2</v>
      </c>
      <c r="BK94" s="391">
        <f t="shared" ref="BK94:BK104" si="88">EPS</f>
        <v>0.01</v>
      </c>
      <c r="BL94" s="392">
        <f>BN94-SUM(BJ94:BK94,BM94)</f>
        <v>4.0959819204664932E-2</v>
      </c>
      <c r="BM94" s="211">
        <f>BR94/$D94*-1</f>
        <v>-4.3813080475947012E-3</v>
      </c>
      <c r="BN94" s="211">
        <f>BS94/$D94</f>
        <v>9.3685788640103337E-2</v>
      </c>
      <c r="BO94" s="201">
        <f>$D94*BL94</f>
        <v>167003116.728183</v>
      </c>
      <c r="BP94" s="201">
        <f>$AI94</f>
        <v>192067795.049005</v>
      </c>
      <c r="BQ94" s="201">
        <f>$D94*BK94</f>
        <v>40772425.262356371</v>
      </c>
      <c r="BR94" s="201">
        <f>$AK94</f>
        <v>17863655.492191546</v>
      </c>
      <c r="BS94" s="201">
        <f>D94*T_equal_gen</f>
        <v>381979681.54735285</v>
      </c>
      <c r="BT94" s="199"/>
      <c r="BU94" s="390">
        <f>CHOOSE(gen_choice,'Generation Calculations'!$O97,'Generation Calculations'!$P97)</f>
        <v>4.7107277483033103E-2</v>
      </c>
      <c r="BV94" s="391">
        <f t="shared" ref="BV94:BV104" si="89">EPS</f>
        <v>0.01</v>
      </c>
      <c r="BW94" s="392">
        <f>BY94-SUM(BU94:BV94,BX94)</f>
        <v>1.013780811378498E-2</v>
      </c>
      <c r="BX94" s="211">
        <f>CC94/$D94*-1</f>
        <v>-4.3813080475947012E-3</v>
      </c>
      <c r="BY94" s="211">
        <f>CD94/$D94</f>
        <v>6.2863777549223385E-2</v>
      </c>
      <c r="BZ94" s="201">
        <f>$D94*BW94</f>
        <v>41334302.364340805</v>
      </c>
      <c r="CA94" s="201">
        <f>$AI94</f>
        <v>192067795.049005</v>
      </c>
      <c r="CB94" s="201">
        <f>$D94*BV94</f>
        <v>40772425.262356371</v>
      </c>
      <c r="CC94" s="201">
        <f>$AK94</f>
        <v>17863655.492191546</v>
      </c>
      <c r="CD94" s="201">
        <f>$Z94*'Inputs and Assumptions'!$C$15</f>
        <v>256310867.18351066</v>
      </c>
    </row>
    <row r="95" spans="1:82">
      <c r="A95" s="89" t="s">
        <v>104</v>
      </c>
      <c r="B95" s="77" t="s">
        <v>21</v>
      </c>
      <c r="C95" s="77">
        <v>3</v>
      </c>
      <c r="D95" s="178">
        <v>2964888209.7798538</v>
      </c>
      <c r="E95" s="202">
        <f>surcharge_1*D95</f>
        <v>113462784.97721091</v>
      </c>
      <c r="F95" s="200"/>
      <c r="G95" s="243">
        <f>G94</f>
        <v>3.601E-2</v>
      </c>
      <c r="H95" s="224">
        <f t="shared" si="80"/>
        <v>106765624.43417254</v>
      </c>
      <c r="I95" s="198">
        <f>H95/$H$127</f>
        <v>3.3964260307582018E-2</v>
      </c>
      <c r="J95" s="202">
        <f>I95*$E$129</f>
        <v>83542880.383080512</v>
      </c>
      <c r="K95" s="200"/>
      <c r="L95" s="382">
        <v>230727600.48506823</v>
      </c>
      <c r="M95" s="198">
        <f t="shared" si="84"/>
        <v>3.3046779680537951E-2</v>
      </c>
      <c r="N95" s="202">
        <f>M95*$E$129</f>
        <v>81286126.560538843</v>
      </c>
      <c r="O95" s="200"/>
      <c r="P95" s="223">
        <f>T_Equal</f>
        <v>3.6258823390606508E-2</v>
      </c>
      <c r="Q95" s="224">
        <f>P95*D95</f>
        <v>107503357.97129922</v>
      </c>
      <c r="R95" s="200"/>
      <c r="S95" s="331">
        <f>$D95/$D$122</f>
        <v>0.40041930348785065</v>
      </c>
      <c r="T95" s="383">
        <v>90447566.613451004</v>
      </c>
      <c r="U95" s="343">
        <f>$S95*T95</f>
        <v>36216951.625529028</v>
      </c>
      <c r="V95" s="198">
        <f>U95/$U$127</f>
        <v>2.2426574595927531E-2</v>
      </c>
      <c r="W95" s="383">
        <v>93601441.810770005</v>
      </c>
      <c r="X95" s="343">
        <f>$S95*W95</f>
        <v>37479824.135327108</v>
      </c>
      <c r="Y95" s="198">
        <f>X95/$X$127</f>
        <v>2.472543538878701E-2</v>
      </c>
      <c r="Z95" s="198">
        <f>AVERAGE(V95,Y95)</f>
        <v>2.357600499235727E-2</v>
      </c>
      <c r="AA95" s="245">
        <f>$Z95*'Inputs and Assumptions'!$C$6</f>
        <v>57990586.197095156</v>
      </c>
      <c r="AB95" s="253"/>
      <c r="AC95" s="393">
        <f>CHOOSE(gen_choice,'Generation Calculations'!$O98,'Generation Calculations'!$P98)</f>
        <v>4.6841544034575647E-2</v>
      </c>
      <c r="AD95" s="394">
        <f t="shared" si="85"/>
        <v>0.01</v>
      </c>
      <c r="AE95" s="395">
        <f>AG95-SUM(AC95:AD95,AF95)</f>
        <v>6.4531418431048468E-2</v>
      </c>
      <c r="AF95" s="214">
        <f>AK95/$D95*-1</f>
        <v>-1.4989677983733926E-2</v>
      </c>
      <c r="AG95" s="214">
        <f>AL95/$D95</f>
        <v>0.10638328448189019</v>
      </c>
      <c r="AH95" s="202">
        <f>$D95*AE95</f>
        <v>191328441.66658595</v>
      </c>
      <c r="AI95" s="408">
        <f>CHOOSE(gen_choice,'Generation Calculations'!$M98,'Generation Calculations'!$N98)</f>
        <v>138879941.63599718</v>
      </c>
      <c r="AJ95" s="202">
        <f>$D95*AD95</f>
        <v>29648882.097798537</v>
      </c>
      <c r="AK95" s="284">
        <f>CHOOSE(gen_choice,'Generation Calculations'!K98,'Generation Calculations'!L98)</f>
        <v>44442719.52236937</v>
      </c>
      <c r="AL95" s="202">
        <f>$D95*gen_equal</f>
        <v>315414545.8780123</v>
      </c>
      <c r="AM95" s="200"/>
      <c r="AN95" s="393">
        <f>CHOOSE(gen_choice,'Generation Calculations'!$O98,'Generation Calculations'!$P98)</f>
        <v>4.6841544034575647E-2</v>
      </c>
      <c r="AO95" s="394">
        <f t="shared" si="86"/>
        <v>0.01</v>
      </c>
      <c r="AP95" s="395">
        <f>AR95-SUM(AN95:AO95,AQ95)</f>
        <v>4.8711471770468723E-2</v>
      </c>
      <c r="AQ95" s="214">
        <f>AV95/$D95*-1</f>
        <v>-1.4989677983733926E-2</v>
      </c>
      <c r="AR95" s="214">
        <f>AW95/$D95</f>
        <v>9.0563337821310444E-2</v>
      </c>
      <c r="AS95" s="202">
        <f>$D95*AP95</f>
        <v>144424068.33328691</v>
      </c>
      <c r="AT95" s="202">
        <f>$AI95</f>
        <v>138879941.63599718</v>
      </c>
      <c r="AU95" s="202">
        <f>$D95*AO95</f>
        <v>29648882.097798537</v>
      </c>
      <c r="AV95" s="202">
        <f>$AK95</f>
        <v>44442719.52236937</v>
      </c>
      <c r="AW95" s="202">
        <f>$I95*'Inputs and Assumptions'!$C$15</f>
        <v>268510172.54471326</v>
      </c>
      <c r="AX95" s="200"/>
      <c r="AY95" s="393">
        <f>CHOOSE(gen_choice,'Generation Calculations'!$O98,'Generation Calculations'!$P98)</f>
        <v>4.6841544034575647E-2</v>
      </c>
      <c r="AZ95" s="394">
        <f t="shared" si="87"/>
        <v>0.01</v>
      </c>
      <c r="BA95" s="395">
        <f>BC95-SUM(AY95:AZ95,BB95)</f>
        <v>4.6265073491247227E-2</v>
      </c>
      <c r="BB95" s="214">
        <f>BG95/$D95*-1</f>
        <v>-1.4989677983733926E-2</v>
      </c>
      <c r="BC95" s="214">
        <f>BH95/$D95</f>
        <v>8.8116939542088948E-2</v>
      </c>
      <c r="BD95" s="202">
        <f>$D95*BA95</f>
        <v>137170770.91879737</v>
      </c>
      <c r="BE95" s="202">
        <f>$AI95</f>
        <v>138879941.63599718</v>
      </c>
      <c r="BF95" s="202">
        <f>$D95*AZ95</f>
        <v>29648882.097798537</v>
      </c>
      <c r="BG95" s="202">
        <f>$AK95</f>
        <v>44442719.52236937</v>
      </c>
      <c r="BH95" s="202">
        <f>$M95*'Inputs and Assumptions'!$C$15</f>
        <v>261256875.13022372</v>
      </c>
      <c r="BI95" s="200"/>
      <c r="BJ95" s="393">
        <f>CHOOSE(gen_choice,'Generation Calculations'!$O98,'Generation Calculations'!$P98)</f>
        <v>4.6841544034575647E-2</v>
      </c>
      <c r="BK95" s="394">
        <f t="shared" si="88"/>
        <v>0.01</v>
      </c>
      <c r="BL95" s="395">
        <f>BN95-SUM(BJ95:BK95,BM95)</f>
        <v>5.1833922589261616E-2</v>
      </c>
      <c r="BM95" s="214">
        <f>BR95/$D95*-1</f>
        <v>-1.4989677983733926E-2</v>
      </c>
      <c r="BN95" s="214">
        <f>BS95/$D95</f>
        <v>9.3685788640103337E-2</v>
      </c>
      <c r="BO95" s="202">
        <f>$D95*BL95</f>
        <v>153681785.95154339</v>
      </c>
      <c r="BP95" s="202">
        <f>$AI95</f>
        <v>138879941.63599718</v>
      </c>
      <c r="BQ95" s="202">
        <f>$D95*BK95</f>
        <v>29648882.097798537</v>
      </c>
      <c r="BR95" s="202">
        <f>$AK95</f>
        <v>44442719.52236937</v>
      </c>
      <c r="BS95" s="202">
        <f>D95*T_equal_gen</f>
        <v>277767890.16296977</v>
      </c>
      <c r="BT95" s="200"/>
      <c r="BU95" s="393">
        <f>CHOOSE(gen_choice,'Generation Calculations'!$O98,'Generation Calculations'!$P98)</f>
        <v>4.6841544034575647E-2</v>
      </c>
      <c r="BV95" s="394">
        <f t="shared" si="89"/>
        <v>0.01</v>
      </c>
      <c r="BW95" s="395">
        <f>BY95-SUM(BU95:BV95,BX95)</f>
        <v>2.101191149838165E-2</v>
      </c>
      <c r="BX95" s="214">
        <f>CC95/$D95*-1</f>
        <v>-1.4989677983733926E-2</v>
      </c>
      <c r="BY95" s="214">
        <f>CD95/$D95</f>
        <v>6.2863777549223371E-2</v>
      </c>
      <c r="BZ95" s="202">
        <f>$D95*BW95</f>
        <v>62297968.666489497</v>
      </c>
      <c r="CA95" s="202">
        <f>$AI95</f>
        <v>138879941.63599718</v>
      </c>
      <c r="CB95" s="202">
        <f>$D95*BV95</f>
        <v>29648882.097798537</v>
      </c>
      <c r="CC95" s="202">
        <f>$AK95</f>
        <v>44442719.52236937</v>
      </c>
      <c r="CD95" s="202">
        <f>$Z95*'Inputs and Assumptions'!$C$15</f>
        <v>186384072.87791586</v>
      </c>
    </row>
    <row r="96" spans="1:82">
      <c r="A96" s="105" t="s">
        <v>3</v>
      </c>
      <c r="B96" s="189" t="s">
        <v>21</v>
      </c>
      <c r="C96" s="189">
        <v>3</v>
      </c>
      <c r="D96" s="176">
        <v>7042131736.0154896</v>
      </c>
      <c r="E96" s="201">
        <f>SUM(E94:E95)</f>
        <v>269494061.47804195</v>
      </c>
      <c r="F96" s="199"/>
      <c r="G96" s="238"/>
      <c r="H96" s="224">
        <f>SUM(H94:H95)</f>
        <v>253587127.80391783</v>
      </c>
      <c r="I96" s="154">
        <f>H96/$H$127</f>
        <v>8.0671089267076848E-2</v>
      </c>
      <c r="J96" s="201">
        <f>SUM(J94:J95)</f>
        <v>198429028.04238957</v>
      </c>
      <c r="K96" s="199"/>
      <c r="L96" s="157">
        <f>SUM(L94:L95)</f>
        <v>548018613.87672544</v>
      </c>
      <c r="M96" s="154">
        <f t="shared" si="84"/>
        <v>7.8491911481521973E-2</v>
      </c>
      <c r="N96" s="201">
        <f>SUM(N94:N95)</f>
        <v>193068840.96858376</v>
      </c>
      <c r="O96" s="199"/>
      <c r="P96" s="223"/>
      <c r="Q96" s="224">
        <f>SUM(Q94:Q95)</f>
        <v>255339374.65074748</v>
      </c>
      <c r="R96" s="199"/>
      <c r="T96" s="383"/>
      <c r="U96" s="340">
        <f>SUM(U94:U95)</f>
        <v>86021627.178267702</v>
      </c>
      <c r="V96" s="154">
        <f>U96/$U$127</f>
        <v>5.3267057336118577E-2</v>
      </c>
      <c r="W96" s="383"/>
      <c r="X96" s="340">
        <f>SUM(X94:X95)</f>
        <v>89021171.406472653</v>
      </c>
      <c r="Y96" s="154">
        <f>X96/$X$127</f>
        <v>5.8727255866982818E-2</v>
      </c>
      <c r="Z96" s="154">
        <f>AVERAGE(V96,Y96)</f>
        <v>5.5997156601550697E-2</v>
      </c>
      <c r="AA96" s="157">
        <f>SUM(AA94:AA95)</f>
        <v>137737837.16737229</v>
      </c>
      <c r="AB96" s="252"/>
      <c r="AC96" s="208">
        <f>CHOOSE(gen_choice,'Generation Calculations'!$O99,'Generation Calculations'!$P99)</f>
        <v>4.6995397996864773E-2</v>
      </c>
      <c r="AD96" s="291">
        <f t="shared" si="85"/>
        <v>0.01</v>
      </c>
      <c r="AE96" s="211">
        <f>AH96/$D96</f>
        <v>5.8235537730744379E-2</v>
      </c>
      <c r="AF96" s="211">
        <f>AK96/$D96*-1</f>
        <v>-8.8476582589201175E-3</v>
      </c>
      <c r="AG96" s="211">
        <f>AL96/$D96</f>
        <v>0.10638326937520257</v>
      </c>
      <c r="AH96" s="201">
        <f>AL96+AK96-SUM(AI96:AJ96)</f>
        <v>410102328.41760248</v>
      </c>
      <c r="AI96" s="201">
        <f>SUM(AI94:AI95)</f>
        <v>330947736.68500221</v>
      </c>
      <c r="AJ96" s="201">
        <f>SUM(AJ94:AJ95)</f>
        <v>70421307.360154912</v>
      </c>
      <c r="AK96" s="201">
        <f>SUM(AK94:AK95)</f>
        <v>62306375.014560916</v>
      </c>
      <c r="AL96" s="201">
        <f>SUM(AL94:AL95)</f>
        <v>749164997.44819868</v>
      </c>
      <c r="AM96" s="199"/>
      <c r="AN96" s="208">
        <f>CHOOSE(gen_choice,'Generation Calculations'!$O99,'Generation Calculations'!$P99)</f>
        <v>4.6995397996864773E-2</v>
      </c>
      <c r="AO96" s="291">
        <f t="shared" si="86"/>
        <v>0.01</v>
      </c>
      <c r="AP96" s="211">
        <f>AS96/$D96</f>
        <v>4.2415593316635913E-2</v>
      </c>
      <c r="AQ96" s="211">
        <f>AV96/$D96*-1</f>
        <v>-8.8476582589201175E-3</v>
      </c>
      <c r="AR96" s="211">
        <f>AW96/$D96</f>
        <v>9.056332496109408E-2</v>
      </c>
      <c r="AS96" s="201">
        <f>SUM(AS94:AS95)</f>
        <v>298696195.79700828</v>
      </c>
      <c r="AT96" s="201">
        <f>SUM(AT94:AT95)</f>
        <v>330947736.68500221</v>
      </c>
      <c r="AU96" s="201">
        <f>SUM(AU94:AU95)</f>
        <v>70421307.360154912</v>
      </c>
      <c r="AV96" s="201">
        <f>SUM(AV94:AV95)</f>
        <v>62306375.014560916</v>
      </c>
      <c r="AW96" s="201">
        <f>SUM(AW94:AW95)</f>
        <v>637758864.82760441</v>
      </c>
      <c r="AX96" s="199"/>
      <c r="AY96" s="208">
        <f>CHOOSE(gen_choice,'Generation Calculations'!$O99,'Generation Calculations'!$P99)</f>
        <v>4.6995397996864773E-2</v>
      </c>
      <c r="AZ96" s="291">
        <f t="shared" si="87"/>
        <v>0.01</v>
      </c>
      <c r="BA96" s="211">
        <f>BD96/$D96</f>
        <v>3.9969195384808975E-2</v>
      </c>
      <c r="BB96" s="211">
        <f>BG96/$D96*-1</f>
        <v>-8.8476582589201175E-3</v>
      </c>
      <c r="BC96" s="211">
        <f>BH96/$D96</f>
        <v>8.8116927029267142E-2</v>
      </c>
      <c r="BD96" s="201">
        <f>SUM(BD94:BD95)</f>
        <v>281468339.28236711</v>
      </c>
      <c r="BE96" s="201">
        <f>SUM(BE94:BE95)</f>
        <v>330947736.68500221</v>
      </c>
      <c r="BF96" s="201">
        <f>SUM(BF94:BF95)</f>
        <v>70421307.360154912</v>
      </c>
      <c r="BG96" s="201">
        <f>SUM(BG94:BG95)</f>
        <v>62306375.014560916</v>
      </c>
      <c r="BH96" s="201">
        <f>SUM(BH94:BH95)</f>
        <v>620531008.31296325</v>
      </c>
      <c r="BI96" s="199"/>
      <c r="BJ96" s="208">
        <f>CHOOSE(gen_choice,'Generation Calculations'!$O99,'Generation Calculations'!$P99)</f>
        <v>4.6995397996864773E-2</v>
      </c>
      <c r="BK96" s="291">
        <f t="shared" si="88"/>
        <v>0.01</v>
      </c>
      <c r="BL96" s="211">
        <f>BO96/$D96</f>
        <v>4.5538043692033112E-2</v>
      </c>
      <c r="BM96" s="211">
        <f>BR96/$D96*-1</f>
        <v>-8.8476582589201175E-3</v>
      </c>
      <c r="BN96" s="211">
        <f>BS96/$D96</f>
        <v>9.3685775336491306E-2</v>
      </c>
      <c r="BO96" s="201">
        <f>SUM(BO94:BO95)</f>
        <v>320684902.67972636</v>
      </c>
      <c r="BP96" s="201">
        <f>SUM(BP94:BP95)</f>
        <v>330947736.68500221</v>
      </c>
      <c r="BQ96" s="201">
        <f>SUM(BQ94:BQ95)</f>
        <v>70421307.360154912</v>
      </c>
      <c r="BR96" s="201">
        <f>SUM(BR94:BR95)</f>
        <v>62306375.014560916</v>
      </c>
      <c r="BS96" s="201">
        <f>SUM(BS94:BS95)</f>
        <v>659747571.71032262</v>
      </c>
      <c r="BT96" s="199"/>
      <c r="BU96" s="208">
        <f>CHOOSE(gen_choice,'Generation Calculations'!$O99,'Generation Calculations'!$P99)</f>
        <v>4.6995397996864773E-2</v>
      </c>
      <c r="BV96" s="291">
        <f t="shared" si="89"/>
        <v>0.01</v>
      </c>
      <c r="BW96" s="211">
        <f>BZ96/$D96</f>
        <v>1.4716036977954419E-2</v>
      </c>
      <c r="BX96" s="211">
        <f>CC96/$D96*-1</f>
        <v>-8.8476582589201175E-3</v>
      </c>
      <c r="BY96" s="211">
        <f>CD96/$D96</f>
        <v>6.2863768622412608E-2</v>
      </c>
      <c r="BZ96" s="201">
        <f>SUM(BZ94:BZ95)</f>
        <v>103632271.03083029</v>
      </c>
      <c r="CA96" s="201">
        <f>SUM(CA94:CA95)</f>
        <v>330947736.68500221</v>
      </c>
      <c r="CB96" s="201">
        <f>SUM(CB94:CB95)</f>
        <v>70421307.360154912</v>
      </c>
      <c r="CC96" s="201">
        <f>SUM(CC94:CC95)</f>
        <v>62306375.014560916</v>
      </c>
      <c r="CD96" s="201">
        <f>SUM(CD94:CD95)</f>
        <v>442694940.06142652</v>
      </c>
    </row>
    <row r="97" spans="1:82">
      <c r="A97" s="89"/>
      <c r="B97" s="77"/>
      <c r="C97" s="77"/>
      <c r="D97" s="176"/>
      <c r="E97" s="201"/>
      <c r="F97" s="199"/>
      <c r="G97" s="238"/>
      <c r="H97" s="224"/>
      <c r="I97" s="154"/>
      <c r="J97" s="201"/>
      <c r="K97" s="199"/>
      <c r="L97" s="157"/>
      <c r="M97" s="154"/>
      <c r="N97" s="201"/>
      <c r="O97" s="199"/>
      <c r="P97" s="223"/>
      <c r="Q97" s="224"/>
      <c r="R97" s="199"/>
      <c r="T97" s="383"/>
      <c r="V97" s="154"/>
      <c r="W97" s="383"/>
      <c r="X97" s="340"/>
      <c r="Y97" s="154"/>
      <c r="Z97" s="154"/>
      <c r="AA97" s="157"/>
      <c r="AB97" s="252"/>
      <c r="AC97" s="207"/>
      <c r="AD97" s="208"/>
      <c r="AE97" s="211"/>
      <c r="AH97" s="201"/>
      <c r="AJ97" s="201"/>
      <c r="AK97" s="201"/>
      <c r="AL97" s="201"/>
      <c r="AM97" s="199"/>
      <c r="AN97" s="207"/>
      <c r="AO97" s="208"/>
      <c r="AP97" s="211"/>
      <c r="AQ97"/>
      <c r="AR97"/>
      <c r="AS97" s="201"/>
      <c r="AT97" s="201"/>
      <c r="AU97" s="201"/>
      <c r="AV97" s="201"/>
      <c r="AW97" s="201"/>
      <c r="AX97" s="199"/>
      <c r="AY97" s="207"/>
      <c r="AZ97" s="208"/>
      <c r="BA97" s="211"/>
      <c r="BB97"/>
      <c r="BC97"/>
      <c r="BD97" s="201"/>
      <c r="BE97" s="201"/>
      <c r="BF97" s="201"/>
      <c r="BG97" s="201"/>
      <c r="BH97" s="201"/>
      <c r="BI97" s="199"/>
      <c r="BJ97" s="207"/>
      <c r="BK97" s="208"/>
      <c r="BL97" s="211"/>
      <c r="BM97"/>
      <c r="BN97"/>
      <c r="BO97" s="201"/>
      <c r="BP97" s="201"/>
      <c r="BQ97" s="201"/>
      <c r="BR97" s="201"/>
      <c r="BS97" s="201"/>
      <c r="BT97" s="199"/>
      <c r="BU97" s="207"/>
      <c r="BV97" s="208"/>
      <c r="BW97" s="211"/>
      <c r="BX97"/>
      <c r="BY97"/>
      <c r="BZ97" s="201"/>
      <c r="CA97" s="201"/>
      <c r="CB97" s="201"/>
      <c r="CC97" s="201"/>
      <c r="CD97" s="201"/>
    </row>
    <row r="98" spans="1:82">
      <c r="A98" s="89" t="s">
        <v>103</v>
      </c>
      <c r="B98" s="77" t="s">
        <v>27</v>
      </c>
      <c r="C98" s="77">
        <v>2</v>
      </c>
      <c r="D98" s="177">
        <v>5211296403.986227</v>
      </c>
      <c r="E98" s="201">
        <f>surcharge_1*D98</f>
        <v>199430184.71576893</v>
      </c>
      <c r="F98" s="199"/>
      <c r="G98" s="238">
        <f>0.03714</f>
        <v>3.7139999999999999E-2</v>
      </c>
      <c r="H98" s="224">
        <f t="shared" si="80"/>
        <v>193547548.44404846</v>
      </c>
      <c r="I98" s="154">
        <f>H98/$H$127</f>
        <v>6.1571309605378516E-2</v>
      </c>
      <c r="J98" s="201">
        <f>I98*$E$129</f>
        <v>151448743.67375717</v>
      </c>
      <c r="K98" s="199"/>
      <c r="L98" s="381">
        <v>419665699.4130109</v>
      </c>
      <c r="M98" s="154">
        <f t="shared" si="84"/>
        <v>6.0108109644550975E-2</v>
      </c>
      <c r="N98" s="201">
        <f>M98*$E$129</f>
        <v>147849668.11029923</v>
      </c>
      <c r="O98" s="199"/>
      <c r="P98" s="223">
        <f>P_Equal</f>
        <v>3.7680738033375391E-2</v>
      </c>
      <c r="Q98" s="224">
        <f>P98*D98</f>
        <v>196365494.61287624</v>
      </c>
      <c r="R98" s="199"/>
      <c r="S98" s="331">
        <f>$D98/$D$123</f>
        <v>0.8323496578820756</v>
      </c>
      <c r="T98" s="383">
        <v>91500296.987179756</v>
      </c>
      <c r="U98" s="340">
        <f>$S98*T98</f>
        <v>76160240.893387377</v>
      </c>
      <c r="V98" s="154">
        <f>U98/$U$127</f>
        <v>4.7160604274474549E-2</v>
      </c>
      <c r="W98" s="383">
        <v>90726123.893649444</v>
      </c>
      <c r="X98" s="340">
        <f>$S98*W98</f>
        <v>75515858.183845922</v>
      </c>
      <c r="Y98" s="154">
        <f>X98/$X$127</f>
        <v>4.9817802389141047E-2</v>
      </c>
      <c r="Z98" s="154">
        <f>AVERAGE(V98,Y98)</f>
        <v>4.8489203331807798E-2</v>
      </c>
      <c r="AA98" s="157">
        <f>$Z98*'Inputs and Assumptions'!$C$6</f>
        <v>119270305.81954934</v>
      </c>
      <c r="AB98" s="252"/>
      <c r="AC98" s="390">
        <f>CHOOSE(gen_choice,'Generation Calculations'!$O101,'Generation Calculations'!$P101)</f>
        <v>5.564047076495935E-2</v>
      </c>
      <c r="AD98" s="391">
        <f t="shared" si="85"/>
        <v>0.01</v>
      </c>
      <c r="AE98" s="392">
        <f>AG98-SUM(AC98:AD98,AF98)</f>
        <v>4.5008732159739703E-2</v>
      </c>
      <c r="AF98" s="392">
        <f>AK98/$D98*-1</f>
        <v>-4.2659184428088795E-3</v>
      </c>
      <c r="AG98" s="211">
        <f>AL98/$D98</f>
        <v>0.10638328448189018</v>
      </c>
      <c r="AH98" s="201">
        <f>$D98*AE98</f>
        <v>234553844.05203077</v>
      </c>
      <c r="AI98" s="407">
        <f>CHOOSE(gen_choice,'Generation Calculations'!$M101,'Generation Calculations'!$N101)</f>
        <v>289958985.2135334</v>
      </c>
      <c r="AJ98" s="201">
        <f>$D98*AD98</f>
        <v>52112964.039862275</v>
      </c>
      <c r="AK98" s="217">
        <f>CHOOSE(gen_choice,'Generation Calculations'!K101,'Generation Calculations'!L101)</f>
        <v>22230965.44070844</v>
      </c>
      <c r="AL98" s="201">
        <f>$D98*gen_equal</f>
        <v>554394827.86471808</v>
      </c>
      <c r="AM98" s="199"/>
      <c r="AN98" s="390">
        <f>CHOOSE(gen_choice,'Generation Calculations'!$O101,'Generation Calculations'!$P101)</f>
        <v>5.564047076495935E-2</v>
      </c>
      <c r="AO98" s="391">
        <f t="shared" si="86"/>
        <v>0.01</v>
      </c>
      <c r="AP98" s="392">
        <f>AR98-SUM(AN98:AO98,AQ98)</f>
        <v>3.2030678632680679E-2</v>
      </c>
      <c r="AQ98" s="392">
        <f>AV98/$D98*-1</f>
        <v>-4.2659184428088795E-3</v>
      </c>
      <c r="AR98" s="211">
        <f>AW98/$D98</f>
        <v>9.340523095483115E-2</v>
      </c>
      <c r="AS98" s="201">
        <f>$D98*AP98</f>
        <v>166921360.3757273</v>
      </c>
      <c r="AT98" s="201">
        <f>$AI98</f>
        <v>289958985.2135334</v>
      </c>
      <c r="AU98" s="201">
        <f>$D98*AO98</f>
        <v>52112964.039862275</v>
      </c>
      <c r="AV98" s="201">
        <f>$AK98</f>
        <v>22230965.44070844</v>
      </c>
      <c r="AW98" s="201">
        <f>$I98*'Inputs and Assumptions'!$C$15</f>
        <v>486762344.18841457</v>
      </c>
      <c r="AX98" s="199"/>
      <c r="AY98" s="390">
        <f>CHOOSE(gen_choice,'Generation Calculations'!$O101,'Generation Calculations'!$P101)</f>
        <v>5.564047076495935E-2</v>
      </c>
      <c r="AZ98" s="391">
        <f t="shared" si="87"/>
        <v>0.01</v>
      </c>
      <c r="BA98" s="392">
        <f>BC98-SUM(AY98:AZ98,BB98)</f>
        <v>2.9810967355624163E-2</v>
      </c>
      <c r="BB98" s="392">
        <f>BG98/$D98*-1</f>
        <v>-4.2659184428088795E-3</v>
      </c>
      <c r="BC98" s="211">
        <f>BH98/$D98</f>
        <v>9.1185519677774635E-2</v>
      </c>
      <c r="BD98" s="201">
        <f>$D98*BA98</f>
        <v>155353786.97971499</v>
      </c>
      <c r="BE98" s="201">
        <f>$AI98</f>
        <v>289958985.2135334</v>
      </c>
      <c r="BF98" s="201">
        <f>$D98*AZ98</f>
        <v>52112964.039862275</v>
      </c>
      <c r="BG98" s="201">
        <f>$AK98</f>
        <v>22230965.44070844</v>
      </c>
      <c r="BH98" s="201">
        <f>$M98*'Inputs and Assumptions'!$C$15</f>
        <v>475194770.79240233</v>
      </c>
      <c r="BI98" s="199"/>
      <c r="BJ98" s="390">
        <f>CHOOSE(gen_choice,'Generation Calculations'!$O101,'Generation Calculations'!$P101)</f>
        <v>5.564047076495935E-2</v>
      </c>
      <c r="BK98" s="391">
        <f t="shared" si="88"/>
        <v>0.01</v>
      </c>
      <c r="BL98" s="392">
        <f>BN98-SUM(BJ98:BK98,BM98)</f>
        <v>3.5985188813643196E-2</v>
      </c>
      <c r="BM98" s="392">
        <f>BR98/$D98*-1</f>
        <v>-4.2659184428088795E-3</v>
      </c>
      <c r="BN98" s="211">
        <f>BS98/$D98</f>
        <v>9.7359741135793668E-2</v>
      </c>
      <c r="BO98" s="201">
        <f>$D98*BL98</f>
        <v>187529485.06130418</v>
      </c>
      <c r="BP98" s="201">
        <f>$AI98</f>
        <v>289958985.2135334</v>
      </c>
      <c r="BQ98" s="201">
        <f>$D98*BK98</f>
        <v>52112964.039862275</v>
      </c>
      <c r="BR98" s="201">
        <f>$AK98</f>
        <v>22230965.44070844</v>
      </c>
      <c r="BS98" s="201">
        <f>D98*P_equal_gen</f>
        <v>507370468.87399149</v>
      </c>
      <c r="BT98" s="199"/>
      <c r="BU98" s="390">
        <f>CHOOSE(gen_choice,'Generation Calculations'!$O101,'Generation Calculations'!$P101)</f>
        <v>5.564047076495935E-2</v>
      </c>
      <c r="BV98" s="391">
        <f t="shared" si="89"/>
        <v>0.01</v>
      </c>
      <c r="BW98" s="392">
        <f>BY98-SUM(BU98:BV98,BX98)</f>
        <v>1.218479317579936E-2</v>
      </c>
      <c r="BX98" s="392">
        <f>CC98/$D98*-1</f>
        <v>-4.2659184428088795E-3</v>
      </c>
      <c r="BY98" s="211">
        <f>CD98/$D98</f>
        <v>7.3559345497949832E-2</v>
      </c>
      <c r="BZ98" s="201">
        <f>$D98*BW98</f>
        <v>63498568.860359125</v>
      </c>
      <c r="CA98" s="201">
        <f>$AI98</f>
        <v>289958985.2135334</v>
      </c>
      <c r="CB98" s="201">
        <f>$D98*BV98</f>
        <v>52112964.039862275</v>
      </c>
      <c r="CC98" s="201">
        <f>$AK98</f>
        <v>22230965.44070844</v>
      </c>
      <c r="CD98" s="201">
        <f>$Z98*'Inputs and Assumptions'!$C$15</f>
        <v>383339552.67304641</v>
      </c>
    </row>
    <row r="99" spans="1:82">
      <c r="A99" s="89" t="s">
        <v>104</v>
      </c>
      <c r="B99" s="77" t="s">
        <v>27</v>
      </c>
      <c r="C99" s="77">
        <v>2</v>
      </c>
      <c r="D99" s="178">
        <v>1049649767.6580766</v>
      </c>
      <c r="E99" s="202">
        <f>surcharge_1*D99</f>
        <v>40168862.183849677</v>
      </c>
      <c r="F99" s="200"/>
      <c r="G99" s="243">
        <f>G98</f>
        <v>3.7139999999999999E-2</v>
      </c>
      <c r="H99" s="224">
        <f t="shared" si="80"/>
        <v>38983992.370820969</v>
      </c>
      <c r="I99" s="198">
        <f>H99/$H$127</f>
        <v>1.2401580300106045E-2</v>
      </c>
      <c r="J99" s="202">
        <f>I99*$E$129</f>
        <v>30504528.295045517</v>
      </c>
      <c r="K99" s="200"/>
      <c r="L99" s="382">
        <v>84528295.789504915</v>
      </c>
      <c r="M99" s="198">
        <f t="shared" si="84"/>
        <v>1.2106865246526452E-2</v>
      </c>
      <c r="N99" s="202">
        <f>M99*$E$129</f>
        <v>29779609.093351711</v>
      </c>
      <c r="O99" s="200"/>
      <c r="P99" s="223">
        <f>P_Equal</f>
        <v>3.7680738033375391E-2</v>
      </c>
      <c r="Q99" s="224">
        <f>P99*D99</f>
        <v>39551577.921917334</v>
      </c>
      <c r="R99" s="200"/>
      <c r="S99" s="331">
        <f>$D99/$D$123</f>
        <v>0.16765034211792443</v>
      </c>
      <c r="T99" s="383">
        <v>91500296.987179756</v>
      </c>
      <c r="U99" s="343">
        <f>$S99*T99</f>
        <v>15340056.093792375</v>
      </c>
      <c r="V99" s="198">
        <f>U99/$U$127</f>
        <v>9.4990024519525564E-3</v>
      </c>
      <c r="W99" s="383">
        <v>90726123.893649444</v>
      </c>
      <c r="X99" s="343">
        <f>$S99*W99</f>
        <v>15210265.709803527</v>
      </c>
      <c r="Y99" s="198">
        <f>X99/$X$127</f>
        <v>1.0034210424684199E-2</v>
      </c>
      <c r="Z99" s="198">
        <f>AVERAGE(V99,Y99)</f>
        <v>9.7666064383183787E-3</v>
      </c>
      <c r="AA99" s="245">
        <f>$Z99*'Inputs and Assumptions'!$C$6</f>
        <v>24023206.336188395</v>
      </c>
      <c r="AB99" s="253"/>
      <c r="AC99" s="393">
        <f>CHOOSE(gen_choice,'Generation Calculations'!$O102,'Generation Calculations'!$P102)</f>
        <v>5.6654864544699243E-2</v>
      </c>
      <c r="AD99" s="394">
        <f t="shared" si="85"/>
        <v>0.01</v>
      </c>
      <c r="AE99" s="395">
        <f>AG99-SUM(AC99:AD99,AF99)</f>
        <v>5.5903472087358866E-2</v>
      </c>
      <c r="AF99" s="395">
        <f>AK99/$D99*-1</f>
        <v>-1.6175052150167912E-2</v>
      </c>
      <c r="AG99" s="214">
        <f>AL99/$D99</f>
        <v>0.10638328448189019</v>
      </c>
      <c r="AH99" s="202">
        <f>$D99*AE99</f>
        <v>58679066.487776004</v>
      </c>
      <c r="AI99" s="408">
        <f>CHOOSE(gen_choice,'Generation Calculations'!$M102,'Generation Calculations'!$N102)</f>
        <v>59467765.406043358</v>
      </c>
      <c r="AJ99" s="202">
        <f>$D99*AD99</f>
        <v>10496497.676580766</v>
      </c>
      <c r="AK99" s="284">
        <f>CHOOSE(gen_choice,'Generation Calculations'!K102,'Generation Calculations'!L102)</f>
        <v>16978139.73128102</v>
      </c>
      <c r="AL99" s="202">
        <f>$D99*gen_equal</f>
        <v>111665189.83911911</v>
      </c>
      <c r="AM99" s="200"/>
      <c r="AN99" s="393">
        <f>CHOOSE(gen_choice,'Generation Calculations'!$O102,'Generation Calculations'!$P102)</f>
        <v>5.6654864544699243E-2</v>
      </c>
      <c r="AO99" s="394">
        <f t="shared" si="86"/>
        <v>0.01</v>
      </c>
      <c r="AP99" s="395">
        <f>AR99-SUM(AN99:AO99,AQ99)</f>
        <v>4.2925418560299827E-2</v>
      </c>
      <c r="AQ99" s="395">
        <f>AV99/$D99*-1</f>
        <v>-1.6175052150167912E-2</v>
      </c>
      <c r="AR99" s="214">
        <f>AW99/$D99</f>
        <v>9.340523095483115E-2</v>
      </c>
      <c r="AS99" s="202">
        <f>$D99*AP99</f>
        <v>45056655.618444405</v>
      </c>
      <c r="AT99" s="202">
        <f>$AI99</f>
        <v>59467765.406043358</v>
      </c>
      <c r="AU99" s="202">
        <f>$D99*AO99</f>
        <v>10496497.676580766</v>
      </c>
      <c r="AV99" s="202">
        <f>$AK99</f>
        <v>16978139.73128102</v>
      </c>
      <c r="AW99" s="202">
        <f>$I99*'Inputs and Assumptions'!$C$15</f>
        <v>98042778.969787508</v>
      </c>
      <c r="AX99" s="200"/>
      <c r="AY99" s="393">
        <f>CHOOSE(gen_choice,'Generation Calculations'!$O102,'Generation Calculations'!$P102)</f>
        <v>5.6654864544699243E-2</v>
      </c>
      <c r="AZ99" s="394">
        <f t="shared" si="87"/>
        <v>0.01</v>
      </c>
      <c r="BA99" s="395">
        <f>BC99-SUM(AY99:AZ99,BB99)</f>
        <v>4.0705707283243311E-2</v>
      </c>
      <c r="BB99" s="395">
        <f>BG99/$D99*-1</f>
        <v>-1.6175052150167912E-2</v>
      </c>
      <c r="BC99" s="214">
        <f>BH99/$D99</f>
        <v>9.1185519677774635E-2</v>
      </c>
      <c r="BD99" s="202">
        <f>$D99*BA99</f>
        <v>42726736.19221402</v>
      </c>
      <c r="BE99" s="202">
        <f>$AI99</f>
        <v>59467765.406043358</v>
      </c>
      <c r="BF99" s="202">
        <f>$D99*AZ99</f>
        <v>10496497.676580766</v>
      </c>
      <c r="BG99" s="202">
        <f>$AK99</f>
        <v>16978139.73128102</v>
      </c>
      <c r="BH99" s="202">
        <f>$M99*'Inputs and Assumptions'!$C$15</f>
        <v>95712859.543557122</v>
      </c>
      <c r="BI99" s="200"/>
      <c r="BJ99" s="393">
        <f>CHOOSE(gen_choice,'Generation Calculations'!$O102,'Generation Calculations'!$P102)</f>
        <v>5.6654864544699243E-2</v>
      </c>
      <c r="BK99" s="394">
        <f t="shared" si="88"/>
        <v>0.01</v>
      </c>
      <c r="BL99" s="395">
        <f>BN99-SUM(BJ99:BK99,BM99)</f>
        <v>4.6879928741262344E-2</v>
      </c>
      <c r="BM99" s="395">
        <f>BR99/$D99*-1</f>
        <v>-1.6175052150167912E-2</v>
      </c>
      <c r="BN99" s="214">
        <f>BS99/$D99</f>
        <v>9.7359741135793668E-2</v>
      </c>
      <c r="BO99" s="202">
        <f>$D99*BL99</f>
        <v>49207506.311093211</v>
      </c>
      <c r="BP99" s="202">
        <f>$AI99</f>
        <v>59467765.406043358</v>
      </c>
      <c r="BQ99" s="202">
        <f>$D99*BK99</f>
        <v>10496497.676580766</v>
      </c>
      <c r="BR99" s="202">
        <f>$AK99</f>
        <v>16978139.73128102</v>
      </c>
      <c r="BS99" s="202">
        <f>D99*P_equal_gen</f>
        <v>102193629.66243631</v>
      </c>
      <c r="BT99" s="200"/>
      <c r="BU99" s="393">
        <f>CHOOSE(gen_choice,'Generation Calculations'!$O102,'Generation Calculations'!$P102)</f>
        <v>5.6654864544699243E-2</v>
      </c>
      <c r="BV99" s="394">
        <f t="shared" si="89"/>
        <v>0.01</v>
      </c>
      <c r="BW99" s="395">
        <f>BY99-SUM(BU99:BV99,BX99)</f>
        <v>2.3079533103418523E-2</v>
      </c>
      <c r="BX99" s="395">
        <f>CC99/$D99*-1</f>
        <v>-1.6175052150167912E-2</v>
      </c>
      <c r="BY99" s="214">
        <f>CD99/$D99</f>
        <v>7.3559345497949846E-2</v>
      </c>
      <c r="BZ99" s="202">
        <f>$D99*BW99</f>
        <v>24225426.55966014</v>
      </c>
      <c r="CA99" s="202">
        <f>$AI99</f>
        <v>59467765.406043358</v>
      </c>
      <c r="CB99" s="202">
        <f>$D99*BV99</f>
        <v>10496497.676580766</v>
      </c>
      <c r="CC99" s="202">
        <f>$AK99</f>
        <v>16978139.73128102</v>
      </c>
      <c r="CD99" s="202">
        <f>$Z99*'Inputs and Assumptions'!$C$15</f>
        <v>77211549.911003247</v>
      </c>
    </row>
    <row r="100" spans="1:82">
      <c r="A100" s="105" t="s">
        <v>3</v>
      </c>
      <c r="B100" s="189" t="s">
        <v>27</v>
      </c>
      <c r="C100" s="189">
        <v>2</v>
      </c>
      <c r="D100" s="176">
        <v>6260946171.6443033</v>
      </c>
      <c r="E100" s="201">
        <f>SUM(E98:E99)</f>
        <v>239599046.89961863</v>
      </c>
      <c r="F100" s="199"/>
      <c r="G100" s="238"/>
      <c r="H100" s="224">
        <f>SUM(H98:H99)</f>
        <v>232531540.81486943</v>
      </c>
      <c r="I100" s="154">
        <f>H100/$H$127</f>
        <v>7.3972889905484562E-2</v>
      </c>
      <c r="J100" s="201">
        <f>SUM(J98:J99)</f>
        <v>181953271.96880269</v>
      </c>
      <c r="K100" s="199"/>
      <c r="L100" s="157">
        <f>SUM(L98:L99)</f>
        <v>504193995.20251584</v>
      </c>
      <c r="M100" s="154">
        <f t="shared" si="84"/>
        <v>7.2214974891077435E-2</v>
      </c>
      <c r="N100" s="201">
        <f>SUM(N98:N99)</f>
        <v>177629277.20365095</v>
      </c>
      <c r="O100" s="199"/>
      <c r="P100" s="223"/>
      <c r="Q100" s="224">
        <f>SUM(Q98:Q99)</f>
        <v>235917072.53479356</v>
      </c>
      <c r="R100" s="199"/>
      <c r="T100" s="383"/>
      <c r="U100" s="340">
        <f>SUM(U98:U99)</f>
        <v>91500296.987179756</v>
      </c>
      <c r="V100" s="154">
        <f>U100/$U$127</f>
        <v>5.6659606726427107E-2</v>
      </c>
      <c r="W100" s="383"/>
      <c r="X100" s="340">
        <f>SUM(X98:X99)</f>
        <v>90726123.893649444</v>
      </c>
      <c r="Y100" s="154">
        <f>X100/$X$127</f>
        <v>5.9852012813825246E-2</v>
      </c>
      <c r="Z100" s="154">
        <f>AVERAGE(V100,Y100)</f>
        <v>5.8255809770126177E-2</v>
      </c>
      <c r="AA100" s="157">
        <f>SUM(AA98:AA99)</f>
        <v>143293512.15573773</v>
      </c>
      <c r="AB100" s="252"/>
      <c r="AC100" s="208">
        <f>CHOOSE(gen_choice,'Generation Calculations'!$O103,'Generation Calculations'!$P103)</f>
        <v>5.5810534229175035E-2</v>
      </c>
      <c r="AD100" s="291">
        <f t="shared" si="85"/>
        <v>0.01</v>
      </c>
      <c r="AE100" s="211">
        <f>AH100/$D100</f>
        <v>4.6835239035890874E-2</v>
      </c>
      <c r="AF100" s="211">
        <f>AK100/$D100*-1</f>
        <v>-6.2624887831757266E-3</v>
      </c>
      <c r="AG100" s="211">
        <f>AL100/$D100</f>
        <v>0.10638328448189018</v>
      </c>
      <c r="AH100" s="201">
        <f>AL100+AK100-SUM(AI100:AJ100)</f>
        <v>293232910.53980678</v>
      </c>
      <c r="AI100" s="201">
        <f>SUM(AI98:AI99)</f>
        <v>349426750.61957675</v>
      </c>
      <c r="AJ100" s="201">
        <f>SUM(AJ98:AJ99)</f>
        <v>62609461.716443039</v>
      </c>
      <c r="AK100" s="201">
        <f>SUM(AK98:AK99)</f>
        <v>39209105.171989456</v>
      </c>
      <c r="AL100" s="201">
        <f>SUM(AL98:AL99)</f>
        <v>666060017.70383716</v>
      </c>
      <c r="AM100" s="199"/>
      <c r="AN100" s="208">
        <f>CHOOSE(gen_choice,'Generation Calculations'!$O103,'Generation Calculations'!$P103)</f>
        <v>5.5810534229175035E-2</v>
      </c>
      <c r="AO100" s="291">
        <f t="shared" si="86"/>
        <v>0.01</v>
      </c>
      <c r="AP100" s="211">
        <f>AS100/$D100</f>
        <v>3.3857185508831843E-2</v>
      </c>
      <c r="AQ100" s="211">
        <f>AV100/$D100*-1</f>
        <v>-6.2624887831757266E-3</v>
      </c>
      <c r="AR100" s="211">
        <f>AW100/$D100</f>
        <v>9.340523095483115E-2</v>
      </c>
      <c r="AS100" s="201">
        <f>SUM(AS98:AS99)</f>
        <v>211978015.99417171</v>
      </c>
      <c r="AT100" s="201">
        <f>SUM(AT98:AT99)</f>
        <v>349426750.61957675</v>
      </c>
      <c r="AU100" s="201">
        <f>SUM(AU98:AU99)</f>
        <v>62609461.716443039</v>
      </c>
      <c r="AV100" s="201">
        <f>SUM(AV98:AV99)</f>
        <v>39209105.171989456</v>
      </c>
      <c r="AW100" s="201">
        <f>SUM(AW98:AW99)</f>
        <v>584805123.15820205</v>
      </c>
      <c r="AX100" s="199"/>
      <c r="AY100" s="208">
        <f>CHOOSE(gen_choice,'Generation Calculations'!$O103,'Generation Calculations'!$P103)</f>
        <v>5.5810534229175035E-2</v>
      </c>
      <c r="AZ100" s="291">
        <f t="shared" si="87"/>
        <v>0.01</v>
      </c>
      <c r="BA100" s="211">
        <f>BD100/$D100</f>
        <v>3.163747423177532E-2</v>
      </c>
      <c r="BB100" s="211">
        <f>BG100/$D100*-1</f>
        <v>-6.2624887831757266E-3</v>
      </c>
      <c r="BC100" s="211">
        <f>BH100/$D100</f>
        <v>9.1185519677774649E-2</v>
      </c>
      <c r="BD100" s="201">
        <f>SUM(BD98:BD99)</f>
        <v>198080523.171929</v>
      </c>
      <c r="BE100" s="201">
        <f>SUM(BE98:BE99)</f>
        <v>349426750.61957675</v>
      </c>
      <c r="BF100" s="201">
        <f>SUM(BF98:BF99)</f>
        <v>62609461.716443039</v>
      </c>
      <c r="BG100" s="201">
        <f>SUM(BG98:BG99)</f>
        <v>39209105.171989456</v>
      </c>
      <c r="BH100" s="201">
        <f>SUM(BH98:BH99)</f>
        <v>570907630.33595943</v>
      </c>
      <c r="BI100" s="199"/>
      <c r="BJ100" s="208">
        <f>CHOOSE(gen_choice,'Generation Calculations'!$O103,'Generation Calculations'!$P103)</f>
        <v>5.5810534229175035E-2</v>
      </c>
      <c r="BK100" s="291">
        <f t="shared" si="88"/>
        <v>0.01</v>
      </c>
      <c r="BL100" s="211">
        <f>BO100/$D100</f>
        <v>3.781169568979436E-2</v>
      </c>
      <c r="BM100" s="211">
        <f>BR100/$D100*-1</f>
        <v>-6.2624887831757266E-3</v>
      </c>
      <c r="BN100" s="211">
        <f>BS100/$D100</f>
        <v>9.7359741135793668E-2</v>
      </c>
      <c r="BO100" s="201">
        <f>SUM(BO98:BO99)</f>
        <v>236736991.37239739</v>
      </c>
      <c r="BP100" s="201">
        <f>SUM(BP98:BP99)</f>
        <v>349426750.61957675</v>
      </c>
      <c r="BQ100" s="201">
        <f>SUM(BQ98:BQ99)</f>
        <v>62609461.716443039</v>
      </c>
      <c r="BR100" s="201">
        <f>SUM(BR98:BR99)</f>
        <v>39209105.171989456</v>
      </c>
      <c r="BS100" s="201">
        <f>SUM(BS98:BS99)</f>
        <v>609564098.53642774</v>
      </c>
      <c r="BT100" s="199"/>
      <c r="BU100" s="208">
        <f>CHOOSE(gen_choice,'Generation Calculations'!$O103,'Generation Calculations'!$P103)</f>
        <v>5.5810534229175035E-2</v>
      </c>
      <c r="BV100" s="291">
        <f t="shared" si="89"/>
        <v>0.01</v>
      </c>
      <c r="BW100" s="211">
        <f>BZ100/$D100</f>
        <v>1.4011300051950525E-2</v>
      </c>
      <c r="BX100" s="211">
        <f>CC100/$D100*-1</f>
        <v>-6.2624887831757266E-3</v>
      </c>
      <c r="BY100" s="211">
        <f>CD100/$D100</f>
        <v>7.3559345497949832E-2</v>
      </c>
      <c r="BZ100" s="201">
        <f>SUM(BZ98:BZ99)</f>
        <v>87723995.420019269</v>
      </c>
      <c r="CA100" s="201">
        <f>SUM(CA98:CA99)</f>
        <v>349426750.61957675</v>
      </c>
      <c r="CB100" s="201">
        <f>SUM(CB98:CB99)</f>
        <v>62609461.716443039</v>
      </c>
      <c r="CC100" s="201">
        <f>SUM(CC98:CC99)</f>
        <v>39209105.171989456</v>
      </c>
      <c r="CD100" s="201">
        <f>SUM(CD98:CD99)</f>
        <v>460551102.58404964</v>
      </c>
    </row>
    <row r="101" spans="1:82">
      <c r="A101" s="89"/>
      <c r="B101" s="77"/>
      <c r="C101" s="77"/>
      <c r="D101" s="176"/>
      <c r="E101" s="201"/>
      <c r="F101" s="199"/>
      <c r="G101" s="238"/>
      <c r="H101" s="224"/>
      <c r="I101" s="154"/>
      <c r="J101" s="201"/>
      <c r="K101" s="199"/>
      <c r="L101" s="157"/>
      <c r="M101" s="154"/>
      <c r="N101" s="201"/>
      <c r="O101" s="199"/>
      <c r="P101" s="223"/>
      <c r="Q101" s="224"/>
      <c r="R101" s="199"/>
      <c r="T101" s="383"/>
      <c r="V101" s="154"/>
      <c r="W101" s="383"/>
      <c r="X101" s="340"/>
      <c r="Y101" s="154"/>
      <c r="Z101" s="154"/>
      <c r="AA101" s="157"/>
      <c r="AB101" s="252"/>
      <c r="AC101" s="207"/>
      <c r="AD101" s="208"/>
      <c r="AE101" s="211"/>
      <c r="AH101" s="201"/>
      <c r="AJ101" s="201"/>
      <c r="AK101" s="201"/>
      <c r="AL101" s="201"/>
      <c r="AM101" s="199"/>
      <c r="AN101" s="207"/>
      <c r="AO101" s="208"/>
      <c r="AP101" s="211"/>
      <c r="AQ101"/>
      <c r="AR101"/>
      <c r="AS101" s="201"/>
      <c r="AT101" s="201"/>
      <c r="AU101" s="201"/>
      <c r="AV101" s="201"/>
      <c r="AW101" s="201"/>
      <c r="AX101" s="199"/>
      <c r="AY101" s="207"/>
      <c r="AZ101" s="208"/>
      <c r="BA101" s="211"/>
      <c r="BB101"/>
      <c r="BC101"/>
      <c r="BD101" s="201"/>
      <c r="BE101" s="201"/>
      <c r="BF101" s="201"/>
      <c r="BG101" s="201"/>
      <c r="BH101" s="201"/>
      <c r="BI101" s="199"/>
      <c r="BJ101" s="207"/>
      <c r="BK101" s="208"/>
      <c r="BL101" s="211"/>
      <c r="BM101"/>
      <c r="BN101"/>
      <c r="BO101" s="201"/>
      <c r="BP101" s="201"/>
      <c r="BQ101" s="201"/>
      <c r="BR101" s="201"/>
      <c r="BS101" s="201"/>
      <c r="BT101" s="199"/>
      <c r="BU101" s="207"/>
      <c r="BV101" s="208"/>
      <c r="BW101" s="211"/>
      <c r="BX101"/>
      <c r="BY101"/>
      <c r="BZ101" s="201"/>
      <c r="CA101" s="201"/>
      <c r="CB101" s="201"/>
      <c r="CC101" s="201"/>
      <c r="CD101" s="201"/>
    </row>
    <row r="102" spans="1:82">
      <c r="A102" s="89" t="s">
        <v>103</v>
      </c>
      <c r="B102" s="77" t="s">
        <v>28</v>
      </c>
      <c r="C102" s="77">
        <v>1</v>
      </c>
      <c r="D102" s="177">
        <v>3025336778.2655072</v>
      </c>
      <c r="E102" s="201">
        <f>surcharge_1*D102</f>
        <v>115776080.60354994</v>
      </c>
      <c r="F102" s="199"/>
      <c r="G102" s="238">
        <f>0.04002</f>
        <v>4.002E-2</v>
      </c>
      <c r="H102" s="224">
        <f t="shared" si="80"/>
        <v>121073977.86618561</v>
      </c>
      <c r="I102" s="154">
        <f>H102/$H$127</f>
        <v>3.8516031002628223E-2</v>
      </c>
      <c r="J102" s="201">
        <f>I102*$E$129</f>
        <v>94739003.344797641</v>
      </c>
      <c r="K102" s="199"/>
      <c r="L102" s="381">
        <v>263627846.85805628</v>
      </c>
      <c r="M102" s="154">
        <f t="shared" si="84"/>
        <v>3.7759034265762208E-2</v>
      </c>
      <c r="N102" s="201">
        <f>M102*$E$129</f>
        <v>92876996.421471179</v>
      </c>
      <c r="O102" s="199"/>
      <c r="P102" s="223">
        <f>S_Equal</f>
        <v>3.8569434685105937E-2</v>
      </c>
      <c r="Q102" s="224">
        <f>P102*D102</f>
        <v>116685529.26976031</v>
      </c>
      <c r="R102" s="199"/>
      <c r="S102" s="331">
        <f>$D102/$D$124</f>
        <v>0.84766083520602287</v>
      </c>
      <c r="T102" s="383">
        <v>58668307.535229452</v>
      </c>
      <c r="U102" s="340">
        <f>$S102*T102</f>
        <v>49730826.5654364</v>
      </c>
      <c r="V102" s="154">
        <f>U102/$U$127</f>
        <v>3.0794753330391667E-2</v>
      </c>
      <c r="W102" s="383">
        <v>55560458.175984956</v>
      </c>
      <c r="X102" s="340">
        <f>$S102*W102</f>
        <v>47096424.381884709</v>
      </c>
      <c r="Y102" s="154">
        <f>X102/$X$127</f>
        <v>3.1069505392891848E-2</v>
      </c>
      <c r="Z102" s="154">
        <f>AVERAGE(V102,Y102)</f>
        <v>3.0932129361641757E-2</v>
      </c>
      <c r="AA102" s="157">
        <f>$Z102*'Inputs and Assumptions'!$C$6</f>
        <v>76084659.576017171</v>
      </c>
      <c r="AB102" s="252"/>
      <c r="AC102" s="390">
        <f>CHOOSE(gen_choice,'Generation Calculations'!$O105,'Generation Calculations'!$P105)</f>
        <v>5.9790863056582447E-2</v>
      </c>
      <c r="AD102" s="391">
        <f t="shared" si="85"/>
        <v>0.01</v>
      </c>
      <c r="AE102" s="392">
        <f>AG102-SUM(AC102:AD102,AF102)</f>
        <v>4.0895964846273017E-2</v>
      </c>
      <c r="AF102" s="392">
        <f>AK102/$D102*-1</f>
        <v>-4.3035434209652878E-3</v>
      </c>
      <c r="AG102" s="211">
        <f>AL102/$D102</f>
        <v>0.10638328448189018</v>
      </c>
      <c r="AH102" s="201">
        <f>$D102*AE102</f>
        <v>123724066.53208305</v>
      </c>
      <c r="AI102" s="407">
        <f>CHOOSE(gen_choice,'Generation Calculations'!$M105,'Generation Calculations'!$N105)</f>
        <v>180887497.00931531</v>
      </c>
      <c r="AJ102" s="201">
        <f>$D102*AD102</f>
        <v>30253367.782655071</v>
      </c>
      <c r="AK102" s="217">
        <f>CHOOSE(gen_choice,'Generation Calculations'!K105,'Generation Calculations'!L105)</f>
        <v>13019668.188308844</v>
      </c>
      <c r="AL102" s="201">
        <f>$D102*gen_equal</f>
        <v>321845263.13574457</v>
      </c>
      <c r="AM102" s="199"/>
      <c r="AN102" s="390">
        <f>CHOOSE(gen_choice,'Generation Calculations'!$O105,'Generation Calculations'!$P105)</f>
        <v>5.9790863056582447E-2</v>
      </c>
      <c r="AO102" s="391">
        <f t="shared" si="86"/>
        <v>0.01</v>
      </c>
      <c r="AP102" s="392">
        <f>AR102-SUM(AN102:AO102,AQ102)</f>
        <v>3.516096638517828E-2</v>
      </c>
      <c r="AQ102" s="392">
        <f>AV102/$D102*-1</f>
        <v>-4.3035434209652878E-3</v>
      </c>
      <c r="AR102" s="211">
        <f>AW102/$D102</f>
        <v>0.10064828602079544</v>
      </c>
      <c r="AS102" s="201">
        <f>$D102*AP102</f>
        <v>106373764.76443705</v>
      </c>
      <c r="AT102" s="201">
        <f>$AI102</f>
        <v>180887497.00931531</v>
      </c>
      <c r="AU102" s="201">
        <f>$D102*AO102</f>
        <v>30253367.782655071</v>
      </c>
      <c r="AV102" s="201">
        <f>$AK102</f>
        <v>13019668.188308844</v>
      </c>
      <c r="AW102" s="201">
        <f>$I102*'Inputs and Assumptions'!$C$15</f>
        <v>304494961.36809856</v>
      </c>
      <c r="AX102" s="199"/>
      <c r="AY102" s="390">
        <f>CHOOSE(gen_choice,'Generation Calculations'!$O105,'Generation Calculations'!$P105)</f>
        <v>5.9790863056582447E-2</v>
      </c>
      <c r="AZ102" s="391">
        <f t="shared" si="87"/>
        <v>0.01</v>
      </c>
      <c r="BA102" s="392">
        <f>BC102-SUM(AY102:AZ102,BB102)</f>
        <v>3.3182818011486787E-2</v>
      </c>
      <c r="BB102" s="392">
        <f>BG102/$D102*-1</f>
        <v>-4.3035434209652878E-3</v>
      </c>
      <c r="BC102" s="211">
        <f>BH102/$D102</f>
        <v>9.8670137647103945E-2</v>
      </c>
      <c r="BD102" s="201">
        <f>$D102*BA102</f>
        <v>100389199.73664208</v>
      </c>
      <c r="BE102" s="201">
        <f>$AI102</f>
        <v>180887497.00931531</v>
      </c>
      <c r="BF102" s="201">
        <f>$D102*AZ102</f>
        <v>30253367.782655071</v>
      </c>
      <c r="BG102" s="201">
        <f>$AK102</f>
        <v>13019668.188308844</v>
      </c>
      <c r="BH102" s="201">
        <f>$M102*'Inputs and Assumptions'!$C$15</f>
        <v>298510396.3403036</v>
      </c>
      <c r="BI102" s="199"/>
      <c r="BJ102" s="390">
        <f>CHOOSE(gen_choice,'Generation Calculations'!$O105,'Generation Calculations'!$P105)</f>
        <v>5.9790863056582447E-2</v>
      </c>
      <c r="BK102" s="391">
        <f t="shared" si="88"/>
        <v>0.01</v>
      </c>
      <c r="BL102" s="392">
        <f>BN102-SUM(BJ102:BK102,BM102)</f>
        <v>3.4168641809982955E-2</v>
      </c>
      <c r="BM102" s="392">
        <f>BR102/$D102*-1</f>
        <v>-4.3035434209652878E-3</v>
      </c>
      <c r="BN102" s="211">
        <f>BS102/$D102</f>
        <v>9.9655961445600114E-2</v>
      </c>
      <c r="BO102" s="201">
        <f>$D102*BL102</f>
        <v>103371648.73112194</v>
      </c>
      <c r="BP102" s="201">
        <f>$AI102</f>
        <v>180887497.00931531</v>
      </c>
      <c r="BQ102" s="201">
        <f>$D102*BK102</f>
        <v>30253367.782655071</v>
      </c>
      <c r="BR102" s="201">
        <f>$AK102</f>
        <v>13019668.188308844</v>
      </c>
      <c r="BS102" s="201">
        <f>D102*s_equal_gen</f>
        <v>301492845.33478343</v>
      </c>
      <c r="BT102" s="199"/>
      <c r="BU102" s="390">
        <f>CHOOSE(gen_choice,'Generation Calculations'!$O105,'Generation Calculations'!$P105)</f>
        <v>5.9790863056582447E-2</v>
      </c>
      <c r="BV102" s="391">
        <f t="shared" si="89"/>
        <v>0.01</v>
      </c>
      <c r="BW102" s="392">
        <f>BY102-SUM(BU102:BV102,BX102)</f>
        <v>1.5343070261263025E-2</v>
      </c>
      <c r="BX102" s="392">
        <f>CC102/$D102*-1</f>
        <v>-4.3035434209652878E-3</v>
      </c>
      <c r="BY102" s="211">
        <f>CD102/$D102</f>
        <v>8.0830389896880184E-2</v>
      </c>
      <c r="BZ102" s="201">
        <f>$D102*BW102</f>
        <v>46417954.752910793</v>
      </c>
      <c r="CA102" s="201">
        <f>$AI102</f>
        <v>180887497.00931531</v>
      </c>
      <c r="CB102" s="201">
        <f>$D102*BV102</f>
        <v>30253367.782655071</v>
      </c>
      <c r="CC102" s="201">
        <f>$AK102</f>
        <v>13019668.188308844</v>
      </c>
      <c r="CD102" s="201">
        <f>$Z102*'Inputs and Assumptions'!$C$15</f>
        <v>244539151.3565723</v>
      </c>
    </row>
    <row r="103" spans="1:82">
      <c r="A103" s="89" t="s">
        <v>104</v>
      </c>
      <c r="B103" s="77" t="s">
        <v>28</v>
      </c>
      <c r="C103" s="77">
        <v>1</v>
      </c>
      <c r="D103" s="178">
        <v>162256345.51085621</v>
      </c>
      <c r="E103" s="202">
        <f>surcharge_1*D103</f>
        <v>6209359.5236271275</v>
      </c>
      <c r="F103" s="200"/>
      <c r="G103" s="243">
        <f>G102</f>
        <v>4.002E-2</v>
      </c>
      <c r="H103" s="224">
        <f t="shared" si="80"/>
        <v>6493498.9473444652</v>
      </c>
      <c r="I103" s="198">
        <f>H103/$H$127</f>
        <v>2.0657106603689441E-3</v>
      </c>
      <c r="J103" s="202">
        <f>I103*$E$129</f>
        <v>5081088.6809371216</v>
      </c>
      <c r="K103" s="200"/>
      <c r="L103" s="382">
        <v>14139017.947816009</v>
      </c>
      <c r="M103" s="198">
        <f t="shared" si="84"/>
        <v>2.0251110401977501E-3</v>
      </c>
      <c r="N103" s="202">
        <f>M103*$E$129</f>
        <v>4981224.6126240138</v>
      </c>
      <c r="O103" s="200"/>
      <c r="P103" s="223">
        <f>S_Equal</f>
        <v>3.8569434685105937E-2</v>
      </c>
      <c r="Q103" s="224">
        <f>P103*D103</f>
        <v>6258135.5204249509</v>
      </c>
      <c r="R103" s="200"/>
      <c r="S103" s="331">
        <f>$D103/$D$124</f>
        <v>4.5462161548858432E-2</v>
      </c>
      <c r="T103" s="383">
        <v>58668307.535229452</v>
      </c>
      <c r="U103" s="343">
        <f>$S103*T103</f>
        <v>2667188.0749647096</v>
      </c>
      <c r="V103" s="198">
        <f>U103/$U$127</f>
        <v>1.6515993102633377E-3</v>
      </c>
      <c r="W103" s="383">
        <v>55560458.175984956</v>
      </c>
      <c r="X103" s="343">
        <f>$S103*W103</f>
        <v>2525898.5253252205</v>
      </c>
      <c r="Y103" s="198">
        <f>X103/$X$127</f>
        <v>1.6663349475990294E-3</v>
      </c>
      <c r="Z103" s="198">
        <f>AVERAGE(V103,Y103)</f>
        <v>1.6589671289311836E-3</v>
      </c>
      <c r="AA103" s="245">
        <f>$Z103*'Inputs and Assumptions'!$C$6</f>
        <v>4080609.76911136</v>
      </c>
      <c r="AB103" s="253"/>
      <c r="AC103" s="393">
        <f>CHOOSE(gen_choice,'Generation Calculations'!$O106,'Generation Calculations'!$P106)</f>
        <v>6.0989937517756825E-2</v>
      </c>
      <c r="AD103" s="394">
        <f t="shared" si="85"/>
        <v>0.01</v>
      </c>
      <c r="AE103" s="395">
        <f>AG103-SUM(AC103:AD103,AF103)</f>
        <v>5.2065697250740242E-2</v>
      </c>
      <c r="AF103" s="392">
        <f>AK103/$D103*-1</f>
        <v>-1.667235028660688E-2</v>
      </c>
      <c r="AG103" s="214">
        <f>AL103/$D103</f>
        <v>0.10638328448189019</v>
      </c>
      <c r="AH103" s="202">
        <f>$D103*AE103</f>
        <v>8447989.762379745</v>
      </c>
      <c r="AI103" s="408">
        <f>CHOOSE(gen_choice,'Generation Calculations'!$M106,'Generation Calculations'!$N106)</f>
        <v>9896004.3745666835</v>
      </c>
      <c r="AJ103" s="202">
        <f>$D103*AD103</f>
        <v>1622563.4551085623</v>
      </c>
      <c r="AK103" s="284">
        <f>CHOOSE(gen_choice,'Generation Calculations'!K106,'Generation Calculations'!L106)</f>
        <v>2705194.6285817083</v>
      </c>
      <c r="AL103" s="202">
        <f>$D103*gen_equal</f>
        <v>17261362.963473283</v>
      </c>
      <c r="AM103" s="200"/>
      <c r="AN103" s="393">
        <f>CHOOSE(gen_choice,'Generation Calculations'!$O106,'Generation Calculations'!$P106)</f>
        <v>6.0989937517756825E-2</v>
      </c>
      <c r="AO103" s="394">
        <f t="shared" si="86"/>
        <v>0.01</v>
      </c>
      <c r="AP103" s="395">
        <f>AR103-SUM(AN103:AO103,AQ103)</f>
        <v>4.6330698789645491E-2</v>
      </c>
      <c r="AQ103" s="392">
        <f>AV103/$D103*-1</f>
        <v>-1.667235028660688E-2</v>
      </c>
      <c r="AR103" s="214">
        <f>AW103/$D103</f>
        <v>0.10064828602079544</v>
      </c>
      <c r="AS103" s="202">
        <f>$D103*AP103</f>
        <v>7517449.8705721265</v>
      </c>
      <c r="AT103" s="202">
        <f>$AI103</f>
        <v>9896004.3745666835</v>
      </c>
      <c r="AU103" s="202">
        <f>$D103*AO103</f>
        <v>1622563.4551085623</v>
      </c>
      <c r="AV103" s="202">
        <f>$AK103</f>
        <v>2705194.6285817083</v>
      </c>
      <c r="AW103" s="202">
        <f>$I103*'Inputs and Assumptions'!$C$15</f>
        <v>16330823.071665663</v>
      </c>
      <c r="AX103" s="200"/>
      <c r="AY103" s="393">
        <f>CHOOSE(gen_choice,'Generation Calculations'!$O106,'Generation Calculations'!$P106)</f>
        <v>6.0989937517756825E-2</v>
      </c>
      <c r="AZ103" s="394">
        <f t="shared" si="87"/>
        <v>0.01</v>
      </c>
      <c r="BA103" s="395">
        <f>BC103-SUM(AY103:AZ103,BB103)</f>
        <v>4.4352550415954012E-2</v>
      </c>
      <c r="BB103" s="392">
        <f>BG103/$D103*-1</f>
        <v>-1.667235028660688E-2</v>
      </c>
      <c r="BC103" s="214">
        <f>BH103/$D103</f>
        <v>9.8670137647103959E-2</v>
      </c>
      <c r="BD103" s="202">
        <f>$D103*BA103</f>
        <v>7196482.7445787033</v>
      </c>
      <c r="BE103" s="202">
        <f>$AI103</f>
        <v>9896004.3745666835</v>
      </c>
      <c r="BF103" s="202">
        <f>$D103*AZ103</f>
        <v>1622563.4551085623</v>
      </c>
      <c r="BG103" s="202">
        <f>$AK103</f>
        <v>2705194.6285817083</v>
      </c>
      <c r="BH103" s="202">
        <f>$M103*'Inputs and Assumptions'!$C$15</f>
        <v>16009855.94567224</v>
      </c>
      <c r="BI103" s="200"/>
      <c r="BJ103" s="393">
        <f>CHOOSE(gen_choice,'Generation Calculations'!$O106,'Generation Calculations'!$P106)</f>
        <v>6.0989937517756825E-2</v>
      </c>
      <c r="BK103" s="394">
        <f t="shared" si="88"/>
        <v>0.01</v>
      </c>
      <c r="BL103" s="395">
        <f>BN103-SUM(BJ103:BK103,BM103)</f>
        <v>4.5338374214450167E-2</v>
      </c>
      <c r="BM103" s="392">
        <f>BR103/$D103*-1</f>
        <v>-1.667235028660688E-2</v>
      </c>
      <c r="BN103" s="214">
        <f>BS103/$D103</f>
        <v>9.9655961445600114E-2</v>
      </c>
      <c r="BO103" s="202">
        <f>$D103*BL103</f>
        <v>7356438.9114403203</v>
      </c>
      <c r="BP103" s="202">
        <f>$AI103</f>
        <v>9896004.3745666835</v>
      </c>
      <c r="BQ103" s="202">
        <f>$D103*BK103</f>
        <v>1622563.4551085623</v>
      </c>
      <c r="BR103" s="202">
        <f>$AK103</f>
        <v>2705194.6285817083</v>
      </c>
      <c r="BS103" s="202">
        <f>D103*s_equal_gen</f>
        <v>16169812.112533858</v>
      </c>
      <c r="BT103" s="200"/>
      <c r="BU103" s="393">
        <f>CHOOSE(gen_choice,'Generation Calculations'!$O106,'Generation Calculations'!$P106)</f>
        <v>6.0989937517756825E-2</v>
      </c>
      <c r="BV103" s="394">
        <f t="shared" si="89"/>
        <v>0.01</v>
      </c>
      <c r="BW103" s="395">
        <f>BY103-SUM(BU103:BV103,BX103)</f>
        <v>2.6512802665730237E-2</v>
      </c>
      <c r="BX103" s="392">
        <f>CC103/$D103*-1</f>
        <v>-1.667235028660688E-2</v>
      </c>
      <c r="BY103" s="214">
        <f>CD103/$D103</f>
        <v>8.0830389896880184E-2</v>
      </c>
      <c r="BZ103" s="202">
        <f>$D103*BW103</f>
        <v>4301870.4697918752</v>
      </c>
      <c r="CA103" s="202">
        <f>$AI103</f>
        <v>9896004.3745666835</v>
      </c>
      <c r="CB103" s="202">
        <f>$D103*BV103</f>
        <v>1622563.4551085623</v>
      </c>
      <c r="CC103" s="202">
        <f>$AK103</f>
        <v>2705194.6285817083</v>
      </c>
      <c r="CD103" s="202">
        <f>$Z103*'Inputs and Assumptions'!$C$15</f>
        <v>13115243.670885412</v>
      </c>
    </row>
    <row r="104" spans="1:82" ht="11.25" customHeight="1">
      <c r="A104" s="105" t="s">
        <v>3</v>
      </c>
      <c r="B104" s="189" t="s">
        <v>28</v>
      </c>
      <c r="C104" s="189">
        <v>1</v>
      </c>
      <c r="D104" s="176">
        <v>3187593123.7763634</v>
      </c>
      <c r="E104" s="201">
        <f>SUM(E102:E103)</f>
        <v>121985440.12717707</v>
      </c>
      <c r="F104" s="199"/>
      <c r="G104" s="238"/>
      <c r="H104" s="224">
        <f>SUM(H102:H103)</f>
        <v>127567476.81353007</v>
      </c>
      <c r="I104" s="154">
        <f>H104/$H$127</f>
        <v>4.0581741662997169E-2</v>
      </c>
      <c r="J104" s="201">
        <f>SUM(J102:J103)</f>
        <v>99820092.025734767</v>
      </c>
      <c r="K104" s="199"/>
      <c r="L104" s="157">
        <f>SUM(L102:L103)</f>
        <v>277766864.80587226</v>
      </c>
      <c r="M104" s="154">
        <f t="shared" si="84"/>
        <v>3.9784145305959952E-2</v>
      </c>
      <c r="N104" s="201">
        <f>SUM(N102:N103)</f>
        <v>97858221.034095198</v>
      </c>
      <c r="O104" s="199"/>
      <c r="P104" s="223"/>
      <c r="Q104" s="224">
        <f>SUM(Q102:Q103)</f>
        <v>122943664.79018526</v>
      </c>
      <c r="R104" s="199"/>
      <c r="T104" s="383"/>
      <c r="U104" s="340">
        <f>SUM(U102:U103)</f>
        <v>52398014.64040111</v>
      </c>
      <c r="V104" s="154">
        <f>U104/$U$127</f>
        <v>3.2446352640655006E-2</v>
      </c>
      <c r="W104" s="383"/>
      <c r="X104" s="340">
        <f>SUM(X102:X103)</f>
        <v>49622322.907209933</v>
      </c>
      <c r="Y104" s="154">
        <f>X104/$X$127</f>
        <v>3.2735840340490881E-2</v>
      </c>
      <c r="Z104" s="154">
        <f>AVERAGE(V104,Y104)</f>
        <v>3.2591096490572943E-2</v>
      </c>
      <c r="AA104" s="157">
        <f>SUM(AA102:AA103)</f>
        <v>80165269.345128536</v>
      </c>
      <c r="AB104" s="252"/>
      <c r="AC104" s="208">
        <f>CHOOSE(gen_choice,'Generation Calculations'!$O107,'Generation Calculations'!$P107)</f>
        <v>5.9851898901657638E-2</v>
      </c>
      <c r="AD104" s="291">
        <f t="shared" si="85"/>
        <v>0.01</v>
      </c>
      <c r="AE104" s="211">
        <f>AH104/$D104</f>
        <v>4.1464531752370457E-2</v>
      </c>
      <c r="AF104" s="211">
        <f>AK104/$D104*-1</f>
        <v>-4.93314617213793E-3</v>
      </c>
      <c r="AG104" s="211">
        <f>AL104/$D104</f>
        <v>0.10638328448189018</v>
      </c>
      <c r="AH104" s="201">
        <f>AL104+AK104-SUM(AI104:AJ104)</f>
        <v>132172056.29446274</v>
      </c>
      <c r="AI104" s="201">
        <f>SUM(AI102:AI103)</f>
        <v>190783501.38388199</v>
      </c>
      <c r="AJ104" s="201">
        <f>SUM(AJ102:AJ103)</f>
        <v>31875931.237763632</v>
      </c>
      <c r="AK104" s="201">
        <f>SUM(AK102:AK103)</f>
        <v>15724862.816890553</v>
      </c>
      <c r="AL104" s="201">
        <f>SUM(AL102:AL103)</f>
        <v>339106626.09921783</v>
      </c>
      <c r="AM104" s="199"/>
      <c r="AN104" s="208">
        <f>CHOOSE(gen_choice,'Generation Calculations'!$O107,'Generation Calculations'!$P107)</f>
        <v>5.9851898901657638E-2</v>
      </c>
      <c r="AO104" s="291">
        <f t="shared" si="86"/>
        <v>0.01</v>
      </c>
      <c r="AP104" s="211">
        <f>AS104/$D104</f>
        <v>3.5729533291275727E-2</v>
      </c>
      <c r="AQ104" s="211">
        <f>AV104/$D104*-1</f>
        <v>-4.93314617213793E-3</v>
      </c>
      <c r="AR104" s="211">
        <f>AW104/$D104</f>
        <v>0.10064828602079544</v>
      </c>
      <c r="AS104" s="201">
        <f>SUM(AS102:AS103)</f>
        <v>113891214.63500917</v>
      </c>
      <c r="AT104" s="201">
        <f>SUM(AT102:AT103)</f>
        <v>190783501.38388199</v>
      </c>
      <c r="AU104" s="201">
        <f>SUM(AU102:AU103)</f>
        <v>31875931.237763632</v>
      </c>
      <c r="AV104" s="201">
        <f>SUM(AV102:AV103)</f>
        <v>15724862.816890553</v>
      </c>
      <c r="AW104" s="201">
        <f>SUM(AW102:AW103)</f>
        <v>320825784.4397642</v>
      </c>
      <c r="AX104" s="199"/>
      <c r="AY104" s="208">
        <f>CHOOSE(gen_choice,'Generation Calculations'!$O107,'Generation Calculations'!$P107)</f>
        <v>5.9851898901657638E-2</v>
      </c>
      <c r="AZ104" s="291">
        <f t="shared" si="87"/>
        <v>0.01</v>
      </c>
      <c r="BA104" s="211">
        <f>BD104/$D104</f>
        <v>3.375138491758424E-2</v>
      </c>
      <c r="BB104" s="211">
        <f>BG104/$D104*-1</f>
        <v>-4.93314617213793E-3</v>
      </c>
      <c r="BC104" s="211">
        <f>BH104/$D104</f>
        <v>9.8670137647103945E-2</v>
      </c>
      <c r="BD104" s="201">
        <f>SUM(BD102:BD103)</f>
        <v>107585682.48122078</v>
      </c>
      <c r="BE104" s="201">
        <f>SUM(BE102:BE103)</f>
        <v>190783501.38388199</v>
      </c>
      <c r="BF104" s="201">
        <f>SUM(BF102:BF103)</f>
        <v>31875931.237763632</v>
      </c>
      <c r="BG104" s="201">
        <f>SUM(BG102:BG103)</f>
        <v>15724862.816890553</v>
      </c>
      <c r="BH104" s="201">
        <f>SUM(BH102:BH103)</f>
        <v>314520252.28597581</v>
      </c>
      <c r="BI104" s="199"/>
      <c r="BJ104" s="208">
        <f>CHOOSE(gen_choice,'Generation Calculations'!$O107,'Generation Calculations'!$P107)</f>
        <v>5.9851898901657638E-2</v>
      </c>
      <c r="BK104" s="291">
        <f t="shared" si="88"/>
        <v>0.01</v>
      </c>
      <c r="BL104" s="211">
        <f>BO104/$D104</f>
        <v>3.4737208716080409E-2</v>
      </c>
      <c r="BM104" s="211">
        <f>BR104/$D104*-1</f>
        <v>-4.93314617213793E-3</v>
      </c>
      <c r="BN104" s="211">
        <f>BS104/$D104</f>
        <v>9.9655961445600114E-2</v>
      </c>
      <c r="BO104" s="201">
        <f>SUM(BO102:BO103)</f>
        <v>110728087.64256227</v>
      </c>
      <c r="BP104" s="201">
        <f>SUM(BP102:BP103)</f>
        <v>190783501.38388199</v>
      </c>
      <c r="BQ104" s="201">
        <f>SUM(BQ102:BQ103)</f>
        <v>31875931.237763632</v>
      </c>
      <c r="BR104" s="201">
        <f>SUM(BR102:BR103)</f>
        <v>15724862.816890553</v>
      </c>
      <c r="BS104" s="201">
        <f>SUM(BS102:BS103)</f>
        <v>317662657.4473173</v>
      </c>
      <c r="BT104" s="199"/>
      <c r="BU104" s="208">
        <f>CHOOSE(gen_choice,'Generation Calculations'!$O107,'Generation Calculations'!$P107)</f>
        <v>5.9851898901657638E-2</v>
      </c>
      <c r="BV104" s="291">
        <f t="shared" si="89"/>
        <v>0.01</v>
      </c>
      <c r="BW104" s="211">
        <f>BZ104/$D104</f>
        <v>1.5911637167360475E-2</v>
      </c>
      <c r="BX104" s="211">
        <f>CC104/$D104*-1</f>
        <v>-4.93314617213793E-3</v>
      </c>
      <c r="BY104" s="211">
        <f>CD104/$D104</f>
        <v>8.0830389896880184E-2</v>
      </c>
      <c r="BZ104" s="201">
        <f>SUM(BZ102:BZ103)</f>
        <v>50719825.222702667</v>
      </c>
      <c r="CA104" s="201">
        <f>SUM(CA102:CA103)</f>
        <v>190783501.38388199</v>
      </c>
      <c r="CB104" s="201">
        <f>SUM(CB102:CB103)</f>
        <v>31875931.237763632</v>
      </c>
      <c r="CC104" s="201">
        <f>SUM(CC102:CC103)</f>
        <v>15724862.816890553</v>
      </c>
      <c r="CD104" s="201">
        <f>SUM(CD102:CD103)</f>
        <v>257654395.02745771</v>
      </c>
    </row>
    <row r="105" spans="1:82">
      <c r="A105" s="89"/>
      <c r="B105" s="73"/>
      <c r="C105" s="73"/>
      <c r="D105" s="176"/>
      <c r="E105" s="201"/>
      <c r="F105" s="199"/>
      <c r="G105" s="238"/>
      <c r="H105" s="224"/>
      <c r="I105" s="154"/>
      <c r="J105" s="201"/>
      <c r="K105" s="199"/>
      <c r="L105" s="157"/>
      <c r="M105" s="154"/>
      <c r="N105" s="201"/>
      <c r="O105" s="199"/>
      <c r="P105" s="223"/>
      <c r="Q105" s="224"/>
      <c r="R105" s="199"/>
      <c r="T105" s="383"/>
      <c r="V105" s="154"/>
      <c r="W105" s="383"/>
      <c r="X105" s="340"/>
      <c r="Y105" s="154"/>
      <c r="Z105" s="154"/>
      <c r="AA105" s="157"/>
      <c r="AB105" s="252"/>
      <c r="AC105" s="207"/>
      <c r="AD105" s="208"/>
      <c r="AE105" s="211"/>
      <c r="AH105" s="201"/>
      <c r="AJ105" s="201"/>
      <c r="AK105" s="201"/>
      <c r="AL105" s="201"/>
      <c r="AM105" s="199"/>
      <c r="AN105" s="207"/>
      <c r="AO105" s="208"/>
      <c r="AP105" s="211"/>
      <c r="AQ105"/>
      <c r="AR105"/>
      <c r="AS105" s="201"/>
      <c r="AT105" s="201"/>
      <c r="AU105" s="201"/>
      <c r="AV105" s="201"/>
      <c r="AW105" s="201"/>
      <c r="AX105" s="199"/>
      <c r="AY105" s="207"/>
      <c r="AZ105" s="208"/>
      <c r="BA105" s="211"/>
      <c r="BB105"/>
      <c r="BC105"/>
      <c r="BD105" s="201"/>
      <c r="BE105" s="201"/>
      <c r="BF105" s="201"/>
      <c r="BG105" s="201"/>
      <c r="BH105" s="201"/>
      <c r="BI105" s="199"/>
      <c r="BJ105" s="207"/>
      <c r="BK105" s="208"/>
      <c r="BL105" s="211"/>
      <c r="BM105"/>
      <c r="BN105"/>
      <c r="BO105" s="201"/>
      <c r="BP105" s="201"/>
      <c r="BQ105" s="201"/>
      <c r="BR105" s="201"/>
      <c r="BS105" s="201"/>
      <c r="BT105" s="199"/>
      <c r="BU105" s="207"/>
      <c r="BV105" s="208"/>
      <c r="BW105" s="211"/>
      <c r="BX105"/>
      <c r="BY105"/>
      <c r="BZ105" s="201"/>
      <c r="CA105" s="201"/>
      <c r="CB105" s="201"/>
      <c r="CC105" s="201"/>
      <c r="CD105" s="201"/>
    </row>
    <row r="106" spans="1:82">
      <c r="A106" s="190" t="s">
        <v>105</v>
      </c>
      <c r="B106" s="72"/>
      <c r="C106" s="72"/>
      <c r="D106" s="176">
        <v>16490670031.436157</v>
      </c>
      <c r="E106" s="201">
        <f>E104+E96+E100</f>
        <v>631078548.50483763</v>
      </c>
      <c r="F106" s="199"/>
      <c r="G106" s="238"/>
      <c r="H106" s="51">
        <f>H104+H96+H100</f>
        <v>613686145.43231738</v>
      </c>
      <c r="I106" s="154">
        <f>H106/$H$127</f>
        <v>0.19522572083555859</v>
      </c>
      <c r="J106" s="201">
        <f>J104+J96+J100</f>
        <v>480202392.03692704</v>
      </c>
      <c r="K106" s="199"/>
      <c r="L106" s="157">
        <f>L104+L96+L100</f>
        <v>1329979473.8851135</v>
      </c>
      <c r="M106" s="154">
        <f t="shared" ref="M106:M125" si="90">L106/$L$127</f>
        <v>0.19049103167855935</v>
      </c>
      <c r="N106" s="201">
        <f>N104+N96+N100</f>
        <v>468556339.20632994</v>
      </c>
      <c r="O106" s="199"/>
      <c r="P106" s="223"/>
      <c r="Q106" s="51">
        <f>Q104+Q96+Q100</f>
        <v>614200111.97572637</v>
      </c>
      <c r="R106" s="199"/>
      <c r="T106" s="383"/>
      <c r="V106" s="154">
        <f>U106/$U$127</f>
        <v>0</v>
      </c>
      <c r="W106" s="383"/>
      <c r="X106" s="340"/>
      <c r="Y106" s="154">
        <f>X106/$X$127</f>
        <v>0</v>
      </c>
      <c r="Z106" s="154">
        <f>AVERAGE(V106,Y106)</f>
        <v>0</v>
      </c>
      <c r="AA106" s="201">
        <f>AA104+AA96+AA100</f>
        <v>361196618.66823852</v>
      </c>
      <c r="AB106" s="252"/>
      <c r="AC106" s="208">
        <f>(AC96*$D$96+AC100*$D$100+AC$104*$D$104)/SUM($D$96,$D$100,$D$104)</f>
        <v>5.2827324856773321E-2</v>
      </c>
      <c r="AD106" s="291">
        <f t="shared" ref="AD106:AD125" si="91">EPS</f>
        <v>0.01</v>
      </c>
      <c r="AE106" s="208">
        <f>AH106/$D106</f>
        <v>5.0665454687962637E-2</v>
      </c>
      <c r="AF106" s="211">
        <f>AK106/$D106*-1</f>
        <v>-7.1094954164958556E-3</v>
      </c>
      <c r="AG106" s="211">
        <f>AL106/$D106</f>
        <v>0.10638328448189018</v>
      </c>
      <c r="AH106" s="201">
        <f>AH96+AH100+AH104</f>
        <v>835507295.25187206</v>
      </c>
      <c r="AI106" s="201">
        <f>AI96+AI100+AI104</f>
        <v>871157988.68846107</v>
      </c>
      <c r="AJ106" s="201">
        <f>AJ96+AJ100+AJ104</f>
        <v>164906700.3143616</v>
      </c>
      <c r="AK106" s="201">
        <f>AK96+AK100+AK104</f>
        <v>117240343.00344093</v>
      </c>
      <c r="AL106" s="201">
        <f>AL96+AL100+AL104</f>
        <v>1754331641.2512536</v>
      </c>
      <c r="AM106" s="199"/>
      <c r="AN106" s="208">
        <f>(AN96*$D$96+AN100*$D$100+AN$104*$D$104)/SUM($D$96,$D$100,$D$104)</f>
        <v>5.2827324856773321E-2</v>
      </c>
      <c r="AO106" s="291">
        <f t="shared" ref="AO106:AO125" si="92">EPS</f>
        <v>0.01</v>
      </c>
      <c r="AP106" s="208">
        <f>AS106/$D106</f>
        <v>3.7873865963940843E-2</v>
      </c>
      <c r="AQ106" s="211">
        <f>AV106/$D106*-1</f>
        <v>-7.1094954164958556E-3</v>
      </c>
      <c r="AR106" s="211">
        <f>AW106/$D106</f>
        <v>9.3591695757868382E-2</v>
      </c>
      <c r="AS106" s="201">
        <f>AS96+AS100+AS104</f>
        <v>624565426.42618918</v>
      </c>
      <c r="AT106" s="201">
        <f>AT96+AT100+AT104</f>
        <v>871157988.68846107</v>
      </c>
      <c r="AU106" s="201">
        <f>AU96+AU100+AU104</f>
        <v>164906700.3143616</v>
      </c>
      <c r="AV106" s="201">
        <f>AV96+AV100+AV104</f>
        <v>117240343.00344093</v>
      </c>
      <c r="AW106" s="201">
        <f>AW96+AW100+AW104</f>
        <v>1543389772.4255707</v>
      </c>
      <c r="AX106" s="199"/>
      <c r="AY106" s="208">
        <f>(AY96*$D$96+AY100*$D$100+AY$104*$D$104)/SUM($D$96,$D$100,$D$104)</f>
        <v>5.2827324856773321E-2</v>
      </c>
      <c r="AZ106" s="291">
        <f t="shared" ref="AZ106:AZ125" si="93">EPS</f>
        <v>0.01</v>
      </c>
      <c r="BA106" s="208">
        <f>BD106/$D106</f>
        <v>3.560404421507813E-2</v>
      </c>
      <c r="BB106" s="211">
        <f>BG106/$D106*-1</f>
        <v>-7.1094954164958556E-3</v>
      </c>
      <c r="BC106" s="211">
        <f>BH106/$D106</f>
        <v>9.1321874009005669E-2</v>
      </c>
      <c r="BD106" s="201">
        <f>BD96+BD100+BD104</f>
        <v>587134544.93551683</v>
      </c>
      <c r="BE106" s="201">
        <f>BE96+BE100+BE104</f>
        <v>871157988.68846107</v>
      </c>
      <c r="BF106" s="201">
        <f>BF96+BF100+BF104</f>
        <v>164906700.3143616</v>
      </c>
      <c r="BG106" s="201">
        <f>BG96+BG100+BG104</f>
        <v>117240343.00344093</v>
      </c>
      <c r="BH106" s="201">
        <f>BH96+BH100+BH104</f>
        <v>1505958890.9348984</v>
      </c>
      <c r="BI106" s="199"/>
      <c r="BJ106" s="208">
        <f>(BJ96*$D$96+BJ100*$D$100+BJ$104*$D$104)/SUM($D$96,$D$100,$D$104)</f>
        <v>5.2827324856773321E-2</v>
      </c>
      <c r="BK106" s="291">
        <f t="shared" ref="BK106:BK125" si="94">EPS</f>
        <v>0.01</v>
      </c>
      <c r="BL106" s="208">
        <f>BO106/$D106</f>
        <v>4.0516848643565848E-2</v>
      </c>
      <c r="BM106" s="211">
        <f>BR106/$D106*-1</f>
        <v>-7.1094954164958556E-3</v>
      </c>
      <c r="BN106" s="211">
        <f>BS106/$D106</f>
        <v>9.6234678437493393E-2</v>
      </c>
      <c r="BO106" s="201">
        <f>BO96+BO100+BO104</f>
        <v>668149981.69468606</v>
      </c>
      <c r="BP106" s="201">
        <f>BP96+BP100+BP104</f>
        <v>871157988.68846107</v>
      </c>
      <c r="BQ106" s="201">
        <f>BQ96+BQ100+BQ104</f>
        <v>164906700.3143616</v>
      </c>
      <c r="BR106" s="201">
        <f>BR96+BR100+BR104</f>
        <v>117240343.00344093</v>
      </c>
      <c r="BS106" s="201">
        <f>BS96+BS100+BS104</f>
        <v>1586974327.6940677</v>
      </c>
      <c r="BT106" s="199"/>
      <c r="BU106" s="208">
        <f>(BU96*$D$96+BU100*$D$100+BU$104*$D$104)/SUM($D$96,$D$100,$D$104)</f>
        <v>5.2827324856773321E-2</v>
      </c>
      <c r="BV106" s="291">
        <f t="shared" ref="BV106:BV125" si="95">EPS</f>
        <v>0.01</v>
      </c>
      <c r="BW106" s="208">
        <f>BZ106/$D106</f>
        <v>1.4679578889886382E-2</v>
      </c>
      <c r="BX106" s="211">
        <f>CC106/$D106*-1</f>
        <v>-7.1094954164958556E-3</v>
      </c>
      <c r="BY106" s="211">
        <f>CD106/$D106</f>
        <v>7.0397408683813931E-2</v>
      </c>
      <c r="BZ106" s="201">
        <f>BZ96+BZ100+BZ104</f>
        <v>242076091.67355222</v>
      </c>
      <c r="CA106" s="201">
        <f>CA96+CA100+CA104</f>
        <v>871157988.68846107</v>
      </c>
      <c r="CB106" s="201">
        <f>CB96+CB100+CB104</f>
        <v>164906700.3143616</v>
      </c>
      <c r="CC106" s="201">
        <f>CC96+CC100+CC104</f>
        <v>117240343.00344093</v>
      </c>
      <c r="CD106" s="201">
        <f>CD96+CD100+CD104</f>
        <v>1160900437.6729338</v>
      </c>
    </row>
    <row r="107" spans="1:82">
      <c r="A107" s="94"/>
      <c r="B107" s="73"/>
      <c r="C107" s="73"/>
      <c r="D107" s="176"/>
      <c r="E107" s="201"/>
      <c r="F107" s="199"/>
      <c r="G107" s="238"/>
      <c r="H107" s="224"/>
      <c r="I107" s="154"/>
      <c r="J107" s="201"/>
      <c r="K107" s="199"/>
      <c r="L107" s="157"/>
      <c r="M107" s="154"/>
      <c r="N107" s="201"/>
      <c r="O107" s="199"/>
      <c r="P107" s="223"/>
      <c r="Q107" s="224"/>
      <c r="R107" s="199"/>
      <c r="T107" s="383"/>
      <c r="V107" s="154"/>
      <c r="W107" s="383"/>
      <c r="X107" s="340"/>
      <c r="Y107" s="154"/>
      <c r="Z107" s="154"/>
      <c r="AA107" s="157"/>
      <c r="AB107" s="252"/>
      <c r="AC107" s="207"/>
      <c r="AD107" s="208"/>
      <c r="AH107" s="201"/>
      <c r="AJ107" s="201"/>
      <c r="AK107" s="201"/>
      <c r="AL107" s="201"/>
      <c r="AM107" s="199"/>
      <c r="AN107" s="207"/>
      <c r="AO107" s="208"/>
      <c r="AP107"/>
      <c r="AQ107"/>
      <c r="AR107"/>
      <c r="AS107" s="201"/>
      <c r="AT107" s="201"/>
      <c r="AU107" s="201"/>
      <c r="AV107" s="201"/>
      <c r="AW107" s="201"/>
      <c r="AX107" s="199"/>
      <c r="AY107" s="207"/>
      <c r="AZ107" s="208"/>
      <c r="BA107"/>
      <c r="BB107"/>
      <c r="BC107"/>
      <c r="BD107" s="201"/>
      <c r="BE107" s="201"/>
      <c r="BF107" s="201"/>
      <c r="BG107" s="201"/>
      <c r="BH107" s="201"/>
      <c r="BI107" s="199"/>
      <c r="BJ107" s="207"/>
      <c r="BK107" s="208"/>
      <c r="BL107"/>
      <c r="BM107"/>
      <c r="BN107"/>
      <c r="BO107" s="201"/>
      <c r="BP107" s="201"/>
      <c r="BQ107" s="201"/>
      <c r="BR107" s="201"/>
      <c r="BS107" s="201"/>
      <c r="BT107" s="199"/>
      <c r="BU107" s="207"/>
      <c r="BV107" s="208"/>
      <c r="BW107"/>
      <c r="BX107"/>
      <c r="BY107"/>
      <c r="BZ107" s="201"/>
      <c r="CA107" s="201"/>
      <c r="CB107" s="201"/>
      <c r="CC107" s="201"/>
      <c r="CD107" s="201"/>
    </row>
    <row r="108" spans="1:82">
      <c r="A108" s="89" t="s">
        <v>81</v>
      </c>
      <c r="B108" s="77" t="s">
        <v>21</v>
      </c>
      <c r="C108" s="77">
        <v>3</v>
      </c>
      <c r="D108" s="177">
        <v>3480000</v>
      </c>
      <c r="E108" s="201">
        <f>surcharge_1*D108</f>
        <v>133175.50739965742</v>
      </c>
      <c r="F108" s="199"/>
      <c r="G108" s="238">
        <f>G95</f>
        <v>3.601E-2</v>
      </c>
      <c r="H108" s="224">
        <f t="shared" si="80"/>
        <v>125314.8</v>
      </c>
      <c r="I108" s="154">
        <f>H108/$H$127</f>
        <v>3.98651205399618E-5</v>
      </c>
      <c r="J108" s="201">
        <f>I108*$E$129</f>
        <v>98057.398175800758</v>
      </c>
      <c r="K108" s="199"/>
      <c r="L108" s="381">
        <v>270813.59999999998</v>
      </c>
      <c r="M108" s="154">
        <f t="shared" si="90"/>
        <v>3.8788239269503897E-5</v>
      </c>
      <c r="N108" s="201">
        <f>M108*$E$129</f>
        <v>95408.561947662412</v>
      </c>
      <c r="O108" s="199"/>
      <c r="P108" s="223">
        <f>T_Equal</f>
        <v>3.6258823390606508E-2</v>
      </c>
      <c r="Q108" s="224">
        <f>P108*D108</f>
        <v>126180.70539931065</v>
      </c>
      <c r="R108" s="199"/>
      <c r="S108" s="331">
        <f>$D108/$D$122</f>
        <v>4.6998708805995294E-4</v>
      </c>
      <c r="T108" s="383">
        <v>90447566.613451004</v>
      </c>
      <c r="U108" s="340">
        <f>$S108*T108</f>
        <v>42509.188454764459</v>
      </c>
      <c r="V108" s="154">
        <f>U108/$U$127</f>
        <v>2.6322908005905118E-5</v>
      </c>
      <c r="W108" s="383">
        <v>93601441.810770005</v>
      </c>
      <c r="X108" s="340">
        <f>$S108*W108</f>
        <v>43991.469074856926</v>
      </c>
      <c r="Y108" s="154">
        <f>X108/$X$127</f>
        <v>2.9021166757369146E-5</v>
      </c>
      <c r="Z108" s="154">
        <f>AVERAGE(V108,Y108)</f>
        <v>2.7672037381637132E-5</v>
      </c>
      <c r="AA108" s="157">
        <f>$Z108*'Inputs and Assumptions'!$C$6</f>
        <v>68065.716373460018</v>
      </c>
      <c r="AB108" s="252"/>
      <c r="AC108" s="390">
        <f>CHOOSE(gen_choice,'Generation Calculations'!$O109,'Generation Calculations'!$P109)</f>
        <v>5.5725557416215758E-2</v>
      </c>
      <c r="AD108" s="391">
        <f t="shared" si="91"/>
        <v>0.01</v>
      </c>
      <c r="AE108" s="392">
        <f>AG108-SUM(AC108:AD108,AF108)</f>
        <v>4.4977727065674426E-2</v>
      </c>
      <c r="AF108" s="392">
        <f>AK108/$D108*-1</f>
        <v>-4.3200000000000001E-3</v>
      </c>
      <c r="AG108" s="211">
        <f>AL108/$D108</f>
        <v>0.10638328448189019</v>
      </c>
      <c r="AH108" s="201">
        <f>$D108*AE108</f>
        <v>156522.490188547</v>
      </c>
      <c r="AI108" s="407">
        <f>CHOOSE(gen_choice,'Generation Calculations'!$M109,'Generation Calculations'!$N109)</f>
        <v>193924.93980843085</v>
      </c>
      <c r="AJ108" s="201">
        <f>$D108*AD108</f>
        <v>34800</v>
      </c>
      <c r="AK108" s="217">
        <f>CHOOSE(gen_choice,'Generation Calculations'!K109,'Generation Calculations'!L109)</f>
        <v>15033.6</v>
      </c>
      <c r="AL108" s="201">
        <f>$D108*gen_equal</f>
        <v>370213.82999697787</v>
      </c>
      <c r="AM108" s="199"/>
      <c r="AN108" s="390">
        <f>CHOOSE(gen_choice,'Generation Calculations'!$O109,'Generation Calculations'!$P109)</f>
        <v>5.5725557416215758E-2</v>
      </c>
      <c r="AO108" s="391">
        <f t="shared" si="92"/>
        <v>0.01</v>
      </c>
      <c r="AP108" s="392">
        <f>AR108-SUM(AN108:AO108,AQ108)</f>
        <v>2.9157780405094681E-2</v>
      </c>
      <c r="AQ108" s="392">
        <f>AV108/$D108*-1</f>
        <v>-4.3200000000000001E-3</v>
      </c>
      <c r="AR108" s="211">
        <f>AW108/$D108</f>
        <v>9.0563337821310444E-2</v>
      </c>
      <c r="AS108" s="201">
        <f>$D108*AP108</f>
        <v>101469.07580972949</v>
      </c>
      <c r="AT108" s="201">
        <f>$AI108</f>
        <v>193924.93980843085</v>
      </c>
      <c r="AU108" s="201">
        <f>$D108*AO108</f>
        <v>34800</v>
      </c>
      <c r="AV108" s="201">
        <f>$AK108</f>
        <v>15033.6</v>
      </c>
      <c r="AW108" s="201">
        <f>$I108*'Inputs and Assumptions'!$C$15</f>
        <v>315160.41561816033</v>
      </c>
      <c r="AX108" s="199"/>
      <c r="AY108" s="390">
        <f>CHOOSE(gen_choice,'Generation Calculations'!$O109,'Generation Calculations'!$P109)</f>
        <v>5.5725557416215758E-2</v>
      </c>
      <c r="AZ108" s="391">
        <f t="shared" si="93"/>
        <v>0.01</v>
      </c>
      <c r="BA108" s="392">
        <f>BC108-SUM(AY108:AZ108,BB108)</f>
        <v>2.6711382125873172E-2</v>
      </c>
      <c r="BB108" s="392">
        <f>BG108/$D108*-1</f>
        <v>-4.3200000000000001E-3</v>
      </c>
      <c r="BC108" s="211">
        <f>BH108/$D108</f>
        <v>8.8116939542088935E-2</v>
      </c>
      <c r="BD108" s="201">
        <f>$D108*BA108</f>
        <v>92955.60979803864</v>
      </c>
      <c r="BE108" s="201">
        <f>$AI108</f>
        <v>193924.93980843085</v>
      </c>
      <c r="BF108" s="201">
        <f>$D108*AZ108</f>
        <v>34800</v>
      </c>
      <c r="BG108" s="201">
        <f>$AK108</f>
        <v>15033.6</v>
      </c>
      <c r="BH108" s="201">
        <f>$M108*'Inputs and Assumptions'!$C$15</f>
        <v>306646.94960646948</v>
      </c>
      <c r="BI108" s="199"/>
      <c r="BJ108" s="390">
        <f>CHOOSE(gen_choice,'Generation Calculations'!$O109,'Generation Calculations'!$P109)</f>
        <v>5.5725557416215758E-2</v>
      </c>
      <c r="BK108" s="391">
        <f t="shared" si="94"/>
        <v>0.01</v>
      </c>
      <c r="BL108" s="392">
        <f>BN108-SUM(BJ108:BK108,BM108)</f>
        <v>3.2280231223887575E-2</v>
      </c>
      <c r="BM108" s="392">
        <f>BR108/$D108*-1</f>
        <v>-4.3200000000000001E-3</v>
      </c>
      <c r="BN108" s="211">
        <f>BS108/$D108</f>
        <v>9.3685788640103337E-2</v>
      </c>
      <c r="BO108" s="201">
        <f>$D108*BL108</f>
        <v>112335.20465912877</v>
      </c>
      <c r="BP108" s="201">
        <f>$AI108</f>
        <v>193924.93980843085</v>
      </c>
      <c r="BQ108" s="201">
        <f>$D108*BK108</f>
        <v>34800</v>
      </c>
      <c r="BR108" s="201">
        <f>$AK108</f>
        <v>15033.6</v>
      </c>
      <c r="BS108" s="201">
        <f>D108*T_equal_gen</f>
        <v>326026.54446755961</v>
      </c>
      <c r="BT108" s="199"/>
      <c r="BU108" s="390">
        <f>CHOOSE(gen_choice,'Generation Calculations'!$O109,'Generation Calculations'!$P109)</f>
        <v>5.5725557416215758E-2</v>
      </c>
      <c r="BV108" s="391">
        <f t="shared" si="95"/>
        <v>0.01</v>
      </c>
      <c r="BW108" s="392">
        <f>BY108-SUM(BU108:BV108,BX108)</f>
        <v>1.4582201330076219E-3</v>
      </c>
      <c r="BX108" s="392">
        <f>CC108/$D108*-1</f>
        <v>-4.3200000000000001E-3</v>
      </c>
      <c r="BY108" s="211">
        <f>CD108/$D108</f>
        <v>6.2863777549223385E-2</v>
      </c>
      <c r="BZ108" s="201">
        <f>$D108*BW108</f>
        <v>5074.6060628665246</v>
      </c>
      <c r="CA108" s="201">
        <f>$AI108</f>
        <v>193924.93980843085</v>
      </c>
      <c r="CB108" s="201">
        <f>$D108*BV108</f>
        <v>34800</v>
      </c>
      <c r="CC108" s="201">
        <f>$AK108</f>
        <v>15033.6</v>
      </c>
      <c r="CD108" s="201">
        <f>$Z108*'Inputs and Assumptions'!$C$15</f>
        <v>218765.94587129739</v>
      </c>
    </row>
    <row r="109" spans="1:82">
      <c r="A109" s="94"/>
      <c r="B109" s="77" t="s">
        <v>28</v>
      </c>
      <c r="C109" s="77">
        <v>1</v>
      </c>
      <c r="D109" s="178">
        <v>352913796</v>
      </c>
      <c r="E109" s="202">
        <f>surcharge_1*D109</f>
        <v>13505595.934091723</v>
      </c>
      <c r="F109" s="200"/>
      <c r="G109" s="243">
        <f>G103</f>
        <v>4.002E-2</v>
      </c>
      <c r="H109" s="224">
        <f t="shared" si="80"/>
        <v>14123610.11592</v>
      </c>
      <c r="I109" s="198">
        <f>H109/$H$127</f>
        <v>4.4930001861757315E-3</v>
      </c>
      <c r="J109" s="202">
        <f>I109*$E$129</f>
        <v>11051563.4291922</v>
      </c>
      <c r="K109" s="200"/>
      <c r="L109" s="382">
        <v>30752908.18344</v>
      </c>
      <c r="M109" s="198">
        <f t="shared" si="90"/>
        <v>4.4046944498073778E-3</v>
      </c>
      <c r="N109" s="202">
        <f>M109*$E$129</f>
        <v>10834355.237294249</v>
      </c>
      <c r="O109" s="200"/>
      <c r="P109" s="223">
        <f>S_Equal</f>
        <v>3.8569434685105937E-2</v>
      </c>
      <c r="Q109" s="224">
        <f>P109*D109</f>
        <v>13611685.604294801</v>
      </c>
      <c r="R109" s="200"/>
      <c r="S109" s="331">
        <f>$D109/$D$124</f>
        <v>9.8881951002029608E-2</v>
      </c>
      <c r="T109" s="383">
        <v>58668307.535229452</v>
      </c>
      <c r="U109" s="343">
        <f>$S109*T109</f>
        <v>5801236.7110705627</v>
      </c>
      <c r="V109" s="198">
        <f>U109/$U$127</f>
        <v>3.5922920624205578E-3</v>
      </c>
      <c r="W109" s="383">
        <v>55560458.175984956</v>
      </c>
      <c r="X109" s="343">
        <f>$S109*W109</f>
        <v>5493926.5030080602</v>
      </c>
      <c r="Y109" s="198">
        <f>X109/$X$127</f>
        <v>3.6243426407338132E-3</v>
      </c>
      <c r="Z109" s="198">
        <f>AVERAGE(V109,Y109)</f>
        <v>3.6083173515771855E-3</v>
      </c>
      <c r="AA109" s="245">
        <f>$Z109*'Inputs and Assumptions'!$C$6</f>
        <v>8875483.2920566387</v>
      </c>
      <c r="AB109" s="253"/>
      <c r="AC109" s="393">
        <f>CHOOSE(gen_choice,'Generation Calculations'!$O110,'Generation Calculations'!$P110)</f>
        <v>5.3109414303136766E-2</v>
      </c>
      <c r="AD109" s="394">
        <f t="shared" si="91"/>
        <v>0.01</v>
      </c>
      <c r="AE109" s="392">
        <f>AG109-SUM(AC109:AD109,AF109)</f>
        <v>4.7593870178753418E-2</v>
      </c>
      <c r="AF109" s="395">
        <f>AK109/$D109*-1</f>
        <v>-4.3200000000000001E-3</v>
      </c>
      <c r="AG109" s="214">
        <f>AL109/$D109</f>
        <v>0.10638328448189019</v>
      </c>
      <c r="AH109" s="202">
        <f>$D109*AE109</f>
        <v>16796533.391115066</v>
      </c>
      <c r="AI109" s="408">
        <f>CHOOSE(gen_choice,'Generation Calculations'!$M110,'Generation Calculations'!$N110)</f>
        <v>18743045.00505669</v>
      </c>
      <c r="AJ109" s="202">
        <f>$D109*AD109</f>
        <v>3529137.96</v>
      </c>
      <c r="AK109" s="284">
        <f>CHOOSE(gen_choice,'Generation Calculations'!K110,'Generation Calculations'!L110)</f>
        <v>1524587.5987200001</v>
      </c>
      <c r="AL109" s="202">
        <f>$D109*gen_equal</f>
        <v>37544128.757451758</v>
      </c>
      <c r="AM109" s="200"/>
      <c r="AN109" s="393">
        <f>CHOOSE(gen_choice,'Generation Calculations'!$O110,'Generation Calculations'!$P110)</f>
        <v>5.3109414303136766E-2</v>
      </c>
      <c r="AO109" s="394">
        <f t="shared" si="92"/>
        <v>0.01</v>
      </c>
      <c r="AP109" s="392">
        <f>AR109-SUM(AN109:AO109,AQ109)</f>
        <v>4.1858871717658667E-2</v>
      </c>
      <c r="AQ109" s="395">
        <f>AV109/$D109*-1</f>
        <v>-4.3200000000000001E-3</v>
      </c>
      <c r="AR109" s="214">
        <f>AW109/$D109</f>
        <v>0.10064828602079544</v>
      </c>
      <c r="AS109" s="202">
        <f>$D109*AP109</f>
        <v>14772573.31415596</v>
      </c>
      <c r="AT109" s="202">
        <f>$AI109</f>
        <v>18743045.00505669</v>
      </c>
      <c r="AU109" s="202">
        <f>$D109*AO109</f>
        <v>3529137.96</v>
      </c>
      <c r="AV109" s="202">
        <f>$AK109</f>
        <v>1524587.5987200001</v>
      </c>
      <c r="AW109" s="202">
        <f>$I109*'Inputs and Assumptions'!$C$15</f>
        <v>35520168.680492654</v>
      </c>
      <c r="AX109" s="200"/>
      <c r="AY109" s="393">
        <f>CHOOSE(gen_choice,'Generation Calculations'!$O110,'Generation Calculations'!$P110)</f>
        <v>5.3109414303136766E-2</v>
      </c>
      <c r="AZ109" s="394">
        <f t="shared" si="93"/>
        <v>0.01</v>
      </c>
      <c r="BA109" s="392">
        <f>BC109-SUM(AY109:AZ109,BB109)</f>
        <v>3.9880723343967188E-2</v>
      </c>
      <c r="BB109" s="395">
        <f>BG109/$D109*-1</f>
        <v>-4.3200000000000001E-3</v>
      </c>
      <c r="BC109" s="214">
        <f>BH109/$D109</f>
        <v>9.8670137647103959E-2</v>
      </c>
      <c r="BD109" s="202">
        <f>$D109*BA109</f>
        <v>14074457.462545274</v>
      </c>
      <c r="BE109" s="202">
        <f>$AI109</f>
        <v>18743045.00505669</v>
      </c>
      <c r="BF109" s="202">
        <f>$D109*AZ109</f>
        <v>3529137.96</v>
      </c>
      <c r="BG109" s="202">
        <f>$AK109</f>
        <v>1524587.5987200001</v>
      </c>
      <c r="BH109" s="202">
        <f>$M109*'Inputs and Assumptions'!$C$15</f>
        <v>34822052.828881964</v>
      </c>
      <c r="BI109" s="200"/>
      <c r="BJ109" s="393">
        <f>CHOOSE(gen_choice,'Generation Calculations'!$O110,'Generation Calculations'!$P110)</f>
        <v>5.3109414303136766E-2</v>
      </c>
      <c r="BK109" s="394">
        <f t="shared" si="94"/>
        <v>0.01</v>
      </c>
      <c r="BL109" s="392">
        <f>BN109-SUM(BJ109:BK109,BM109)</f>
        <v>4.0866547142463343E-2</v>
      </c>
      <c r="BM109" s="395">
        <f>BR109/$D109*-1</f>
        <v>-4.3200000000000001E-3</v>
      </c>
      <c r="BN109" s="214">
        <f>BS109/$D109</f>
        <v>9.9655961445600114E-2</v>
      </c>
      <c r="BO109" s="202">
        <f>$D109*BL109</f>
        <v>14422368.281459691</v>
      </c>
      <c r="BP109" s="202">
        <f>$AI109</f>
        <v>18743045.00505669</v>
      </c>
      <c r="BQ109" s="202">
        <f>$D109*BK109</f>
        <v>3529137.96</v>
      </c>
      <c r="BR109" s="202">
        <f>$AK109</f>
        <v>1524587.5987200001</v>
      </c>
      <c r="BS109" s="202">
        <f>D109*s_equal_gen</f>
        <v>35169963.647796385</v>
      </c>
      <c r="BT109" s="200"/>
      <c r="BU109" s="393">
        <f>CHOOSE(gen_choice,'Generation Calculations'!$O110,'Generation Calculations'!$P110)</f>
        <v>5.3109414303136766E-2</v>
      </c>
      <c r="BV109" s="394">
        <f t="shared" si="95"/>
        <v>0.01</v>
      </c>
      <c r="BW109" s="392">
        <f>BY109-SUM(BU109:BV109,BX109)</f>
        <v>2.2040975593743413E-2</v>
      </c>
      <c r="BX109" s="395">
        <f>CC109/$D109*-1</f>
        <v>-4.3200000000000001E-3</v>
      </c>
      <c r="BY109" s="214">
        <f>CD109/$D109</f>
        <v>8.0830389896880184E-2</v>
      </c>
      <c r="BZ109" s="202">
        <f>$D109*BW109</f>
        <v>7778564.3643313413</v>
      </c>
      <c r="CA109" s="202">
        <f>$AI109</f>
        <v>18743045.00505669</v>
      </c>
      <c r="CB109" s="202">
        <f>$D109*BV109</f>
        <v>3529137.96</v>
      </c>
      <c r="CC109" s="202">
        <f>$AK109</f>
        <v>1524587.5987200001</v>
      </c>
      <c r="CD109" s="202">
        <f>$Z109*'Inputs and Assumptions'!$C$15</f>
        <v>28526159.730668034</v>
      </c>
    </row>
    <row r="110" spans="1:82">
      <c r="A110" s="105" t="s">
        <v>106</v>
      </c>
      <c r="B110" s="72"/>
      <c r="C110" s="72"/>
      <c r="D110" s="176">
        <f>SUM(D108:D109)</f>
        <v>356393796</v>
      </c>
      <c r="E110" s="201">
        <f>SUM(E108:E109)</f>
        <v>13638771.44149138</v>
      </c>
      <c r="F110" s="199"/>
      <c r="G110" s="238"/>
      <c r="H110" s="224">
        <f>SUM(H108:H109)</f>
        <v>14248924.915920001</v>
      </c>
      <c r="I110" s="154">
        <f>H110/$H$127</f>
        <v>4.5328653067156941E-3</v>
      </c>
      <c r="J110" s="201">
        <f>SUM(J108:J109)</f>
        <v>11149620.827368001</v>
      </c>
      <c r="K110" s="199"/>
      <c r="L110" s="157">
        <f>SUM(L108:L109)</f>
        <v>31023721.783440001</v>
      </c>
      <c r="M110" s="154">
        <f t="shared" si="90"/>
        <v>4.4434826890768818E-3</v>
      </c>
      <c r="N110" s="201">
        <f>SUM(N108:N109)</f>
        <v>10929763.799241912</v>
      </c>
      <c r="O110" s="199"/>
      <c r="P110" s="223"/>
      <c r="Q110" s="224">
        <f>SUM(Q108:Q109)</f>
        <v>13737866.309694111</v>
      </c>
      <c r="R110" s="199"/>
      <c r="T110" s="339"/>
      <c r="U110" s="340">
        <f>SUM(U108:U109)</f>
        <v>5843745.8995253276</v>
      </c>
      <c r="V110" s="154">
        <f>U110/$U$127</f>
        <v>3.6186149704264636E-3</v>
      </c>
      <c r="W110" s="339"/>
      <c r="X110" s="340">
        <f>SUM(X108:X109)</f>
        <v>5537917.9720829166</v>
      </c>
      <c r="Y110" s="154">
        <f>X110/$X$127</f>
        <v>3.6533638074911822E-3</v>
      </c>
      <c r="Z110" s="154">
        <f>AVERAGE(V110,Y110)</f>
        <v>3.6359893889588227E-3</v>
      </c>
      <c r="AA110" s="157">
        <f>SUM(AA108:AA109)</f>
        <v>8943549.0084300991</v>
      </c>
      <c r="AB110" s="252"/>
      <c r="AC110" s="208">
        <f>CHOOSE(gen_choice,'Generation Calculations'!$O111,'Generation Calculations'!$P111)</f>
        <v>5.3134959579557668E-2</v>
      </c>
      <c r="AD110" s="291">
        <f t="shared" si="91"/>
        <v>0.01</v>
      </c>
      <c r="AE110" s="211">
        <f>AH110/$D110</f>
        <v>4.7568324902332516E-2</v>
      </c>
      <c r="AF110" s="211">
        <f>AK110/$D110*-1</f>
        <v>-4.3200000000000009E-3</v>
      </c>
      <c r="AG110" s="211">
        <f>AL110/$D110</f>
        <v>0.10638328448189019</v>
      </c>
      <c r="AH110" s="201">
        <f>AL110+AK110-SUM(AI110:AJ110)</f>
        <v>16953055.881303616</v>
      </c>
      <c r="AI110" s="201">
        <f>SUM(AI108:AI109)</f>
        <v>18936969.944865122</v>
      </c>
      <c r="AJ110" s="201">
        <f>SUM(AJ108:AJ109)</f>
        <v>3563937.96</v>
      </c>
      <c r="AK110" s="201">
        <f>SUM(AK108:AK109)</f>
        <v>1539621.1987200002</v>
      </c>
      <c r="AL110" s="201">
        <f>SUM(AL108:AL109)</f>
        <v>37914342.587448739</v>
      </c>
      <c r="AM110" s="199"/>
      <c r="AN110" s="208">
        <f>CHOOSE(gen_choice,'Generation Calculations'!$O111,'Generation Calculations'!$P111)</f>
        <v>5.3134959579557668E-2</v>
      </c>
      <c r="AO110" s="291">
        <f t="shared" si="92"/>
        <v>0.01</v>
      </c>
      <c r="AP110" s="211">
        <f>AS110/$D110</f>
        <v>4.1734852168879198E-2</v>
      </c>
      <c r="AQ110" s="211">
        <f>AV110/$D110*-1</f>
        <v>-4.3200000000000009E-3</v>
      </c>
      <c r="AR110" s="211">
        <f>AW110/$D110</f>
        <v>0.10054981174843687</v>
      </c>
      <c r="AS110" s="201">
        <f>SUM(AS108:AS109)</f>
        <v>14874042.389965691</v>
      </c>
      <c r="AT110" s="201">
        <f>SUM(AT108:AT109)</f>
        <v>18936969.944865122</v>
      </c>
      <c r="AU110" s="201">
        <f>SUM(AU108:AU109)</f>
        <v>3563937.96</v>
      </c>
      <c r="AV110" s="201">
        <f>SUM(AV108:AV109)</f>
        <v>1539621.1987200002</v>
      </c>
      <c r="AW110" s="201">
        <f>SUM(AW108:AW109)</f>
        <v>35835329.096110813</v>
      </c>
      <c r="AX110" s="199"/>
      <c r="AY110" s="208">
        <f>CHOOSE(gen_choice,'Generation Calculations'!$O111,'Generation Calculations'!$P111)</f>
        <v>5.3134959579557668E-2</v>
      </c>
      <c r="AZ110" s="291">
        <f t="shared" si="93"/>
        <v>0.01</v>
      </c>
      <c r="BA110" s="211">
        <f>BD110/$D110</f>
        <v>3.9752131578472572E-2</v>
      </c>
      <c r="BB110" s="211">
        <f>BG110/$D110*-1</f>
        <v>-4.3200000000000009E-3</v>
      </c>
      <c r="BC110" s="211">
        <f>BH110/$D110</f>
        <v>9.8567091158030251E-2</v>
      </c>
      <c r="BD110" s="201">
        <f>SUM(BD108:BD109)</f>
        <v>14167413.072343312</v>
      </c>
      <c r="BE110" s="201">
        <f>SUM(BE108:BE109)</f>
        <v>18936969.944865122</v>
      </c>
      <c r="BF110" s="201">
        <f>SUM(BF108:BF109)</f>
        <v>3563937.96</v>
      </c>
      <c r="BG110" s="201">
        <f>SUM(BG108:BG109)</f>
        <v>1539621.1987200002</v>
      </c>
      <c r="BH110" s="201">
        <f>SUM(BH108:BH109)</f>
        <v>35128699.778488435</v>
      </c>
      <c r="BI110" s="199"/>
      <c r="BJ110" s="208">
        <f>CHOOSE(gen_choice,'Generation Calculations'!$O111,'Generation Calculations'!$P111)</f>
        <v>5.3134959579557668E-2</v>
      </c>
      <c r="BK110" s="291">
        <f t="shared" si="94"/>
        <v>0.01</v>
      </c>
      <c r="BL110" s="211">
        <f>BO110/$D110</f>
        <v>4.0782706234647303E-2</v>
      </c>
      <c r="BM110" s="211">
        <f>BR110/$D110*-1</f>
        <v>-4.3200000000000009E-3</v>
      </c>
      <c r="BN110" s="211">
        <f>BS110/$D110</f>
        <v>9.9597665814204983E-2</v>
      </c>
      <c r="BO110" s="201">
        <f>SUM(BO108:BO109)</f>
        <v>14534703.48611882</v>
      </c>
      <c r="BP110" s="201">
        <f>SUM(BP108:BP109)</f>
        <v>18936969.944865122</v>
      </c>
      <c r="BQ110" s="201">
        <f>SUM(BQ108:BQ109)</f>
        <v>3563937.96</v>
      </c>
      <c r="BR110" s="201">
        <f>SUM(BR108:BR109)</f>
        <v>1539621.1987200002</v>
      </c>
      <c r="BS110" s="201">
        <f>SUM(BS108:BS109)</f>
        <v>35495990.192263946</v>
      </c>
      <c r="BT110" s="199"/>
      <c r="BU110" s="208">
        <f>CHOOSE(gen_choice,'Generation Calculations'!$O111,'Generation Calculations'!$P111)</f>
        <v>5.3134959579557668E-2</v>
      </c>
      <c r="BV110" s="291">
        <f t="shared" si="95"/>
        <v>0.01</v>
      </c>
      <c r="BW110" s="211">
        <f>BZ110/$D110</f>
        <v>2.1839995695082774E-2</v>
      </c>
      <c r="BX110" s="211">
        <f>CC110/$D110*-1</f>
        <v>-4.3200000000000009E-3</v>
      </c>
      <c r="BY110" s="211">
        <f>CD110/$D110</f>
        <v>8.065495527464045E-2</v>
      </c>
      <c r="BZ110" s="201">
        <f>SUM(BZ108:BZ109)</f>
        <v>7783638.9703942081</v>
      </c>
      <c r="CA110" s="201">
        <f>SUM(CA108:CA109)</f>
        <v>18936969.944865122</v>
      </c>
      <c r="CB110" s="201">
        <f>SUM(CB108:CB109)</f>
        <v>3563937.96</v>
      </c>
      <c r="CC110" s="201">
        <f>SUM(CC108:CC109)</f>
        <v>1539621.1987200002</v>
      </c>
      <c r="CD110" s="201">
        <f>SUM(CD108:CD109)</f>
        <v>28744925.676539332</v>
      </c>
    </row>
    <row r="111" spans="1:82">
      <c r="A111" s="89"/>
      <c r="B111" s="73"/>
      <c r="C111" s="73"/>
      <c r="D111" s="176"/>
      <c r="E111" s="201"/>
      <c r="F111" s="199"/>
      <c r="G111" s="238"/>
      <c r="H111" s="224"/>
      <c r="I111" s="154"/>
      <c r="J111" s="201"/>
      <c r="K111" s="199"/>
      <c r="L111" s="157"/>
      <c r="M111" s="154"/>
      <c r="N111" s="201"/>
      <c r="O111" s="199"/>
      <c r="P111" s="223"/>
      <c r="Q111" s="224"/>
      <c r="R111" s="199"/>
      <c r="T111" s="339"/>
      <c r="V111" s="154"/>
      <c r="W111" s="339"/>
      <c r="X111" s="340"/>
      <c r="Y111" s="154"/>
      <c r="Z111" s="154"/>
      <c r="AA111" s="157"/>
      <c r="AB111" s="252"/>
      <c r="AC111" s="207"/>
      <c r="AD111" s="208"/>
      <c r="AH111" s="201"/>
      <c r="AJ111" s="201"/>
      <c r="AK111" s="201"/>
      <c r="AL111" s="201"/>
      <c r="AM111" s="199"/>
      <c r="AN111" s="207"/>
      <c r="AO111" s="208"/>
      <c r="AP111"/>
      <c r="AQ111"/>
      <c r="AR111"/>
      <c r="AS111" s="201"/>
      <c r="AT111" s="201"/>
      <c r="AU111" s="201"/>
      <c r="AV111" s="201"/>
      <c r="AW111" s="201"/>
      <c r="AX111" s="199"/>
      <c r="AY111" s="207"/>
      <c r="AZ111" s="208"/>
      <c r="BA111"/>
      <c r="BB111"/>
      <c r="BC111"/>
      <c r="BD111" s="201"/>
      <c r="BE111" s="201"/>
      <c r="BF111" s="201"/>
      <c r="BG111" s="201"/>
      <c r="BH111" s="201"/>
      <c r="BI111" s="199"/>
      <c r="BJ111" s="207"/>
      <c r="BK111" s="208"/>
      <c r="BL111"/>
      <c r="BM111"/>
      <c r="BN111"/>
      <c r="BO111" s="201"/>
      <c r="BP111" s="201"/>
      <c r="BQ111" s="201"/>
      <c r="BR111" s="201"/>
      <c r="BS111" s="201"/>
      <c r="BT111" s="199"/>
      <c r="BU111" s="207"/>
      <c r="BV111" s="208"/>
      <c r="BW111"/>
      <c r="BX111"/>
      <c r="BY111"/>
      <c r="BZ111" s="201"/>
      <c r="CA111" s="201"/>
      <c r="CB111" s="201"/>
      <c r="CC111" s="201"/>
      <c r="CD111" s="201"/>
    </row>
    <row r="112" spans="1:82">
      <c r="A112" s="190" t="s">
        <v>107</v>
      </c>
      <c r="B112" s="72" t="s">
        <v>21</v>
      </c>
      <c r="C112" s="72"/>
      <c r="D112" s="176">
        <v>7045610736.0154905</v>
      </c>
      <c r="E112" s="201">
        <f>E96+E108</f>
        <v>269627236.98544163</v>
      </c>
      <c r="F112" s="199"/>
      <c r="G112" s="238"/>
      <c r="H112" s="51">
        <f>H96+H108</f>
        <v>253712442.60391784</v>
      </c>
      <c r="I112" s="154">
        <f>H112/$H$127</f>
        <v>8.0710954387616815E-2</v>
      </c>
      <c r="J112" s="201">
        <f>J96+J108</f>
        <v>198527085.44056538</v>
      </c>
      <c r="K112" s="199"/>
      <c r="L112" s="157">
        <f>L96+L108</f>
        <v>548289427.47672546</v>
      </c>
      <c r="M112" s="154">
        <f t="shared" si="90"/>
        <v>7.8530699720791478E-2</v>
      </c>
      <c r="N112" s="201">
        <f>N96+N108</f>
        <v>193164249.53053144</v>
      </c>
      <c r="O112" s="199"/>
      <c r="P112" s="223"/>
      <c r="Q112" s="51">
        <f>Q96+Q108</f>
        <v>255465555.35614678</v>
      </c>
      <c r="R112" s="199"/>
      <c r="T112" s="339"/>
      <c r="U112" s="340">
        <f>U96+U108</f>
        <v>86064136.366722465</v>
      </c>
      <c r="V112" s="154">
        <f>U112/$U$127</f>
        <v>5.3293380244124479E-2</v>
      </c>
      <c r="W112" s="339"/>
      <c r="X112" s="340">
        <f>X96+X108</f>
        <v>89065162.875547513</v>
      </c>
      <c r="Y112" s="154">
        <f>X112/$X$127</f>
        <v>5.8756277033740194E-2</v>
      </c>
      <c r="Z112" s="154">
        <f>AVERAGE(V112,Y112)</f>
        <v>5.6024828638932336E-2</v>
      </c>
      <c r="AA112" s="201">
        <f>AA96+AA108</f>
        <v>137805902.88374576</v>
      </c>
      <c r="AB112" s="252"/>
      <c r="AC112" s="208">
        <f>CHOOSE(gen_choice,'Generation Calculations'!$O113,'Generation Calculations'!$P113)</f>
        <v>4.6999710036788295E-2</v>
      </c>
      <c r="AD112" s="291">
        <f t="shared" si="91"/>
        <v>0.01</v>
      </c>
      <c r="AE112" s="211">
        <f>AH112/$D112</f>
        <v>5.8228997638294873E-2</v>
      </c>
      <c r="AF112" s="211">
        <f>AK112/$D112*-1</f>
        <v>-8.8454231931929857E-3</v>
      </c>
      <c r="AG112" s="211">
        <f>AL112/$D112</f>
        <v>0.10638328448189019</v>
      </c>
      <c r="AH112" s="201">
        <f>AH96+AH108</f>
        <v>410258850.90779102</v>
      </c>
      <c r="AI112" s="201">
        <f>AI96+AI108</f>
        <v>331141661.62481064</v>
      </c>
      <c r="AJ112" s="201">
        <f>AJ96+AJ108</f>
        <v>70456107.360154912</v>
      </c>
      <c r="AK112" s="201">
        <f>AK96+AK108</f>
        <v>62321408.614560917</v>
      </c>
      <c r="AL112" s="201">
        <f>AL96+AL108</f>
        <v>749535211.27819562</v>
      </c>
      <c r="AM112" s="199"/>
      <c r="AN112" s="208">
        <f>CHOOSE(gen_choice,'Generation Calculations'!$O113,'Generation Calculations'!$P113)</f>
        <v>4.6999710036788295E-2</v>
      </c>
      <c r="AO112" s="291">
        <f t="shared" si="92"/>
        <v>0.01</v>
      </c>
      <c r="AP112" s="211">
        <f>AS112/$D112</f>
        <v>4.2409050977715135E-2</v>
      </c>
      <c r="AQ112" s="211">
        <f>AV112/$D112*-1</f>
        <v>-8.8454231931929857E-3</v>
      </c>
      <c r="AR112" s="211">
        <f>AW112/$D112</f>
        <v>9.0563337821310444E-2</v>
      </c>
      <c r="AS112" s="201">
        <f>AS96+AS108</f>
        <v>298797664.87281799</v>
      </c>
      <c r="AT112" s="201">
        <f>AT96+AT108</f>
        <v>331141661.62481064</v>
      </c>
      <c r="AU112" s="201">
        <f>AU96+AU108</f>
        <v>70456107.360154912</v>
      </c>
      <c r="AV112" s="201">
        <f>AV96+AV108</f>
        <v>62321408.614560917</v>
      </c>
      <c r="AW112" s="201">
        <f>AW96+AW108</f>
        <v>638074025.24322259</v>
      </c>
      <c r="AX112" s="199"/>
      <c r="AY112" s="208">
        <f>CHOOSE(gen_choice,'Generation Calculations'!$O113,'Generation Calculations'!$P113)</f>
        <v>4.6999710036788295E-2</v>
      </c>
      <c r="AZ112" s="291">
        <f t="shared" si="93"/>
        <v>0.01</v>
      </c>
      <c r="BA112" s="211">
        <f>BD112/$D112</f>
        <v>3.9962652698493625E-2</v>
      </c>
      <c r="BB112" s="211">
        <f>BG112/$D112*-1</f>
        <v>-8.8454231931929857E-3</v>
      </c>
      <c r="BC112" s="211">
        <f>BH112/$D112</f>
        <v>8.8116939542088935E-2</v>
      </c>
      <c r="BD112" s="201">
        <f>BD96+BD108</f>
        <v>281561294.89216512</v>
      </c>
      <c r="BE112" s="201">
        <f>BE96+BE108</f>
        <v>331141661.62481064</v>
      </c>
      <c r="BF112" s="201">
        <f>BF96+BF108</f>
        <v>70456107.360154912</v>
      </c>
      <c r="BG112" s="201">
        <f>BG96+BG108</f>
        <v>62321408.614560917</v>
      </c>
      <c r="BH112" s="201">
        <f>BH96+BH108</f>
        <v>620837655.26256967</v>
      </c>
      <c r="BI112" s="199"/>
      <c r="BJ112" s="208">
        <f>CHOOSE(gen_choice,'Generation Calculations'!$O113,'Generation Calculations'!$P113)</f>
        <v>4.6999710036788295E-2</v>
      </c>
      <c r="BK112" s="291">
        <f t="shared" si="94"/>
        <v>0.01</v>
      </c>
      <c r="BL112" s="211">
        <f>BO112/$D112</f>
        <v>4.5531501796508014E-2</v>
      </c>
      <c r="BM112" s="211">
        <f>BR112/$D112*-1</f>
        <v>-8.8454231931929857E-3</v>
      </c>
      <c r="BN112" s="211">
        <f>BS112/$D112</f>
        <v>9.3685788640103337E-2</v>
      </c>
      <c r="BO112" s="201">
        <f>BO96+BO108</f>
        <v>320797237.88438547</v>
      </c>
      <c r="BP112" s="201">
        <f>BP96+BP108</f>
        <v>331141661.62481064</v>
      </c>
      <c r="BQ112" s="201">
        <f>BQ96+BQ108</f>
        <v>70456107.360154912</v>
      </c>
      <c r="BR112" s="201">
        <f>BR96+BR108</f>
        <v>62321408.614560917</v>
      </c>
      <c r="BS112" s="201">
        <f>BS96+BS108</f>
        <v>660073598.25479019</v>
      </c>
      <c r="BT112" s="199"/>
      <c r="BU112" s="208">
        <f>CHOOSE(gen_choice,'Generation Calculations'!$O113,'Generation Calculations'!$P113)</f>
        <v>4.6999710036788295E-2</v>
      </c>
      <c r="BV112" s="291">
        <f t="shared" si="95"/>
        <v>0.01</v>
      </c>
      <c r="BW112" s="211">
        <f>BZ112/$D112</f>
        <v>1.4709490705628063E-2</v>
      </c>
      <c r="BX112" s="211">
        <f>CC112/$D112*-1</f>
        <v>-8.8454231931929857E-3</v>
      </c>
      <c r="BY112" s="211">
        <f>CD112/$D112</f>
        <v>6.2863777549223385E-2</v>
      </c>
      <c r="BZ112" s="201">
        <f>BZ96+BZ108</f>
        <v>103637345.63689315</v>
      </c>
      <c r="CA112" s="201">
        <f>CA96+CA108</f>
        <v>331141661.62481064</v>
      </c>
      <c r="CB112" s="201">
        <f>CB96+CB108</f>
        <v>70456107.360154912</v>
      </c>
      <c r="CC112" s="201">
        <f>CC96+CC108</f>
        <v>62321408.614560917</v>
      </c>
      <c r="CD112" s="201">
        <f>CD96+CD108</f>
        <v>442913706.00729781</v>
      </c>
    </row>
    <row r="113" spans="1:82">
      <c r="A113" s="190"/>
      <c r="B113" s="72" t="s">
        <v>27</v>
      </c>
      <c r="C113" s="72"/>
      <c r="D113" s="176">
        <v>6260946171.6443033</v>
      </c>
      <c r="E113" s="201">
        <f>E100</f>
        <v>239599046.89961863</v>
      </c>
      <c r="F113" s="199"/>
      <c r="G113" s="238"/>
      <c r="H113" s="51">
        <f>H100</f>
        <v>232531540.81486943</v>
      </c>
      <c r="I113" s="154">
        <f>H113/$H$127</f>
        <v>7.3972889905484562E-2</v>
      </c>
      <c r="J113" s="201">
        <f>J100</f>
        <v>181953271.96880269</v>
      </c>
      <c r="K113" s="199"/>
      <c r="L113" s="157">
        <f>L100</f>
        <v>504193995.20251584</v>
      </c>
      <c r="M113" s="154">
        <f t="shared" si="90"/>
        <v>7.2214974891077435E-2</v>
      </c>
      <c r="N113" s="201">
        <f>N100</f>
        <v>177629277.20365095</v>
      </c>
      <c r="O113" s="199"/>
      <c r="P113" s="223"/>
      <c r="Q113" s="51">
        <f>Q100</f>
        <v>235917072.53479356</v>
      </c>
      <c r="R113" s="199"/>
      <c r="T113" s="339"/>
      <c r="U113" s="340">
        <f>U100</f>
        <v>91500296.987179756</v>
      </c>
      <c r="V113" s="154">
        <f>U113/$U$127</f>
        <v>5.6659606726427107E-2</v>
      </c>
      <c r="W113" s="339"/>
      <c r="X113" s="340">
        <f>X100</f>
        <v>90726123.893649444</v>
      </c>
      <c r="Y113" s="154">
        <f>X113/$X$127</f>
        <v>5.9852012813825246E-2</v>
      </c>
      <c r="Z113" s="154">
        <f>AVERAGE(V113,Y113)</f>
        <v>5.8255809770126177E-2</v>
      </c>
      <c r="AA113" s="201">
        <f>AA100</f>
        <v>143293512.15573773</v>
      </c>
      <c r="AB113" s="252"/>
      <c r="AC113" s="208">
        <f>CHOOSE(gen_choice,'Generation Calculations'!$O114,'Generation Calculations'!$P114)</f>
        <v>5.5810534229175035E-2</v>
      </c>
      <c r="AD113" s="291">
        <f t="shared" si="91"/>
        <v>0.01</v>
      </c>
      <c r="AE113" s="211">
        <f>AH113/$D113</f>
        <v>4.6835239035890874E-2</v>
      </c>
      <c r="AF113" s="211">
        <f>AK113/$D113*-1</f>
        <v>-6.2624887831757266E-3</v>
      </c>
      <c r="AG113" s="211">
        <f>AL113/$D113</f>
        <v>0.10638328448189018</v>
      </c>
      <c r="AH113" s="216">
        <f>AH100</f>
        <v>293232910.53980678</v>
      </c>
      <c r="AI113" s="216">
        <f>AI100</f>
        <v>349426750.61957675</v>
      </c>
      <c r="AJ113" s="216">
        <f>AJ100</f>
        <v>62609461.716443039</v>
      </c>
      <c r="AK113" s="216">
        <f>AK100</f>
        <v>39209105.171989456</v>
      </c>
      <c r="AL113" s="216">
        <f>AL100</f>
        <v>666060017.70383716</v>
      </c>
      <c r="AM113" s="199"/>
      <c r="AN113" s="208">
        <f>CHOOSE(gen_choice,'Generation Calculations'!$O114,'Generation Calculations'!$P114)</f>
        <v>5.5810534229175035E-2</v>
      </c>
      <c r="AO113" s="291">
        <f t="shared" si="92"/>
        <v>0.01</v>
      </c>
      <c r="AP113" s="211">
        <f>AS113/$D113</f>
        <v>3.3857185508831843E-2</v>
      </c>
      <c r="AQ113" s="211">
        <f>AV113/$D113*-1</f>
        <v>-6.2624887831757266E-3</v>
      </c>
      <c r="AR113" s="211">
        <f>AW113/$D113</f>
        <v>9.340523095483115E-2</v>
      </c>
      <c r="AS113" s="216">
        <f>AS100</f>
        <v>211978015.99417171</v>
      </c>
      <c r="AT113" s="216">
        <f>AT100</f>
        <v>349426750.61957675</v>
      </c>
      <c r="AU113" s="216">
        <f>AU100</f>
        <v>62609461.716443039</v>
      </c>
      <c r="AV113" s="216">
        <f>AV100</f>
        <v>39209105.171989456</v>
      </c>
      <c r="AW113" s="216">
        <f>AW100</f>
        <v>584805123.15820205</v>
      </c>
      <c r="AX113" s="199"/>
      <c r="AY113" s="208">
        <f>CHOOSE(gen_choice,'Generation Calculations'!$O114,'Generation Calculations'!$P114)</f>
        <v>5.5810534229175035E-2</v>
      </c>
      <c r="AZ113" s="291">
        <f t="shared" si="93"/>
        <v>0.01</v>
      </c>
      <c r="BA113" s="211">
        <f>BD113/$D113</f>
        <v>3.163747423177532E-2</v>
      </c>
      <c r="BB113" s="211">
        <f>BG113/$D113*-1</f>
        <v>-6.2624887831757266E-3</v>
      </c>
      <c r="BC113" s="211">
        <f>BH113/$D113</f>
        <v>9.1185519677774649E-2</v>
      </c>
      <c r="BD113" s="216">
        <f>BD100</f>
        <v>198080523.171929</v>
      </c>
      <c r="BE113" s="216">
        <f>BE100</f>
        <v>349426750.61957675</v>
      </c>
      <c r="BF113" s="216">
        <f>BF100</f>
        <v>62609461.716443039</v>
      </c>
      <c r="BG113" s="216">
        <f>BG100</f>
        <v>39209105.171989456</v>
      </c>
      <c r="BH113" s="216">
        <f>BH100</f>
        <v>570907630.33595943</v>
      </c>
      <c r="BI113" s="199"/>
      <c r="BJ113" s="208">
        <f>CHOOSE(gen_choice,'Generation Calculations'!$O114,'Generation Calculations'!$P114)</f>
        <v>5.5810534229175035E-2</v>
      </c>
      <c r="BK113" s="291">
        <f t="shared" si="94"/>
        <v>0.01</v>
      </c>
      <c r="BL113" s="211">
        <f>BO113/$D113</f>
        <v>3.781169568979436E-2</v>
      </c>
      <c r="BM113" s="211">
        <f>BR113/$D113*-1</f>
        <v>-6.2624887831757266E-3</v>
      </c>
      <c r="BN113" s="211">
        <f>BS113/$D113</f>
        <v>9.7359741135793668E-2</v>
      </c>
      <c r="BO113" s="216">
        <f>BO100</f>
        <v>236736991.37239739</v>
      </c>
      <c r="BP113" s="216">
        <f>BP100</f>
        <v>349426750.61957675</v>
      </c>
      <c r="BQ113" s="216">
        <f>BQ100</f>
        <v>62609461.716443039</v>
      </c>
      <c r="BR113" s="216">
        <f>BR100</f>
        <v>39209105.171989456</v>
      </c>
      <c r="BS113" s="216">
        <f>BS100</f>
        <v>609564098.53642774</v>
      </c>
      <c r="BT113" s="199"/>
      <c r="BU113" s="208">
        <f>CHOOSE(gen_choice,'Generation Calculations'!$O114,'Generation Calculations'!$P114)</f>
        <v>5.5810534229175035E-2</v>
      </c>
      <c r="BV113" s="291">
        <f t="shared" si="95"/>
        <v>0.01</v>
      </c>
      <c r="BW113" s="211">
        <f>BZ113/$D113</f>
        <v>1.4011300051950525E-2</v>
      </c>
      <c r="BX113" s="211">
        <f>CC113/$D113*-1</f>
        <v>-6.2624887831757266E-3</v>
      </c>
      <c r="BY113" s="211">
        <f>CD113/$D113</f>
        <v>7.3559345497949832E-2</v>
      </c>
      <c r="BZ113" s="216">
        <f>BZ100</f>
        <v>87723995.420019269</v>
      </c>
      <c r="CA113" s="216">
        <f>CA100</f>
        <v>349426750.61957675</v>
      </c>
      <c r="CB113" s="216">
        <f>CB100</f>
        <v>62609461.716443039</v>
      </c>
      <c r="CC113" s="216">
        <f>CC100</f>
        <v>39209105.171989456</v>
      </c>
      <c r="CD113" s="216">
        <f>CD100</f>
        <v>460551102.58404964</v>
      </c>
    </row>
    <row r="114" spans="1:82">
      <c r="A114" s="190"/>
      <c r="B114" s="72" t="s">
        <v>28</v>
      </c>
      <c r="C114" s="72"/>
      <c r="D114" s="179">
        <v>3540506919.7763634</v>
      </c>
      <c r="E114" s="202">
        <f>E104+E109</f>
        <v>135491036.06126881</v>
      </c>
      <c r="F114" s="200"/>
      <c r="G114" s="243"/>
      <c r="H114" s="226">
        <f>H104+H109</f>
        <v>141691086.92945006</v>
      </c>
      <c r="I114" s="198">
        <f>H114/$H$127</f>
        <v>4.50747418491729E-2</v>
      </c>
      <c r="J114" s="202">
        <f>J104+J109</f>
        <v>110871655.45492697</v>
      </c>
      <c r="K114" s="200"/>
      <c r="L114" s="245">
        <f>L104+L109</f>
        <v>308519772.98931229</v>
      </c>
      <c r="M114" s="198">
        <f t="shared" si="90"/>
        <v>4.4188839755767338E-2</v>
      </c>
      <c r="N114" s="202">
        <f>N104+N109</f>
        <v>108692576.27138945</v>
      </c>
      <c r="O114" s="200"/>
      <c r="P114" s="223"/>
      <c r="Q114" s="226">
        <f>Q104+Q109</f>
        <v>136555350.39448005</v>
      </c>
      <c r="R114" s="200"/>
      <c r="T114" s="339"/>
      <c r="U114" s="343">
        <f>U104+U109</f>
        <v>58199251.35147167</v>
      </c>
      <c r="V114" s="198">
        <f>U114/$U$127</f>
        <v>3.6038644703075558E-2</v>
      </c>
      <c r="W114" s="339"/>
      <c r="X114" s="343">
        <f>X104+X109</f>
        <v>55116249.410217993</v>
      </c>
      <c r="Y114" s="198">
        <f>X114/$X$127</f>
        <v>3.636018298122469E-2</v>
      </c>
      <c r="Z114" s="198">
        <f>AVERAGE(V114,Y114)</f>
        <v>3.6199413842150127E-2</v>
      </c>
      <c r="AA114" s="202">
        <f>AA104+AA109</f>
        <v>89040752.637185171</v>
      </c>
      <c r="AB114" s="253"/>
      <c r="AC114" s="213">
        <f>CHOOSE(gen_choice,'Generation Calculations'!$O115,'Generation Calculations'!$P115)</f>
        <v>5.9179815528272832E-2</v>
      </c>
      <c r="AD114" s="292">
        <f t="shared" si="91"/>
        <v>0.01</v>
      </c>
      <c r="AE114" s="214">
        <f>AH114/$D114</f>
        <v>4.2075497396566998E-2</v>
      </c>
      <c r="AF114" s="214">
        <f>AK114/$D114*-1</f>
        <v>-4.8720284429496653E-3</v>
      </c>
      <c r="AG114" s="214">
        <f>AL114/$D114</f>
        <v>0.10638328448189018</v>
      </c>
      <c r="AH114" s="202">
        <f>AH104+AH109</f>
        <v>148968589.68557781</v>
      </c>
      <c r="AI114" s="202">
        <f>AI104+AI109</f>
        <v>209526546.38893867</v>
      </c>
      <c r="AJ114" s="202">
        <f>AJ104+AJ109</f>
        <v>35405069.197763629</v>
      </c>
      <c r="AK114" s="202">
        <f>AK104+AK109</f>
        <v>17249450.415610552</v>
      </c>
      <c r="AL114" s="202">
        <f>AL104+AL109</f>
        <v>376650754.8566696</v>
      </c>
      <c r="AM114" s="200"/>
      <c r="AN114" s="213">
        <f>CHOOSE(gen_choice,'Generation Calculations'!$O115,'Generation Calculations'!$P115)</f>
        <v>5.9179815528272832E-2</v>
      </c>
      <c r="AO114" s="292">
        <f t="shared" si="92"/>
        <v>0.01</v>
      </c>
      <c r="AP114" s="214">
        <f>AS114/$D114</f>
        <v>3.6340498935472268E-2</v>
      </c>
      <c r="AQ114" s="214">
        <f>AV114/$D114*-1</f>
        <v>-4.8720284429496653E-3</v>
      </c>
      <c r="AR114" s="214">
        <f>AW114/$D114</f>
        <v>0.10064828602079542</v>
      </c>
      <c r="AS114" s="202">
        <f>AS104+AS109</f>
        <v>128663787.94916514</v>
      </c>
      <c r="AT114" s="202">
        <f>AT104+AT109</f>
        <v>209526546.38893867</v>
      </c>
      <c r="AU114" s="202">
        <f>AU104+AU109</f>
        <v>35405069.197763629</v>
      </c>
      <c r="AV114" s="202">
        <f>AV104+AV109</f>
        <v>17249450.415610552</v>
      </c>
      <c r="AW114" s="202">
        <f>AW104+AW109</f>
        <v>356345953.12025684</v>
      </c>
      <c r="AX114" s="200"/>
      <c r="AY114" s="213">
        <f>CHOOSE(gen_choice,'Generation Calculations'!$O115,'Generation Calculations'!$P115)</f>
        <v>5.9179815528272832E-2</v>
      </c>
      <c r="AZ114" s="292">
        <f t="shared" si="93"/>
        <v>0.01</v>
      </c>
      <c r="BA114" s="214">
        <f>BD114/$D114</f>
        <v>3.4362350561780781E-2</v>
      </c>
      <c r="BB114" s="214">
        <f>BG114/$D114*-1</f>
        <v>-4.8720284429496653E-3</v>
      </c>
      <c r="BC114" s="214">
        <f>BH114/$D114</f>
        <v>9.8670137647103945E-2</v>
      </c>
      <c r="BD114" s="202">
        <f>BD104+BD109</f>
        <v>121660139.94376606</v>
      </c>
      <c r="BE114" s="202">
        <f>BE104+BE109</f>
        <v>209526546.38893867</v>
      </c>
      <c r="BF114" s="202">
        <f>BF104+BF109</f>
        <v>35405069.197763629</v>
      </c>
      <c r="BG114" s="202">
        <f>BG104+BG109</f>
        <v>17249450.415610552</v>
      </c>
      <c r="BH114" s="202">
        <f>BH104+BH109</f>
        <v>349342305.11485779</v>
      </c>
      <c r="BI114" s="200"/>
      <c r="BJ114" s="213">
        <f>CHOOSE(gen_choice,'Generation Calculations'!$O115,'Generation Calculations'!$P115)</f>
        <v>5.9179815528272832E-2</v>
      </c>
      <c r="BK114" s="292">
        <f t="shared" si="94"/>
        <v>0.01</v>
      </c>
      <c r="BL114" s="214">
        <f>BO114/$D114</f>
        <v>3.534817436027695E-2</v>
      </c>
      <c r="BM114" s="214">
        <f>BR114/$D114*-1</f>
        <v>-4.8720284429496653E-3</v>
      </c>
      <c r="BN114" s="214">
        <f>BS114/$D114</f>
        <v>9.9655961445600114E-2</v>
      </c>
      <c r="BO114" s="202">
        <f>BO104+BO109</f>
        <v>125150455.92402196</v>
      </c>
      <c r="BP114" s="202">
        <f>BP104+BP109</f>
        <v>209526546.38893867</v>
      </c>
      <c r="BQ114" s="202">
        <f>BQ104+BQ109</f>
        <v>35405069.197763629</v>
      </c>
      <c r="BR114" s="202">
        <f>BR104+BR109</f>
        <v>17249450.415610552</v>
      </c>
      <c r="BS114" s="202">
        <f>BS104+BS109</f>
        <v>352832621.09511369</v>
      </c>
      <c r="BT114" s="200"/>
      <c r="BU114" s="213">
        <f>CHOOSE(gen_choice,'Generation Calculations'!$O115,'Generation Calculations'!$P115)</f>
        <v>5.9179815528272832E-2</v>
      </c>
      <c r="BV114" s="292">
        <f t="shared" si="95"/>
        <v>0.01</v>
      </c>
      <c r="BW114" s="214">
        <f>BZ114/$D114</f>
        <v>1.6522602811557017E-2</v>
      </c>
      <c r="BX114" s="214">
        <f>CC114/$D114*-1</f>
        <v>-4.8720284429496653E-3</v>
      </c>
      <c r="BY114" s="214">
        <f>CD114/$D114</f>
        <v>8.0830389896880184E-2</v>
      </c>
      <c r="BZ114" s="202">
        <f>BZ104+BZ109</f>
        <v>58498389.587034009</v>
      </c>
      <c r="CA114" s="202">
        <f>CA104+CA109</f>
        <v>209526546.38893867</v>
      </c>
      <c r="CB114" s="202">
        <f>CB104+CB109</f>
        <v>35405069.197763629</v>
      </c>
      <c r="CC114" s="202">
        <f>CC104+CC109</f>
        <v>17249450.415610552</v>
      </c>
      <c r="CD114" s="202">
        <f>CD104+CD109</f>
        <v>286180554.75812572</v>
      </c>
    </row>
    <row r="115" spans="1:82">
      <c r="A115" s="190" t="s">
        <v>107</v>
      </c>
      <c r="B115" s="72"/>
      <c r="C115" s="72"/>
      <c r="D115" s="176">
        <v>16847063827.436157</v>
      </c>
      <c r="E115" s="201">
        <f>SUM(E112:E114)</f>
        <v>644717319.94632912</v>
      </c>
      <c r="F115" s="199"/>
      <c r="G115" s="238"/>
      <c r="H115" s="51">
        <f>SUM(H112:H114)</f>
        <v>627935070.34823728</v>
      </c>
      <c r="I115" s="154">
        <f>H115/$H$127</f>
        <v>0.19975858614227426</v>
      </c>
      <c r="J115" s="201">
        <f>SUM(J112:J114)</f>
        <v>491352012.86429501</v>
      </c>
      <c r="K115" s="199"/>
      <c r="L115" s="157">
        <f>SUM(L112:L114)</f>
        <v>1361003195.6685536</v>
      </c>
      <c r="M115" s="154">
        <f t="shared" si="90"/>
        <v>0.19493451436763626</v>
      </c>
      <c r="N115" s="201">
        <f>SUM(N112:N114)</f>
        <v>479486103.00557184</v>
      </c>
      <c r="O115" s="199"/>
      <c r="P115" s="223"/>
      <c r="Q115" s="51">
        <f>SUM(Q112:Q114)</f>
        <v>627937978.28542042</v>
      </c>
      <c r="R115" s="199"/>
      <c r="T115" s="339"/>
      <c r="U115" s="340">
        <f>SUM(U112:U114)</f>
        <v>235763684.70537388</v>
      </c>
      <c r="V115" s="154">
        <f>U115/$U$127</f>
        <v>0.14599163167362714</v>
      </c>
      <c r="W115" s="339"/>
      <c r="X115" s="340">
        <f>SUM(X112:X114)</f>
        <v>234907536.17941496</v>
      </c>
      <c r="Y115" s="154">
        <f>X115/$X$127</f>
        <v>0.15496847282879014</v>
      </c>
      <c r="Z115" s="154">
        <f>AVERAGE(V115,Y115)</f>
        <v>0.15048005225120864</v>
      </c>
      <c r="AA115" s="201">
        <f>SUM(AA112:AA114)</f>
        <v>370140167.67666864</v>
      </c>
      <c r="AB115" s="252"/>
      <c r="AC115" s="208">
        <f>CHOOSE(gen_choice,'Generation Calculations'!$O116,'Generation Calculations'!$P116)</f>
        <v>5.2833833108874954E-2</v>
      </c>
      <c r="AD115" s="291">
        <f t="shared" si="91"/>
        <v>0.01</v>
      </c>
      <c r="AE115" s="211">
        <f>AH115/$D115</f>
        <v>5.0599935980826988E-2</v>
      </c>
      <c r="AF115" s="211">
        <f>AK115/$D115*-1</f>
        <v>-7.0504846078117611E-3</v>
      </c>
      <c r="AG115" s="211">
        <f>AL115/$D115</f>
        <v>0.10638328448189019</v>
      </c>
      <c r="AH115" s="201">
        <f>SUM(AH112:AH114)</f>
        <v>852460351.13317561</v>
      </c>
      <c r="AI115" s="201">
        <f>SUM(AI112:AI114)</f>
        <v>890094958.63332605</v>
      </c>
      <c r="AJ115" s="201">
        <f>SUM(AJ112:AJ114)</f>
        <v>168470638.27436158</v>
      </c>
      <c r="AK115" s="201">
        <f>SUM(AK112:AK114)</f>
        <v>118779964.20216092</v>
      </c>
      <c r="AL115" s="201">
        <f>SUM(AL112:AL114)</f>
        <v>1792245983.8387024</v>
      </c>
      <c r="AM115" s="199"/>
      <c r="AN115" s="208">
        <f>CHOOSE(gen_choice,'Generation Calculations'!$O116,'Generation Calculations'!$P116)</f>
        <v>5.2833833108874954E-2</v>
      </c>
      <c r="AO115" s="291">
        <f t="shared" si="92"/>
        <v>0.01</v>
      </c>
      <c r="AP115" s="211">
        <f>AS115/$D115</f>
        <v>3.7955543788870831E-2</v>
      </c>
      <c r="AQ115" s="211">
        <f>AV115/$D115*-1</f>
        <v>-7.0504846078117611E-3</v>
      </c>
      <c r="AR115" s="211">
        <f>AW115/$D115</f>
        <v>9.3738892289934025E-2</v>
      </c>
      <c r="AS115" s="201">
        <f>SUM(AS112:AS114)</f>
        <v>639439468.81615484</v>
      </c>
      <c r="AT115" s="201">
        <f>SUM(AT112:AT114)</f>
        <v>890094958.63332605</v>
      </c>
      <c r="AU115" s="201">
        <f>SUM(AU112:AU114)</f>
        <v>168470638.27436158</v>
      </c>
      <c r="AV115" s="201">
        <f>SUM(AV112:AV114)</f>
        <v>118779964.20216092</v>
      </c>
      <c r="AW115" s="201">
        <f>SUM(AW112:AW114)</f>
        <v>1579225101.5216815</v>
      </c>
      <c r="AX115" s="199"/>
      <c r="AY115" s="208">
        <f>CHOOSE(gen_choice,'Generation Calculations'!$O116,'Generation Calculations'!$P116)</f>
        <v>5.2833833108874954E-2</v>
      </c>
      <c r="AZ115" s="291">
        <f t="shared" si="93"/>
        <v>0.01</v>
      </c>
      <c r="BA115" s="211">
        <f>BD115/$D115</f>
        <v>3.5691795565504683E-2</v>
      </c>
      <c r="BB115" s="211">
        <f>BG115/$D115*-1</f>
        <v>-7.0504846078117611E-3</v>
      </c>
      <c r="BC115" s="211">
        <f>BH115/$D115</f>
        <v>9.1475144066567884E-2</v>
      </c>
      <c r="BD115" s="201">
        <f>SUM(BD112:BD114)</f>
        <v>601301958.00786018</v>
      </c>
      <c r="BE115" s="201">
        <f>SUM(BE112:BE114)</f>
        <v>890094958.63332605</v>
      </c>
      <c r="BF115" s="201">
        <f>SUM(BF112:BF114)</f>
        <v>168470638.27436158</v>
      </c>
      <c r="BG115" s="201">
        <f>SUM(BG112:BG114)</f>
        <v>118779964.20216092</v>
      </c>
      <c r="BH115" s="201">
        <f>SUM(BH112:BH114)</f>
        <v>1541087590.713387</v>
      </c>
      <c r="BI115" s="199"/>
      <c r="BJ115" s="208">
        <f>CHOOSE(gen_choice,'Generation Calculations'!$O116,'Generation Calculations'!$P116)</f>
        <v>5.2833833108874954E-2</v>
      </c>
      <c r="BK115" s="291">
        <f t="shared" si="94"/>
        <v>0.01</v>
      </c>
      <c r="BL115" s="211">
        <f>BO115/$D115</f>
        <v>4.0522472768757721E-2</v>
      </c>
      <c r="BM115" s="211">
        <f>BR115/$D115*-1</f>
        <v>-7.0504846078117611E-3</v>
      </c>
      <c r="BN115" s="211">
        <f>BS115/$D115</f>
        <v>9.6305821269820915E-2</v>
      </c>
      <c r="BO115" s="201">
        <f>SUM(BO112:BO114)</f>
        <v>682684685.18080485</v>
      </c>
      <c r="BP115" s="201">
        <f>SUM(BP112:BP114)</f>
        <v>890094958.63332605</v>
      </c>
      <c r="BQ115" s="201">
        <f>SUM(BQ112:BQ114)</f>
        <v>168470638.27436158</v>
      </c>
      <c r="BR115" s="201">
        <f>SUM(BR112:BR114)</f>
        <v>118779964.20216092</v>
      </c>
      <c r="BS115" s="201">
        <f>SUM(BS112:BS114)</f>
        <v>1622470317.8863316</v>
      </c>
      <c r="BT115" s="199"/>
      <c r="BU115" s="208">
        <f>CHOOSE(gen_choice,'Generation Calculations'!$O116,'Generation Calculations'!$P116)</f>
        <v>5.2833833108874954E-2</v>
      </c>
      <c r="BV115" s="291">
        <f t="shared" si="95"/>
        <v>0.01</v>
      </c>
      <c r="BW115" s="211">
        <f>BZ115/$D115</f>
        <v>1.4831055025567082E-2</v>
      </c>
      <c r="BX115" s="211">
        <f>CC115/$D115*-1</f>
        <v>-7.0504846078117611E-3</v>
      </c>
      <c r="BY115" s="211">
        <f>CD115/$D115</f>
        <v>7.0614403526630287E-2</v>
      </c>
      <c r="BZ115" s="201">
        <f>SUM(BZ112:BZ114)</f>
        <v>249859730.64394644</v>
      </c>
      <c r="CA115" s="201">
        <f>SUM(CA112:CA114)</f>
        <v>890094958.63332605</v>
      </c>
      <c r="CB115" s="201">
        <f>SUM(CB112:CB114)</f>
        <v>168470638.27436158</v>
      </c>
      <c r="CC115" s="201">
        <f>SUM(CC112:CC114)</f>
        <v>118779964.20216092</v>
      </c>
      <c r="CD115" s="201">
        <f>SUM(CD112:CD114)</f>
        <v>1189645363.3494732</v>
      </c>
    </row>
    <row r="116" spans="1:82">
      <c r="A116" s="94"/>
      <c r="B116" s="73"/>
      <c r="C116" s="73"/>
      <c r="D116" s="176"/>
      <c r="E116" s="201"/>
      <c r="F116" s="199"/>
      <c r="G116" s="238"/>
      <c r="H116" s="224"/>
      <c r="I116" s="154"/>
      <c r="J116" s="201"/>
      <c r="K116" s="199"/>
      <c r="L116" s="157"/>
      <c r="M116" s="154"/>
      <c r="N116" s="201"/>
      <c r="O116" s="199"/>
      <c r="P116" s="223"/>
      <c r="Q116" s="224"/>
      <c r="R116" s="199"/>
      <c r="T116" s="339"/>
      <c r="V116" s="154"/>
      <c r="W116" s="339"/>
      <c r="X116" s="340"/>
      <c r="Y116" s="154"/>
      <c r="Z116" s="154"/>
      <c r="AA116" s="157"/>
      <c r="AB116" s="252"/>
      <c r="AC116" s="207"/>
      <c r="AD116" s="208"/>
      <c r="AH116" s="201"/>
      <c r="AJ116" s="201"/>
      <c r="AK116" s="201"/>
      <c r="AL116" s="201"/>
      <c r="AM116" s="199"/>
      <c r="AN116" s="207"/>
      <c r="AO116" s="208"/>
      <c r="AP116"/>
      <c r="AQ116"/>
      <c r="AR116"/>
      <c r="AS116" s="201"/>
      <c r="AT116" s="201"/>
      <c r="AU116" s="201"/>
      <c r="AV116" s="201"/>
      <c r="AW116" s="201"/>
      <c r="AX116" s="199"/>
      <c r="AY116" s="207"/>
      <c r="AZ116" s="208"/>
      <c r="BA116"/>
      <c r="BB116"/>
      <c r="BC116"/>
      <c r="BD116" s="201"/>
      <c r="BE116" s="201"/>
      <c r="BF116" s="201"/>
      <c r="BG116" s="201"/>
      <c r="BH116" s="201"/>
      <c r="BI116" s="199"/>
      <c r="BJ116" s="207"/>
      <c r="BK116" s="208"/>
      <c r="BL116"/>
      <c r="BM116"/>
      <c r="BN116"/>
      <c r="BO116" s="201"/>
      <c r="BP116" s="201"/>
      <c r="BQ116" s="201"/>
      <c r="BR116" s="201"/>
      <c r="BS116" s="201"/>
      <c r="BT116" s="199"/>
      <c r="BU116" s="207"/>
      <c r="BV116" s="208"/>
      <c r="BW116"/>
      <c r="BX116"/>
      <c r="BY116"/>
      <c r="BZ116" s="201"/>
      <c r="CA116" s="201"/>
      <c r="CB116" s="201"/>
      <c r="CC116" s="201"/>
      <c r="CD116" s="201"/>
    </row>
    <row r="117" spans="1:82">
      <c r="A117" s="89" t="s">
        <v>85</v>
      </c>
      <c r="B117" s="77" t="s">
        <v>21</v>
      </c>
      <c r="C117" s="77">
        <v>3</v>
      </c>
      <c r="D117" s="177">
        <v>358848000</v>
      </c>
      <c r="E117" s="201">
        <f>surcharge_1*D117</f>
        <v>13732690.942342605</v>
      </c>
      <c r="F117" s="199"/>
      <c r="G117" s="238">
        <f>G108</f>
        <v>3.601E-2</v>
      </c>
      <c r="H117" s="224">
        <f t="shared" si="80"/>
        <v>12922116.48</v>
      </c>
      <c r="I117" s="154">
        <f>H117/$H$127</f>
        <v>4.1107812573345434E-3</v>
      </c>
      <c r="J117" s="201">
        <f>I117*$E$129</f>
        <v>10111408.396721192</v>
      </c>
      <c r="K117" s="199"/>
      <c r="L117" s="381">
        <v>27925551.359999999</v>
      </c>
      <c r="M117" s="154">
        <f t="shared" si="90"/>
        <v>3.9997362314318783E-3</v>
      </c>
      <c r="N117" s="201">
        <f>M117*$E$129</f>
        <v>9838267.7120099906</v>
      </c>
      <c r="O117" s="199"/>
      <c r="P117" s="223">
        <f>T_Equal</f>
        <v>3.6258823390606508E-2</v>
      </c>
      <c r="Q117" s="224">
        <f>P117*D117</f>
        <v>13011406.256072365</v>
      </c>
      <c r="R117" s="199"/>
      <c r="S117" s="331">
        <f>$D117/$D$122</f>
        <v>4.8463772004637348E-2</v>
      </c>
      <c r="T117" s="340">
        <v>90447566.613451004</v>
      </c>
      <c r="U117" s="340">
        <f>$S117*T117</f>
        <v>4383430.2467285385</v>
      </c>
      <c r="V117" s="154">
        <f>U117/$U$127</f>
        <v>2.7143456586502983E-3</v>
      </c>
      <c r="W117" s="340">
        <f>$W$94</f>
        <v>93601441.810770005</v>
      </c>
      <c r="X117" s="340">
        <f>$S117*W117</f>
        <v>4536278.935222487</v>
      </c>
      <c r="Y117" s="154">
        <f>X117/$X$127</f>
        <v>2.9925826576288508E-3</v>
      </c>
      <c r="Z117" s="154">
        <f>AVERAGE(V117,Y117)</f>
        <v>2.8534641581395744E-3</v>
      </c>
      <c r="AA117" s="157">
        <f>$Z117*'Inputs and Assumptions'!$C$6</f>
        <v>7018748.9049377507</v>
      </c>
      <c r="AB117" s="252"/>
      <c r="AC117" s="208">
        <f>CHOOSE(gen_choice,'Generation Calculations'!$O118,'Generation Calculations'!$P118)</f>
        <v>4.0336705544613168E-2</v>
      </c>
      <c r="AD117" s="291">
        <f t="shared" si="91"/>
        <v>0.01</v>
      </c>
      <c r="AE117" s="211">
        <f>AG117-SUM(AC117:AD117,AF117)</f>
        <v>5.604657893727702E-2</v>
      </c>
      <c r="AF117" s="211">
        <f>AK117/$D117*-1</f>
        <v>0</v>
      </c>
      <c r="AG117" s="211">
        <f>AL117/$D117</f>
        <v>0.10638328448189019</v>
      </c>
      <c r="AH117" s="201">
        <f>$D117*AE117</f>
        <v>20112202.758483984</v>
      </c>
      <c r="AI117" s="407">
        <f>CHOOSE(gen_choice,'Generation Calculations'!$M118,'Generation Calculations'!$N118)</f>
        <v>14474746.111273346</v>
      </c>
      <c r="AJ117" s="201">
        <f>$D117*AD117</f>
        <v>3588480</v>
      </c>
      <c r="AK117" s="217">
        <f>CHOOSE(gen_choice,'Generation Calculations'!K118,'Generation Calculations'!L118)</f>
        <v>0</v>
      </c>
      <c r="AL117" s="201">
        <f>$D117*gen_equal</f>
        <v>38175428.869757332</v>
      </c>
      <c r="AM117" s="199"/>
      <c r="AN117" s="208">
        <f>CHOOSE(gen_choice,'Generation Calculations'!$O118,'Generation Calculations'!$P118)</f>
        <v>4.0336705544613168E-2</v>
      </c>
      <c r="AO117" s="291">
        <f t="shared" si="92"/>
        <v>0.01</v>
      </c>
      <c r="AP117" s="211">
        <f>AR117-SUM(AN117:AO117,AQ117)</f>
        <v>4.0226632276697274E-2</v>
      </c>
      <c r="AQ117" s="211">
        <f>AV117/$D117*-1</f>
        <v>0</v>
      </c>
      <c r="AR117" s="211">
        <f>AW117/$D117</f>
        <v>9.0563337821310444E-2</v>
      </c>
      <c r="AS117" s="201">
        <f>$D117*AP117</f>
        <v>14435246.539228264</v>
      </c>
      <c r="AT117" s="201">
        <f>$AI117</f>
        <v>14474746.111273346</v>
      </c>
      <c r="AU117" s="201">
        <f>$D117*AO117</f>
        <v>3588480</v>
      </c>
      <c r="AV117" s="201">
        <f>$AK117</f>
        <v>0</v>
      </c>
      <c r="AW117" s="201">
        <f>$I117*'Inputs and Assumptions'!$C$15</f>
        <v>32498472.650501609</v>
      </c>
      <c r="AX117" s="199"/>
      <c r="AY117" s="208">
        <f>CHOOSE(gen_choice,'Generation Calculations'!$O118,'Generation Calculations'!$P118)</f>
        <v>4.0336705544613168E-2</v>
      </c>
      <c r="AZ117" s="291">
        <f t="shared" si="93"/>
        <v>0.01</v>
      </c>
      <c r="BA117" s="211">
        <f>BC117-SUM(AY117:AZ117,BB117)</f>
        <v>3.7780233997475779E-2</v>
      </c>
      <c r="BB117" s="211">
        <f>BG117/$D117*-1</f>
        <v>0</v>
      </c>
      <c r="BC117" s="211">
        <f>BH117/$D117</f>
        <v>8.8116939542088948E-2</v>
      </c>
      <c r="BD117" s="201">
        <f>$D117*BA117</f>
        <v>13557361.409526188</v>
      </c>
      <c r="BE117" s="201">
        <f>$AI117</f>
        <v>14474746.111273346</v>
      </c>
      <c r="BF117" s="201">
        <f>$D117*AZ117</f>
        <v>3588480</v>
      </c>
      <c r="BG117" s="201">
        <f>$AK117</f>
        <v>0</v>
      </c>
      <c r="BH117" s="201">
        <f>$M117*'Inputs and Assumptions'!$C$15</f>
        <v>31620587.520799533</v>
      </c>
      <c r="BI117" s="199"/>
      <c r="BJ117" s="208">
        <f>CHOOSE(gen_choice,'Generation Calculations'!$O118,'Generation Calculations'!$P118)</f>
        <v>4.0336705544613168E-2</v>
      </c>
      <c r="BK117" s="291">
        <f t="shared" si="94"/>
        <v>0.01</v>
      </c>
      <c r="BL117" s="211">
        <f>BN117-SUM(BJ117:BK117,BM117)</f>
        <v>4.3349083095490168E-2</v>
      </c>
      <c r="BM117" s="211">
        <f>BR117/$D117*-1</f>
        <v>0</v>
      </c>
      <c r="BN117" s="211">
        <f>BS117/$D117</f>
        <v>9.3685788640103337E-2</v>
      </c>
      <c r="BO117" s="201">
        <f>$D117*BL117</f>
        <v>15555731.770650456</v>
      </c>
      <c r="BP117" s="201">
        <f>$AI117</f>
        <v>14474746.111273346</v>
      </c>
      <c r="BQ117" s="201">
        <f>$D117*BK117</f>
        <v>3588480</v>
      </c>
      <c r="BR117" s="201">
        <f>$AK117</f>
        <v>0</v>
      </c>
      <c r="BS117" s="201">
        <f>D117*T_equal_gen</f>
        <v>33618957.881923802</v>
      </c>
      <c r="BT117" s="199"/>
      <c r="BU117" s="208">
        <f>CHOOSE(gen_choice,'Generation Calculations'!$O118,'Generation Calculations'!$P118)</f>
        <v>4.0336705544613168E-2</v>
      </c>
      <c r="BV117" s="291">
        <f t="shared" si="95"/>
        <v>0.01</v>
      </c>
      <c r="BW117" s="211">
        <f>BY117-SUM(BU117:BV117,BX117)</f>
        <v>1.2527072004610201E-2</v>
      </c>
      <c r="BX117" s="211">
        <f>CC117/$D117*-1</f>
        <v>0</v>
      </c>
      <c r="BY117" s="211">
        <f>CD117/$D117</f>
        <v>6.2863777549223371E-2</v>
      </c>
      <c r="BZ117" s="201">
        <f>$D117*BW117</f>
        <v>4495314.7347103618</v>
      </c>
      <c r="CA117" s="201">
        <f>$AI117</f>
        <v>14474746.111273346</v>
      </c>
      <c r="CB117" s="201">
        <f>$D117*BV117</f>
        <v>3588480</v>
      </c>
      <c r="CC117" s="201">
        <f>$AK117</f>
        <v>0</v>
      </c>
      <c r="CD117" s="201">
        <f>$Z117*'Inputs and Assumptions'!$C$15</f>
        <v>22558540.845983706</v>
      </c>
    </row>
    <row r="118" spans="1:82">
      <c r="A118" s="94"/>
      <c r="B118" s="77"/>
      <c r="C118" s="77"/>
      <c r="D118" s="177"/>
      <c r="E118" s="201"/>
      <c r="F118" s="199"/>
      <c r="G118" s="238"/>
      <c r="H118" s="224"/>
      <c r="I118" s="154"/>
      <c r="J118" s="201"/>
      <c r="K118" s="199"/>
      <c r="L118" s="381"/>
      <c r="M118" s="154"/>
      <c r="N118" s="201"/>
      <c r="O118" s="199"/>
      <c r="P118" s="223"/>
      <c r="Q118" s="224"/>
      <c r="R118" s="199"/>
      <c r="T118" s="339"/>
      <c r="V118" s="154"/>
      <c r="W118" s="339"/>
      <c r="X118" s="340"/>
      <c r="Y118" s="154"/>
      <c r="Z118" s="154"/>
      <c r="AA118" s="157"/>
      <c r="AB118" s="252"/>
      <c r="AC118" s="208"/>
      <c r="AD118" s="291"/>
      <c r="AE118" s="211"/>
      <c r="AF118" s="211"/>
      <c r="AG118" s="211"/>
      <c r="AH118" s="201"/>
      <c r="AJ118" s="201"/>
      <c r="AK118" s="201"/>
      <c r="AL118" s="201"/>
      <c r="AM118" s="199"/>
      <c r="AN118" s="208"/>
      <c r="AO118" s="291"/>
      <c r="AP118" s="211"/>
      <c r="AQ118" s="211"/>
      <c r="AR118" s="211"/>
      <c r="AS118" s="201"/>
      <c r="AT118" s="201"/>
      <c r="AU118" s="201"/>
      <c r="AV118" s="201"/>
      <c r="AW118" s="201"/>
      <c r="AX118" s="199"/>
      <c r="AY118" s="208"/>
      <c r="AZ118" s="291"/>
      <c r="BA118" s="211"/>
      <c r="BB118" s="211"/>
      <c r="BC118" s="211"/>
      <c r="BD118" s="201"/>
      <c r="BE118" s="201"/>
      <c r="BF118" s="201"/>
      <c r="BG118" s="201"/>
      <c r="BH118" s="201"/>
      <c r="BI118" s="199"/>
      <c r="BJ118" s="208"/>
      <c r="BK118" s="291"/>
      <c r="BL118" s="211"/>
      <c r="BM118" s="211"/>
      <c r="BN118" s="211"/>
      <c r="BO118" s="201"/>
      <c r="BP118" s="201"/>
      <c r="BQ118" s="201"/>
      <c r="BR118" s="201"/>
      <c r="BS118" s="201"/>
      <c r="BT118" s="199"/>
      <c r="BU118" s="208"/>
      <c r="BV118" s="291"/>
      <c r="BW118" s="211"/>
      <c r="BX118" s="211"/>
      <c r="BY118" s="211"/>
      <c r="BZ118" s="201"/>
      <c r="CA118" s="201"/>
      <c r="CB118" s="201"/>
      <c r="CC118" s="201"/>
      <c r="CD118" s="201"/>
    </row>
    <row r="119" spans="1:82">
      <c r="A119" s="94"/>
      <c r="B119" s="77" t="s">
        <v>28</v>
      </c>
      <c r="C119" s="77">
        <v>1</v>
      </c>
      <c r="D119" s="178">
        <v>28534674</v>
      </c>
      <c r="E119" s="202">
        <f>surcharge_1*D119</f>
        <v>1091988.4162166128</v>
      </c>
      <c r="F119" s="200"/>
      <c r="G119" s="243">
        <f>G103</f>
        <v>4.002E-2</v>
      </c>
      <c r="H119" s="224">
        <f t="shared" si="80"/>
        <v>1141957.6534800001</v>
      </c>
      <c r="I119" s="198">
        <f>H119/$H$127</f>
        <v>3.6327935333665398E-4</v>
      </c>
      <c r="J119" s="202">
        <f>I119*$E$129</f>
        <v>893568.80693414866</v>
      </c>
      <c r="K119" s="200"/>
      <c r="L119" s="382">
        <v>2486511.49236</v>
      </c>
      <c r="M119" s="198">
        <f t="shared" si="90"/>
        <v>3.5613943580392902E-4</v>
      </c>
      <c r="N119" s="202">
        <f>M119*$E$129</f>
        <v>876006.54380874382</v>
      </c>
      <c r="O119" s="200"/>
      <c r="P119" s="223">
        <f>S_Equal</f>
        <v>3.8569434685105937E-2</v>
      </c>
      <c r="Q119" s="225">
        <f>P119*D119</f>
        <v>1100566.2451037907</v>
      </c>
      <c r="R119" s="200"/>
      <c r="S119" s="331">
        <f>$D119/$D$124</f>
        <v>7.9950522430890965E-3</v>
      </c>
      <c r="T119" s="340">
        <v>58668307.535229452</v>
      </c>
      <c r="U119" s="343">
        <f>$S119*T119</f>
        <v>469056.18375777715</v>
      </c>
      <c r="V119" s="198">
        <f>U119/$U$127</f>
        <v>2.9045303435504759E-4</v>
      </c>
      <c r="W119" s="340">
        <f>$W$102</f>
        <v>55560458.175984956</v>
      </c>
      <c r="X119" s="343">
        <f>$S119*W119</f>
        <v>444208.76576696645</v>
      </c>
      <c r="Y119" s="198">
        <f>X119/$X$127</f>
        <v>2.9304446833707361E-4</v>
      </c>
      <c r="Z119" s="198">
        <f>AVERAGE(V119,Y119)</f>
        <v>2.917487513460606E-4</v>
      </c>
      <c r="AA119" s="245">
        <f>$Z119*'Inputs and Assumptions'!$C$6</f>
        <v>717622.90168810217</v>
      </c>
      <c r="AB119" s="253"/>
      <c r="AC119" s="213">
        <f>CHOOSE(gen_choice,'Generation Calculations'!$O120,'Generation Calculations'!$P120)</f>
        <v>3.4885147378791052E-2</v>
      </c>
      <c r="AD119" s="292">
        <f t="shared" si="91"/>
        <v>0.01</v>
      </c>
      <c r="AE119" s="214">
        <f>AG119-SUM(AC119:AD119,AF119)</f>
        <v>6.1498137103099135E-2</v>
      </c>
      <c r="AF119" s="214">
        <f>AK119/$D119*-1</f>
        <v>0</v>
      </c>
      <c r="AG119" s="214">
        <f>AL119/$D119</f>
        <v>0.10638328448189019</v>
      </c>
      <c r="AH119" s="202">
        <f>$D119*AE119</f>
        <v>1754829.2938442382</v>
      </c>
      <c r="AI119" s="408">
        <f>CHOOSE(gen_choice,'Generation Calculations'!$M120,'Generation Calculations'!$N120)</f>
        <v>995436.30789575726</v>
      </c>
      <c r="AJ119" s="202">
        <f>$D119*AD119</f>
        <v>285346.74</v>
      </c>
      <c r="AK119" s="284">
        <f>CHOOSE(gen_choice,'Generation Calculations'!K120,'Generation Calculations'!L120)</f>
        <v>0</v>
      </c>
      <c r="AL119" s="202">
        <f>$D119*gen_equal</f>
        <v>3035612.3417399954</v>
      </c>
      <c r="AM119" s="200"/>
      <c r="AN119" s="213">
        <f>CHOOSE(gen_choice,'Generation Calculations'!$O120,'Generation Calculations'!$P120)</f>
        <v>3.4885147378791052E-2</v>
      </c>
      <c r="AO119" s="292">
        <f t="shared" si="92"/>
        <v>0.01</v>
      </c>
      <c r="AP119" s="214">
        <f>AR119-SUM(AN119:AO119,AQ119)</f>
        <v>5.5763138642004398E-2</v>
      </c>
      <c r="AQ119" s="214">
        <f>AV119/$D119*-1</f>
        <v>0</v>
      </c>
      <c r="AR119" s="214">
        <f>AW119/$D119</f>
        <v>0.10064828602079545</v>
      </c>
      <c r="AS119" s="202">
        <f>$D119*AP119</f>
        <v>1591182.9823663982</v>
      </c>
      <c r="AT119" s="202">
        <f>$AI119</f>
        <v>995436.30789575726</v>
      </c>
      <c r="AU119" s="202">
        <f>$D119*AO119</f>
        <v>285346.74</v>
      </c>
      <c r="AV119" s="202">
        <f>$AK119</f>
        <v>0</v>
      </c>
      <c r="AW119" s="202">
        <f>$I119*'Inputs and Assumptions'!$C$15</f>
        <v>2871966.0302621555</v>
      </c>
      <c r="AX119" s="200"/>
      <c r="AY119" s="213">
        <f>CHOOSE(gen_choice,'Generation Calculations'!$O120,'Generation Calculations'!$P120)</f>
        <v>3.4885147378791052E-2</v>
      </c>
      <c r="AZ119" s="292">
        <f t="shared" si="93"/>
        <v>0.01</v>
      </c>
      <c r="BA119" s="214">
        <f>BC119-SUM(AY119:AZ119,BB119)</f>
        <v>5.3784990268312904E-2</v>
      </c>
      <c r="BB119" s="214">
        <f>BG119/$D119*-1</f>
        <v>0</v>
      </c>
      <c r="BC119" s="214">
        <f>BH119/$D119</f>
        <v>9.8670137647103959E-2</v>
      </c>
      <c r="BD119" s="202">
        <f>$D119*BA119</f>
        <v>1534737.1633994812</v>
      </c>
      <c r="BE119" s="202">
        <f>$AI119</f>
        <v>995436.30789575726</v>
      </c>
      <c r="BF119" s="202">
        <f>$D119*AZ119</f>
        <v>285346.74</v>
      </c>
      <c r="BG119" s="202">
        <f>$AK119</f>
        <v>0</v>
      </c>
      <c r="BH119" s="202">
        <f>$M119*'Inputs and Assumptions'!$C$15</f>
        <v>2815520.2112952387</v>
      </c>
      <c r="BI119" s="200"/>
      <c r="BJ119" s="213">
        <f>CHOOSE(gen_choice,'Generation Calculations'!$O120,'Generation Calculations'!$P120)</f>
        <v>3.4885147378791052E-2</v>
      </c>
      <c r="BK119" s="292">
        <f t="shared" si="94"/>
        <v>0.01</v>
      </c>
      <c r="BL119" s="214">
        <f>BN119-SUM(BJ119:BK119,BM119)</f>
        <v>5.4770814066809059E-2</v>
      </c>
      <c r="BM119" s="214">
        <f>BR119/$D119*-1</f>
        <v>0</v>
      </c>
      <c r="BN119" s="214">
        <f>BS119/$D119</f>
        <v>9.9655961445600114E-2</v>
      </c>
      <c r="BO119" s="202">
        <f>$D119*BL119</f>
        <v>1562867.3241110106</v>
      </c>
      <c r="BP119" s="202">
        <f>$AI119</f>
        <v>995436.30789575726</v>
      </c>
      <c r="BQ119" s="202">
        <f>$D119*BK119</f>
        <v>285346.74</v>
      </c>
      <c r="BR119" s="202">
        <f>$AK119</f>
        <v>0</v>
      </c>
      <c r="BS119" s="202">
        <f>D119*s_equal_gen</f>
        <v>2843650.3720067679</v>
      </c>
      <c r="BT119" s="200"/>
      <c r="BU119" s="213">
        <f>CHOOSE(gen_choice,'Generation Calculations'!$O120,'Generation Calculations'!$P120)</f>
        <v>3.4885147378791052E-2</v>
      </c>
      <c r="BV119" s="292">
        <f t="shared" si="95"/>
        <v>0.01</v>
      </c>
      <c r="BW119" s="214">
        <f>BY119-SUM(BU119:BV119,BX119)</f>
        <v>3.5945242518089116E-2</v>
      </c>
      <c r="BX119" s="214">
        <f>CC119/$D119*-1</f>
        <v>0</v>
      </c>
      <c r="BY119" s="214">
        <f>CD119/$D119</f>
        <v>8.083038989688017E-2</v>
      </c>
      <c r="BZ119" s="202">
        <f>$D119*BW119</f>
        <v>1025685.777104612</v>
      </c>
      <c r="CA119" s="202">
        <f>$AI119</f>
        <v>995436.30789575726</v>
      </c>
      <c r="CB119" s="202">
        <f>$D119*BV119</f>
        <v>285346.74</v>
      </c>
      <c r="CC119" s="202">
        <f>$AK119</f>
        <v>0</v>
      </c>
      <c r="CD119" s="202">
        <f>$Z119*'Inputs and Assumptions'!$C$15</f>
        <v>2306468.8250003695</v>
      </c>
    </row>
    <row r="120" spans="1:82">
      <c r="A120" s="105" t="s">
        <v>108</v>
      </c>
      <c r="B120" s="72"/>
      <c r="C120" s="72"/>
      <c r="D120" s="176">
        <v>387382674</v>
      </c>
      <c r="E120" s="201">
        <f>SUM(E117:E119)</f>
        <v>14824679.358559217</v>
      </c>
      <c r="F120" s="199"/>
      <c r="G120" s="238"/>
      <c r="H120" s="224">
        <f>SUM(H117:H119)</f>
        <v>14064074.133480001</v>
      </c>
      <c r="I120" s="154">
        <f>H120/$H$127</f>
        <v>4.4740606106711978E-3</v>
      </c>
      <c r="J120" s="201">
        <f>SUM(J117:J119)</f>
        <v>11004977.20365534</v>
      </c>
      <c r="K120" s="199"/>
      <c r="L120" s="157">
        <f>SUM(L117:L119)</f>
        <v>30412062.852359999</v>
      </c>
      <c r="M120" s="154">
        <f t="shared" si="90"/>
        <v>4.3558756672358069E-3</v>
      </c>
      <c r="N120" s="201">
        <f>SUM(N117:N119)</f>
        <v>10714274.255818734</v>
      </c>
      <c r="O120" s="199"/>
      <c r="P120" s="223"/>
      <c r="Q120" s="224">
        <f>SUM(Q117:Q119)</f>
        <v>14111972.501176156</v>
      </c>
      <c r="R120" s="199"/>
      <c r="T120" s="339"/>
      <c r="U120" s="340">
        <f>SUM(U117:U119)</f>
        <v>4852486.4304863159</v>
      </c>
      <c r="V120" s="154">
        <f>U120/$U$127</f>
        <v>3.0047986930053462E-3</v>
      </c>
      <c r="W120" s="339"/>
      <c r="X120" s="340">
        <f>SUM(X117:X119)</f>
        <v>4980487.7009894531</v>
      </c>
      <c r="Y120" s="154">
        <f>X120/$X$127</f>
        <v>3.2856271259659241E-3</v>
      </c>
      <c r="Z120" s="154">
        <f>AVERAGE(V120,Y120)</f>
        <v>3.1452129094856349E-3</v>
      </c>
      <c r="AA120" s="157">
        <f>SUM(AA117:AA119)</f>
        <v>7736371.8066258524</v>
      </c>
      <c r="AB120" s="252"/>
      <c r="AC120" s="208">
        <f>CHOOSE(gen_choice,'Generation Calculations'!$O121,'Generation Calculations'!$P121)</f>
        <v>3.9935142838032824E-2</v>
      </c>
      <c r="AD120" s="291">
        <f t="shared" si="91"/>
        <v>0.01</v>
      </c>
      <c r="AE120" s="211">
        <f>AH120/$D$120</f>
        <v>5.6448141643857377E-2</v>
      </c>
      <c r="AF120" s="211">
        <f>AK120/$D120*-1</f>
        <v>0</v>
      </c>
      <c r="AG120" s="211">
        <f>AL120/$D$120</f>
        <v>0.1063832844818902</v>
      </c>
      <c r="AH120" s="201">
        <f>AL120+AK120-SUM(AI120:AJ120)</f>
        <v>21867032.052328225</v>
      </c>
      <c r="AI120" s="201">
        <f>SUM(AI117:AI119)</f>
        <v>15470182.419169104</v>
      </c>
      <c r="AJ120" s="201">
        <f>SUM(AJ117:AJ119)</f>
        <v>3873826.74</v>
      </c>
      <c r="AK120" s="201">
        <f>SUM(AK117:AK119)</f>
        <v>0</v>
      </c>
      <c r="AL120" s="201">
        <f>SUM(AL117:AL119)</f>
        <v>41211041.211497329</v>
      </c>
      <c r="AM120" s="199"/>
      <c r="AN120" s="208">
        <f>CHOOSE(gen_choice,'Generation Calculations'!$O121,'Generation Calculations'!$P121)</f>
        <v>3.9935142838032824E-2</v>
      </c>
      <c r="AO120" s="291">
        <f t="shared" si="92"/>
        <v>0.01</v>
      </c>
      <c r="AP120" s="211">
        <f>AS120/$D$120</f>
        <v>4.1371053991936309E-2</v>
      </c>
      <c r="AQ120" s="211">
        <f>AV120/$D120*-1</f>
        <v>0</v>
      </c>
      <c r="AR120" s="211">
        <f>AW120/$D$120</f>
        <v>9.1306196829969127E-2</v>
      </c>
      <c r="AS120" s="201">
        <f>SUM(AS117:AS119)</f>
        <v>16026429.521594662</v>
      </c>
      <c r="AT120" s="201">
        <f>SUM(AT117:AT119)</f>
        <v>15470182.419169104</v>
      </c>
      <c r="AU120" s="201">
        <f>SUM(AU117:AU119)</f>
        <v>3873826.74</v>
      </c>
      <c r="AV120" s="201">
        <f>SUM(AV117:AV119)</f>
        <v>0</v>
      </c>
      <c r="AW120" s="201">
        <f>SUM(AW117:AW119)</f>
        <v>35370438.680763766</v>
      </c>
      <c r="AX120" s="199"/>
      <c r="AY120" s="208">
        <f>CHOOSE(gen_choice,'Generation Calculations'!$O121,'Generation Calculations'!$P121)</f>
        <v>3.9935142838032824E-2</v>
      </c>
      <c r="AZ120" s="291">
        <f t="shared" si="93"/>
        <v>0.01</v>
      </c>
      <c r="BA120" s="211">
        <f>BD120/$D$120</f>
        <v>3.8959147080815666E-2</v>
      </c>
      <c r="BB120" s="211">
        <f>BG120/$D120*-1</f>
        <v>0</v>
      </c>
      <c r="BC120" s="211">
        <f>BH120/$D$120</f>
        <v>8.8894289918848499E-2</v>
      </c>
      <c r="BD120" s="201">
        <f>SUM(BD117:BD119)</f>
        <v>15092098.572925668</v>
      </c>
      <c r="BE120" s="201">
        <f>SUM(BE117:BE119)</f>
        <v>15470182.419169104</v>
      </c>
      <c r="BF120" s="201">
        <f>SUM(BF117:BF119)</f>
        <v>3873826.74</v>
      </c>
      <c r="BG120" s="201">
        <f>SUM(BG117:BG119)</f>
        <v>0</v>
      </c>
      <c r="BH120" s="201">
        <f>SUM(BH117:BH119)</f>
        <v>34436107.732094772</v>
      </c>
      <c r="BI120" s="199"/>
      <c r="BJ120" s="208">
        <f>CHOOSE(gen_choice,'Generation Calculations'!$O121,'Generation Calculations'!$P121)</f>
        <v>3.9935142838032824E-2</v>
      </c>
      <c r="BK120" s="291">
        <f t="shared" si="94"/>
        <v>0.01</v>
      </c>
      <c r="BL120" s="211">
        <f>BO120/$D$120</f>
        <v>4.4190409751679975E-2</v>
      </c>
      <c r="BM120" s="211">
        <f>BR120/$D120*-1</f>
        <v>0</v>
      </c>
      <c r="BN120" s="211">
        <f>BS120/$D$120</f>
        <v>9.4125552589712794E-2</v>
      </c>
      <c r="BO120" s="201">
        <f>SUM(BO117:BO119)</f>
        <v>17118599.094761465</v>
      </c>
      <c r="BP120" s="201">
        <f>SUM(BP117:BP119)</f>
        <v>15470182.419169104</v>
      </c>
      <c r="BQ120" s="201">
        <f>SUM(BQ117:BQ119)</f>
        <v>3873826.74</v>
      </c>
      <c r="BR120" s="201">
        <f>SUM(BR117:BR119)</f>
        <v>0</v>
      </c>
      <c r="BS120" s="201">
        <f>SUM(BS117:BS119)</f>
        <v>36462608.253930569</v>
      </c>
      <c r="BT120" s="199"/>
      <c r="BU120" s="208">
        <f>CHOOSE(gen_choice,'Generation Calculations'!$O121,'Generation Calculations'!$P121)</f>
        <v>3.9935142838032824E-2</v>
      </c>
      <c r="BV120" s="291">
        <f t="shared" si="95"/>
        <v>0.01</v>
      </c>
      <c r="BW120" s="211">
        <f>BZ120/$D$120</f>
        <v>1.4252058448579387E-2</v>
      </c>
      <c r="BX120" s="211">
        <f>CC120/$D120*-1</f>
        <v>0</v>
      </c>
      <c r="BY120" s="211">
        <f>CD120/$D$120</f>
        <v>6.4187201286612205E-2</v>
      </c>
      <c r="BZ120" s="201">
        <f>SUM(BZ117:BZ119)</f>
        <v>5521000.5118149742</v>
      </c>
      <c r="CA120" s="201">
        <f>SUM(CA117:CA119)</f>
        <v>15470182.419169104</v>
      </c>
      <c r="CB120" s="201">
        <f>SUM(CB117:CB119)</f>
        <v>3873826.74</v>
      </c>
      <c r="CC120" s="201">
        <f>SUM(CC117:CC119)</f>
        <v>0</v>
      </c>
      <c r="CD120" s="201">
        <f>SUM(CD117:CD119)</f>
        <v>24865009.670984074</v>
      </c>
    </row>
    <row r="121" spans="1:82">
      <c r="A121" s="94"/>
      <c r="B121" s="73"/>
      <c r="C121" s="73"/>
      <c r="D121" s="176"/>
      <c r="E121" s="201"/>
      <c r="F121" s="199"/>
      <c r="G121" s="238"/>
      <c r="H121" s="224"/>
      <c r="I121" s="154"/>
      <c r="J121" s="201"/>
      <c r="K121" s="199"/>
      <c r="L121" s="157"/>
      <c r="M121" s="154"/>
      <c r="N121" s="201"/>
      <c r="O121" s="199"/>
      <c r="P121" s="223"/>
      <c r="Q121" s="224"/>
      <c r="R121" s="199"/>
      <c r="T121" s="339"/>
      <c r="V121" s="154"/>
      <c r="W121" s="339"/>
      <c r="X121" s="340"/>
      <c r="Y121" s="154"/>
      <c r="Z121" s="154"/>
      <c r="AA121" s="157"/>
      <c r="AB121" s="252"/>
      <c r="AC121" s="207"/>
      <c r="AD121" s="208"/>
      <c r="AH121" s="201"/>
      <c r="AJ121" s="201">
        <f>$D121*AD121</f>
        <v>0</v>
      </c>
      <c r="AK121" s="201"/>
      <c r="AL121" s="201"/>
      <c r="AM121" s="199"/>
      <c r="AN121" s="207"/>
      <c r="AO121" s="208"/>
      <c r="AP121"/>
      <c r="AQ121"/>
      <c r="AR121"/>
      <c r="AS121" s="201"/>
      <c r="AT121" s="201"/>
      <c r="AU121" s="201">
        <f>$D121*AO121</f>
        <v>0</v>
      </c>
      <c r="AV121" s="201"/>
      <c r="AW121" s="201"/>
      <c r="AX121" s="199"/>
      <c r="AY121" s="207"/>
      <c r="AZ121" s="208"/>
      <c r="BA121"/>
      <c r="BB121"/>
      <c r="BC121"/>
      <c r="BD121" s="201"/>
      <c r="BE121" s="201"/>
      <c r="BF121" s="201">
        <f>$D121*AZ121</f>
        <v>0</v>
      </c>
      <c r="BG121" s="201"/>
      <c r="BH121" s="201"/>
      <c r="BI121" s="199"/>
      <c r="BJ121" s="207"/>
      <c r="BK121" s="208"/>
      <c r="BL121"/>
      <c r="BM121"/>
      <c r="BN121"/>
      <c r="BO121" s="201"/>
      <c r="BP121" s="201"/>
      <c r="BQ121" s="201">
        <f>$D121*BK121</f>
        <v>0</v>
      </c>
      <c r="BR121" s="201"/>
      <c r="BS121" s="201"/>
      <c r="BT121" s="199"/>
      <c r="BU121" s="207"/>
      <c r="BV121" s="208"/>
      <c r="BW121"/>
      <c r="BX121"/>
      <c r="BY121"/>
      <c r="BZ121" s="201"/>
      <c r="CA121" s="201"/>
      <c r="CB121" s="201">
        <f>$D121*BV121</f>
        <v>0</v>
      </c>
      <c r="CC121" s="201"/>
      <c r="CD121" s="201"/>
    </row>
    <row r="122" spans="1:82">
      <c r="A122" s="190" t="s">
        <v>109</v>
      </c>
      <c r="B122" s="72" t="s">
        <v>21</v>
      </c>
      <c r="C122" s="72"/>
      <c r="D122" s="176">
        <v>7404458736.0154905</v>
      </c>
      <c r="E122" s="201">
        <f>E112+E117</f>
        <v>283359927.9277842</v>
      </c>
      <c r="F122" s="199"/>
      <c r="G122" s="238"/>
      <c r="H122" s="51">
        <f>H112+H117</f>
        <v>266634559.08391783</v>
      </c>
      <c r="I122" s="154">
        <f>H122/$H$127</f>
        <v>8.4821735644951352E-2</v>
      </c>
      <c r="J122" s="201">
        <f>J112+J117</f>
        <v>208638493.83728656</v>
      </c>
      <c r="K122" s="199"/>
      <c r="L122" s="157">
        <f>L112+L117</f>
        <v>576214978.83672547</v>
      </c>
      <c r="M122" s="154">
        <f t="shared" si="90"/>
        <v>8.2530435952223355E-2</v>
      </c>
      <c r="N122" s="201">
        <f>N112+N117</f>
        <v>203002517.24254143</v>
      </c>
      <c r="O122" s="199"/>
      <c r="P122" s="223"/>
      <c r="Q122" s="51">
        <f>Q112+Q117</f>
        <v>268476961.61221915</v>
      </c>
      <c r="R122" s="199"/>
      <c r="T122" s="339"/>
      <c r="U122" s="340">
        <f>U112+U117</f>
        <v>90447566.613451004</v>
      </c>
      <c r="V122" s="154">
        <f>U122/$U$127</f>
        <v>5.600772590277478E-2</v>
      </c>
      <c r="W122" s="339"/>
      <c r="X122" s="340">
        <f>X112+X117</f>
        <v>93601441.810770005</v>
      </c>
      <c r="Y122" s="154">
        <f>X122/$X$127</f>
        <v>6.1748859691369049E-2</v>
      </c>
      <c r="Z122" s="154">
        <f>AVERAGE(V122,Y122)</f>
        <v>5.8878292797071914E-2</v>
      </c>
      <c r="AA122" s="201">
        <f>AA112+AA117</f>
        <v>144824651.7886835</v>
      </c>
      <c r="AB122" s="252"/>
      <c r="AC122" s="208">
        <f>CHOOSE(gen_choice,'Generation Calculations'!$O123,'Generation Calculations'!$P123)</f>
        <v>4.667679570621365E-2</v>
      </c>
      <c r="AD122" s="291">
        <f t="shared" si="91"/>
        <v>0.01</v>
      </c>
      <c r="AE122" s="211">
        <f>AH122/$D122</f>
        <v>5.8123229395950091E-2</v>
      </c>
      <c r="AF122" s="211">
        <f>AK122/$D122*-1</f>
        <v>-8.4167406202735485E-3</v>
      </c>
      <c r="AG122" s="211">
        <f>AL122/$D122</f>
        <v>0.10638328448189018</v>
      </c>
      <c r="AH122" s="201">
        <f>AH112+AH117</f>
        <v>430371053.66627502</v>
      </c>
      <c r="AI122" s="201">
        <f>$D122*AC122</f>
        <v>345616407.73608398</v>
      </c>
      <c r="AJ122" s="201">
        <f t="shared" ref="AJ122:AL124" si="96">AJ112+AJ117</f>
        <v>74044587.360154912</v>
      </c>
      <c r="AK122" s="201">
        <f>AK112+AK117</f>
        <v>62321408.614560917</v>
      </c>
      <c r="AL122" s="201">
        <f t="shared" si="96"/>
        <v>787710640.14795291</v>
      </c>
      <c r="AM122" s="199"/>
      <c r="AN122" s="208">
        <f>CHOOSE(gen_choice,'Generation Calculations'!$O123,'Generation Calculations'!$P123)</f>
        <v>4.667679570621365E-2</v>
      </c>
      <c r="AO122" s="291">
        <f t="shared" si="92"/>
        <v>0.01</v>
      </c>
      <c r="AP122" s="211">
        <f>AS122/$D122</f>
        <v>4.2303282735370346E-2</v>
      </c>
      <c r="AQ122" s="211">
        <f>AV122/$D122*-1</f>
        <v>-8.4167406202735485E-3</v>
      </c>
      <c r="AR122" s="211">
        <f>AW122/$D122</f>
        <v>9.0563337821310444E-2</v>
      </c>
      <c r="AS122" s="201">
        <f>AS112+AS117</f>
        <v>313232911.41204625</v>
      </c>
      <c r="AT122" s="201">
        <f>$D122*AN122</f>
        <v>345616407.73608398</v>
      </c>
      <c r="AU122" s="201">
        <f t="shared" ref="AU122:AW124" si="97">AU112+AU117</f>
        <v>74044587.360154912</v>
      </c>
      <c r="AV122" s="201">
        <f t="shared" si="97"/>
        <v>62321408.614560917</v>
      </c>
      <c r="AW122" s="201">
        <f t="shared" si="97"/>
        <v>670572497.8937242</v>
      </c>
      <c r="AX122" s="199"/>
      <c r="AY122" s="208">
        <f>CHOOSE(gen_choice,'Generation Calculations'!$O123,'Generation Calculations'!$P123)</f>
        <v>4.667679570621365E-2</v>
      </c>
      <c r="AZ122" s="291">
        <f t="shared" si="93"/>
        <v>0.01</v>
      </c>
      <c r="BA122" s="211">
        <f>BD122/$D122</f>
        <v>3.9856884456148843E-2</v>
      </c>
      <c r="BB122" s="211">
        <f>BG122/$D122*-1</f>
        <v>-8.4167406202735485E-3</v>
      </c>
      <c r="BC122" s="211">
        <f>BH122/$D122</f>
        <v>8.8116939542088935E-2</v>
      </c>
      <c r="BD122" s="201">
        <f>BD112+BD117</f>
        <v>295118656.30169129</v>
      </c>
      <c r="BE122" s="201">
        <f>$D122*AY122</f>
        <v>345616407.73608398</v>
      </c>
      <c r="BF122" s="201">
        <f t="shared" ref="BF122:BH124" si="98">BF112+BF117</f>
        <v>74044587.360154912</v>
      </c>
      <c r="BG122" s="201">
        <f t="shared" si="98"/>
        <v>62321408.614560917</v>
      </c>
      <c r="BH122" s="201">
        <f t="shared" si="98"/>
        <v>652458242.78336918</v>
      </c>
      <c r="BI122" s="199"/>
      <c r="BJ122" s="208">
        <f>CHOOSE(gen_choice,'Generation Calculations'!$O123,'Generation Calculations'!$P123)</f>
        <v>4.667679570621365E-2</v>
      </c>
      <c r="BK122" s="291">
        <f t="shared" si="94"/>
        <v>0.01</v>
      </c>
      <c r="BL122" s="211">
        <f>BO122/$D122</f>
        <v>4.5425733554163225E-2</v>
      </c>
      <c r="BM122" s="211">
        <f>BR122/$D122*-1</f>
        <v>-8.4167406202735485E-3</v>
      </c>
      <c r="BN122" s="211">
        <f>BS122/$D122</f>
        <v>9.3685788640103337E-2</v>
      </c>
      <c r="BO122" s="201">
        <f>BO112+BO117</f>
        <v>336352969.65503591</v>
      </c>
      <c r="BP122" s="201">
        <f>$D122*BJ122</f>
        <v>345616407.73608398</v>
      </c>
      <c r="BQ122" s="201">
        <f t="shared" ref="BQ122:BS124" si="99">BQ112+BQ117</f>
        <v>74044587.360154912</v>
      </c>
      <c r="BR122" s="201">
        <f t="shared" si="99"/>
        <v>62321408.614560917</v>
      </c>
      <c r="BS122" s="201">
        <f t="shared" si="99"/>
        <v>693692556.13671398</v>
      </c>
      <c r="BT122" s="199"/>
      <c r="BU122" s="208">
        <f>CHOOSE(gen_choice,'Generation Calculations'!$O123,'Generation Calculations'!$P123)</f>
        <v>4.667679570621365E-2</v>
      </c>
      <c r="BV122" s="291">
        <f t="shared" si="95"/>
        <v>0.01</v>
      </c>
      <c r="BW122" s="211">
        <f>BZ122/$D122</f>
        <v>1.4603722463283278E-2</v>
      </c>
      <c r="BX122" s="211">
        <f>CC122/$D122*-1</f>
        <v>-8.4167406202735485E-3</v>
      </c>
      <c r="BY122" s="211">
        <f>CD122/$D122</f>
        <v>6.2863777549223371E-2</v>
      </c>
      <c r="BZ122" s="201">
        <f>BZ112+BZ117</f>
        <v>108132660.37160352</v>
      </c>
      <c r="CA122" s="201">
        <f>$D122*BU122</f>
        <v>345616407.73608398</v>
      </c>
      <c r="CB122" s="201">
        <f t="shared" ref="CB122:CD124" si="100">CB112+CB117</f>
        <v>74044587.360154912</v>
      </c>
      <c r="CC122" s="201">
        <f t="shared" si="100"/>
        <v>62321408.614560917</v>
      </c>
      <c r="CD122" s="201">
        <f t="shared" si="100"/>
        <v>465472246.8532815</v>
      </c>
    </row>
    <row r="123" spans="1:82">
      <c r="A123" s="190"/>
      <c r="B123" s="72" t="s">
        <v>27</v>
      </c>
      <c r="C123" s="72"/>
      <c r="D123" s="176">
        <v>6260946171.6443033</v>
      </c>
      <c r="E123" s="201">
        <f>E113+E118</f>
        <v>239599046.89961863</v>
      </c>
      <c r="F123" s="199"/>
      <c r="G123" s="238"/>
      <c r="H123" s="51">
        <f>H113+H118</f>
        <v>232531540.81486943</v>
      </c>
      <c r="I123" s="154">
        <f>H123/$H$127</f>
        <v>7.3972889905484562E-2</v>
      </c>
      <c r="J123" s="201">
        <f>J113+J118</f>
        <v>181953271.96880269</v>
      </c>
      <c r="K123" s="199"/>
      <c r="L123" s="157">
        <f>L113+L118</f>
        <v>504193995.20251584</v>
      </c>
      <c r="M123" s="154">
        <f t="shared" si="90"/>
        <v>7.2214974891077435E-2</v>
      </c>
      <c r="N123" s="201">
        <f>N113+N118</f>
        <v>177629277.20365095</v>
      </c>
      <c r="O123" s="199"/>
      <c r="P123" s="223"/>
      <c r="Q123" s="51">
        <f>Q113+Q118</f>
        <v>235917072.53479356</v>
      </c>
      <c r="R123" s="199"/>
      <c r="T123" s="339"/>
      <c r="U123" s="340">
        <f>U113+U118</f>
        <v>91500296.987179756</v>
      </c>
      <c r="V123" s="154">
        <f>U123/$U$127</f>
        <v>5.6659606726427107E-2</v>
      </c>
      <c r="W123" s="339"/>
      <c r="X123" s="340">
        <f>X113+X118</f>
        <v>90726123.893649444</v>
      </c>
      <c r="Y123" s="154">
        <f>X123/$X$127</f>
        <v>5.9852012813825246E-2</v>
      </c>
      <c r="Z123" s="154">
        <f>AVERAGE(V123,Y123)</f>
        <v>5.8255809770126177E-2</v>
      </c>
      <c r="AA123" s="201">
        <f>AA113+AA118</f>
        <v>143293512.15573773</v>
      </c>
      <c r="AB123" s="252"/>
      <c r="AC123" s="208">
        <f>CHOOSE(gen_choice,'Generation Calculations'!$O124,'Generation Calculations'!$P124)</f>
        <v>5.5810534229175035E-2</v>
      </c>
      <c r="AD123" s="291">
        <f t="shared" si="91"/>
        <v>0.01</v>
      </c>
      <c r="AE123" s="211">
        <f>AH123/$D123</f>
        <v>4.6835239035890874E-2</v>
      </c>
      <c r="AF123" s="211">
        <f>AK123/$D123*-1</f>
        <v>-6.2624887831757266E-3</v>
      </c>
      <c r="AG123" s="211">
        <f>AL123/$D123</f>
        <v>0.10638328448189018</v>
      </c>
      <c r="AH123" s="201">
        <f>AH113+AH118</f>
        <v>293232910.53980678</v>
      </c>
      <c r="AI123" s="201">
        <f>$D123*AC123</f>
        <v>349426750.61957681</v>
      </c>
      <c r="AJ123" s="201">
        <f t="shared" si="96"/>
        <v>62609461.716443039</v>
      </c>
      <c r="AK123" s="201">
        <f>AK113+AK118</f>
        <v>39209105.171989456</v>
      </c>
      <c r="AL123" s="201">
        <f t="shared" si="96"/>
        <v>666060017.70383716</v>
      </c>
      <c r="AM123" s="199"/>
      <c r="AN123" s="208">
        <f>CHOOSE(gen_choice,'Generation Calculations'!$O124,'Generation Calculations'!$P124)</f>
        <v>5.5810534229175035E-2</v>
      </c>
      <c r="AO123" s="291">
        <f t="shared" si="92"/>
        <v>0.01</v>
      </c>
      <c r="AP123" s="211">
        <f>AS123/$D123</f>
        <v>3.3857185508831843E-2</v>
      </c>
      <c r="AQ123" s="211">
        <f>AV123/$D123*-1</f>
        <v>-6.2624887831757266E-3</v>
      </c>
      <c r="AR123" s="211">
        <f>AW123/$D123</f>
        <v>9.340523095483115E-2</v>
      </c>
      <c r="AS123" s="201">
        <f>AS113+AS118</f>
        <v>211978015.99417171</v>
      </c>
      <c r="AT123" s="201">
        <f>$D123*AN123</f>
        <v>349426750.61957681</v>
      </c>
      <c r="AU123" s="201">
        <f t="shared" si="97"/>
        <v>62609461.716443039</v>
      </c>
      <c r="AV123" s="201">
        <f t="shared" si="97"/>
        <v>39209105.171989456</v>
      </c>
      <c r="AW123" s="201">
        <f t="shared" si="97"/>
        <v>584805123.15820205</v>
      </c>
      <c r="AX123" s="199"/>
      <c r="AY123" s="208">
        <f>CHOOSE(gen_choice,'Generation Calculations'!$O124,'Generation Calculations'!$P124)</f>
        <v>5.5810534229175035E-2</v>
      </c>
      <c r="AZ123" s="291">
        <f t="shared" si="93"/>
        <v>0.01</v>
      </c>
      <c r="BA123" s="211">
        <f>BD123/$D123</f>
        <v>3.163747423177532E-2</v>
      </c>
      <c r="BB123" s="211">
        <f>BG123/$D123*-1</f>
        <v>-6.2624887831757266E-3</v>
      </c>
      <c r="BC123" s="211">
        <f>BH123/$D123</f>
        <v>9.1185519677774649E-2</v>
      </c>
      <c r="BD123" s="201">
        <f>BD113+BD118</f>
        <v>198080523.171929</v>
      </c>
      <c r="BE123" s="201">
        <f>$D123*AY123</f>
        <v>349426750.61957681</v>
      </c>
      <c r="BF123" s="201">
        <f>BF113+BF118</f>
        <v>62609461.716443039</v>
      </c>
      <c r="BG123" s="201">
        <f t="shared" si="98"/>
        <v>39209105.171989456</v>
      </c>
      <c r="BH123" s="201">
        <f t="shared" si="98"/>
        <v>570907630.33595943</v>
      </c>
      <c r="BI123" s="199"/>
      <c r="BJ123" s="208">
        <f>CHOOSE(gen_choice,'Generation Calculations'!$O124,'Generation Calculations'!$P124)</f>
        <v>5.5810534229175035E-2</v>
      </c>
      <c r="BK123" s="291">
        <f t="shared" si="94"/>
        <v>0.01</v>
      </c>
      <c r="BL123" s="211">
        <f>BO123/$D123</f>
        <v>3.781169568979436E-2</v>
      </c>
      <c r="BM123" s="211">
        <f>BR123/$D123*-1</f>
        <v>-6.2624887831757266E-3</v>
      </c>
      <c r="BN123" s="211">
        <f>BS123/$D123</f>
        <v>9.7359741135793668E-2</v>
      </c>
      <c r="BO123" s="201">
        <f>BO113+BO118</f>
        <v>236736991.37239739</v>
      </c>
      <c r="BP123" s="201">
        <f>$D123*BJ123</f>
        <v>349426750.61957681</v>
      </c>
      <c r="BQ123" s="201">
        <f t="shared" si="99"/>
        <v>62609461.716443039</v>
      </c>
      <c r="BR123" s="201">
        <f t="shared" si="99"/>
        <v>39209105.171989456</v>
      </c>
      <c r="BS123" s="201">
        <f t="shared" si="99"/>
        <v>609564098.53642774</v>
      </c>
      <c r="BT123" s="199"/>
      <c r="BU123" s="208">
        <f>CHOOSE(gen_choice,'Generation Calculations'!$O124,'Generation Calculations'!$P124)</f>
        <v>5.5810534229175035E-2</v>
      </c>
      <c r="BV123" s="291">
        <f t="shared" si="95"/>
        <v>0.01</v>
      </c>
      <c r="BW123" s="211">
        <f>BZ123/$D123</f>
        <v>1.4011300051950525E-2</v>
      </c>
      <c r="BX123" s="211">
        <f>CC123/$D123*-1</f>
        <v>-6.2624887831757266E-3</v>
      </c>
      <c r="BY123" s="211">
        <f>CD123/$D123</f>
        <v>7.3559345497949832E-2</v>
      </c>
      <c r="BZ123" s="201">
        <f>BZ113+BZ118</f>
        <v>87723995.420019269</v>
      </c>
      <c r="CA123" s="201">
        <f>$D123*BU123</f>
        <v>349426750.61957681</v>
      </c>
      <c r="CB123" s="201">
        <f t="shared" si="100"/>
        <v>62609461.716443039</v>
      </c>
      <c r="CC123" s="201">
        <f t="shared" si="100"/>
        <v>39209105.171989456</v>
      </c>
      <c r="CD123" s="201">
        <f t="shared" si="100"/>
        <v>460551102.58404964</v>
      </c>
    </row>
    <row r="124" spans="1:82">
      <c r="A124" s="190"/>
      <c r="B124" s="72" t="s">
        <v>28</v>
      </c>
      <c r="C124" s="72"/>
      <c r="D124" s="179">
        <v>3569041593.7763634</v>
      </c>
      <c r="E124" s="202">
        <f>E114+E119</f>
        <v>136583024.47748542</v>
      </c>
      <c r="F124" s="200"/>
      <c r="G124" s="243"/>
      <c r="H124" s="226">
        <f>H114+H119</f>
        <v>142833044.58293006</v>
      </c>
      <c r="I124" s="198">
        <f>H124/$H$127</f>
        <v>4.5438021202509553E-2</v>
      </c>
      <c r="J124" s="202">
        <f>J114+J119</f>
        <v>111765224.26186112</v>
      </c>
      <c r="K124" s="200"/>
      <c r="L124" s="245">
        <f>L114+L119</f>
        <v>311006284.48167229</v>
      </c>
      <c r="M124" s="198">
        <f t="shared" si="90"/>
        <v>4.4544979191571264E-2</v>
      </c>
      <c r="N124" s="202">
        <f>N114+N119</f>
        <v>109568582.8151982</v>
      </c>
      <c r="O124" s="200"/>
      <c r="P124" s="223"/>
      <c r="Q124" s="226">
        <f>Q114+Q119</f>
        <v>137655916.63958383</v>
      </c>
      <c r="R124" s="200"/>
      <c r="T124" s="339"/>
      <c r="U124" s="343">
        <f>U114+U119</f>
        <v>58668307.535229445</v>
      </c>
      <c r="V124" s="198">
        <f>U124/$U$127</f>
        <v>3.6329097737430607E-2</v>
      </c>
      <c r="W124" s="339"/>
      <c r="X124" s="343">
        <f>X114+X119</f>
        <v>55560458.175984956</v>
      </c>
      <c r="Y124" s="198">
        <f>X124/$X$127</f>
        <v>3.6653227449561766E-2</v>
      </c>
      <c r="Z124" s="198">
        <f>AVERAGE(V124,Y124)</f>
        <v>3.649116259349619E-2</v>
      </c>
      <c r="AA124" s="202">
        <f>AA114+AA119</f>
        <v>89758375.53887327</v>
      </c>
      <c r="AB124" s="253"/>
      <c r="AC124" s="213">
        <f>CHOOSE(gen_choice,'Generation Calculations'!$O125,'Generation Calculations'!$P125)</f>
        <v>5.8985578387189208E-2</v>
      </c>
      <c r="AD124" s="292">
        <f t="shared" si="91"/>
        <v>0.01</v>
      </c>
      <c r="AE124" s="214">
        <f>AH124/$D124</f>
        <v>4.2230782415719419E-2</v>
      </c>
      <c r="AF124" s="214">
        <f>AK124/$D124*-1</f>
        <v>-4.8330763210184665E-3</v>
      </c>
      <c r="AG124" s="214">
        <f>AL124/$D124</f>
        <v>0.10638328448189019</v>
      </c>
      <c r="AH124" s="202">
        <f>AH114+AH119</f>
        <v>150723418.97942206</v>
      </c>
      <c r="AI124" s="202">
        <f>$D124*AC124</f>
        <v>210521982.69683439</v>
      </c>
      <c r="AJ124" s="202">
        <f t="shared" si="96"/>
        <v>35690415.937763631</v>
      </c>
      <c r="AK124" s="202">
        <f>AK114+AK119</f>
        <v>17249450.415610552</v>
      </c>
      <c r="AL124" s="202">
        <f t="shared" si="96"/>
        <v>379686367.19840962</v>
      </c>
      <c r="AM124" s="200"/>
      <c r="AN124" s="213">
        <f>CHOOSE(gen_choice,'Generation Calculations'!$O125,'Generation Calculations'!$P125)</f>
        <v>5.8985578387189208E-2</v>
      </c>
      <c r="AO124" s="292">
        <f t="shared" si="92"/>
        <v>0.01</v>
      </c>
      <c r="AP124" s="214">
        <f>AS124/$D124</f>
        <v>3.6495783954624689E-2</v>
      </c>
      <c r="AQ124" s="214">
        <f>AV124/$D124*-1</f>
        <v>-4.8330763210184665E-3</v>
      </c>
      <c r="AR124" s="214">
        <f>AW124/$D124</f>
        <v>0.10064828602079544</v>
      </c>
      <c r="AS124" s="202">
        <f>AS114+AS119</f>
        <v>130254970.93153153</v>
      </c>
      <c r="AT124" s="202">
        <f>$D124*AN124</f>
        <v>210521982.69683439</v>
      </c>
      <c r="AU124" s="202">
        <f t="shared" si="97"/>
        <v>35690415.937763631</v>
      </c>
      <c r="AV124" s="202">
        <f t="shared" si="97"/>
        <v>17249450.415610552</v>
      </c>
      <c r="AW124" s="202">
        <f t="shared" si="97"/>
        <v>359217919.15051901</v>
      </c>
      <c r="AX124" s="200"/>
      <c r="AY124" s="213">
        <f>CHOOSE(gen_choice,'Generation Calculations'!$O125,'Generation Calculations'!$P125)</f>
        <v>5.8985578387189208E-2</v>
      </c>
      <c r="AZ124" s="292">
        <f t="shared" si="93"/>
        <v>0.01</v>
      </c>
      <c r="BA124" s="214">
        <f>BD124/$D124</f>
        <v>3.4517635580933202E-2</v>
      </c>
      <c r="BB124" s="214">
        <f>BG124/$D124*-1</f>
        <v>-4.8330763210184665E-3</v>
      </c>
      <c r="BC124" s="214">
        <f>BH124/$D124</f>
        <v>9.8670137647103945E-2</v>
      </c>
      <c r="BD124" s="202">
        <f>BD114+BD119</f>
        <v>123194877.10716555</v>
      </c>
      <c r="BE124" s="202">
        <f>$D124*AY124</f>
        <v>210521982.69683439</v>
      </c>
      <c r="BF124" s="202">
        <f>BF114+BF119</f>
        <v>35690415.937763631</v>
      </c>
      <c r="BG124" s="202">
        <f t="shared" si="98"/>
        <v>17249450.415610552</v>
      </c>
      <c r="BH124" s="202">
        <f t="shared" si="98"/>
        <v>352157825.32615304</v>
      </c>
      <c r="BI124" s="200"/>
      <c r="BJ124" s="213">
        <f>CHOOSE(gen_choice,'Generation Calculations'!$O125,'Generation Calculations'!$P125)</f>
        <v>5.8985578387189208E-2</v>
      </c>
      <c r="BK124" s="292">
        <f t="shared" si="94"/>
        <v>0.01</v>
      </c>
      <c r="BL124" s="214">
        <f>BO124/$D124</f>
        <v>3.5503459379429371E-2</v>
      </c>
      <c r="BM124" s="214">
        <f>BR124/$D124*-1</f>
        <v>-4.8330763210184665E-3</v>
      </c>
      <c r="BN124" s="214">
        <f>BS124/$D124</f>
        <v>9.9655961445600114E-2</v>
      </c>
      <c r="BO124" s="202">
        <f>BO114+BO119</f>
        <v>126713323.24813297</v>
      </c>
      <c r="BP124" s="202">
        <f>$D124*BJ124</f>
        <v>210521982.69683439</v>
      </c>
      <c r="BQ124" s="202">
        <f t="shared" si="99"/>
        <v>35690415.937763631</v>
      </c>
      <c r="BR124" s="202">
        <f t="shared" si="99"/>
        <v>17249450.415610552</v>
      </c>
      <c r="BS124" s="202">
        <f t="shared" si="99"/>
        <v>355676271.46712047</v>
      </c>
      <c r="BT124" s="200"/>
      <c r="BU124" s="213">
        <f>CHOOSE(gen_choice,'Generation Calculations'!$O125,'Generation Calculations'!$P125)</f>
        <v>5.8985578387189208E-2</v>
      </c>
      <c r="BV124" s="292">
        <f t="shared" si="95"/>
        <v>0.01</v>
      </c>
      <c r="BW124" s="214">
        <f>BZ124/$D124</f>
        <v>1.6677887830709434E-2</v>
      </c>
      <c r="BX124" s="214">
        <f>CC124/$D124*-1</f>
        <v>-4.8330763210184665E-3</v>
      </c>
      <c r="BY124" s="214">
        <f>CD124/$D124</f>
        <v>8.083038989688017E-2</v>
      </c>
      <c r="BZ124" s="202">
        <f>BZ114+BZ119</f>
        <v>59524075.364138618</v>
      </c>
      <c r="CA124" s="202">
        <f>$D124*BU124</f>
        <v>210521982.69683439</v>
      </c>
      <c r="CB124" s="202">
        <f t="shared" si="100"/>
        <v>35690415.937763631</v>
      </c>
      <c r="CC124" s="202">
        <f t="shared" si="100"/>
        <v>17249450.415610552</v>
      </c>
      <c r="CD124" s="202">
        <f t="shared" si="100"/>
        <v>288487023.58312607</v>
      </c>
    </row>
    <row r="125" spans="1:82">
      <c r="A125" s="190" t="s">
        <v>109</v>
      </c>
      <c r="B125" s="72"/>
      <c r="C125" s="72"/>
      <c r="D125" s="176">
        <v>17234446501.436157</v>
      </c>
      <c r="E125" s="201">
        <f>SUM(E122:E124)</f>
        <v>659541999.30488825</v>
      </c>
      <c r="F125" s="199"/>
      <c r="G125" s="238"/>
      <c r="H125" s="51">
        <f>SUM(H122:H124)</f>
        <v>641999144.48171735</v>
      </c>
      <c r="I125" s="154">
        <f>H125/$H$127</f>
        <v>0.20423264675294547</v>
      </c>
      <c r="J125" s="201">
        <f>SUM(J122:J124)</f>
        <v>502356990.06795037</v>
      </c>
      <c r="K125" s="199"/>
      <c r="L125" s="157">
        <f>SUM(L122:L124)</f>
        <v>1391415258.5209136</v>
      </c>
      <c r="M125" s="154">
        <f t="shared" si="90"/>
        <v>0.19929039003487206</v>
      </c>
      <c r="N125" s="201">
        <f>SUM(N122:N124)</f>
        <v>490200377.26139057</v>
      </c>
      <c r="O125" s="199"/>
      <c r="P125" s="223"/>
      <c r="Q125" s="51">
        <f>SUM(Q122:Q124)</f>
        <v>642049950.78659654</v>
      </c>
      <c r="R125" s="199"/>
      <c r="T125" s="339"/>
      <c r="U125" s="340">
        <f>SUM(U122:U124)</f>
        <v>240616171.1358602</v>
      </c>
      <c r="V125" s="154">
        <f>U125/$U$127</f>
        <v>0.14899643036663249</v>
      </c>
      <c r="W125" s="339"/>
      <c r="X125" s="340">
        <f>SUM(X122:X124)</f>
        <v>239888023.88040438</v>
      </c>
      <c r="Y125" s="154">
        <f>X125/$X$127</f>
        <v>0.15825409995475603</v>
      </c>
      <c r="Z125" s="154">
        <f>AVERAGE(V125,Y125)</f>
        <v>0.15362526516069425</v>
      </c>
      <c r="AA125" s="201">
        <f>SUM(AA122:AA124)</f>
        <v>377876539.48329449</v>
      </c>
      <c r="AB125" s="252"/>
      <c r="AC125" s="208">
        <f>CHOOSE(gen_choice,'Generation Calculations'!$O126,'Generation Calculations'!$P126)</f>
        <v>5.2543906238998378E-2</v>
      </c>
      <c r="AD125" s="291">
        <f t="shared" si="91"/>
        <v>0.01</v>
      </c>
      <c r="AE125" s="211">
        <f>AH125/$D125</f>
        <v>5.0731387463626737E-2</v>
      </c>
      <c r="AF125" s="211">
        <f>AK125/$D125*-1</f>
        <v>-6.892009220734934E-3</v>
      </c>
      <c r="AG125" s="211">
        <f>AL125/$D125</f>
        <v>0.10638328448189018</v>
      </c>
      <c r="AH125" s="201">
        <f>SUM(AH122:AH124)</f>
        <v>874327383.18550396</v>
      </c>
      <c r="AI125" s="201">
        <f>SUM(AI122:AI124)</f>
        <v>905565141.05249524</v>
      </c>
      <c r="AJ125" s="201">
        <f>SUM(AJ122:AJ124)</f>
        <v>172344465.01436159</v>
      </c>
      <c r="AK125" s="201">
        <f>SUM(AK122:AK124)</f>
        <v>118779964.20216092</v>
      </c>
      <c r="AL125" s="201">
        <f>SUM(AL122:AL124)</f>
        <v>1833457025.0501995</v>
      </c>
      <c r="AM125" s="199"/>
      <c r="AN125" s="208">
        <f>CHOOSE(gen_choice,'Generation Calculations'!$O126,'Generation Calculations'!$P126)</f>
        <v>5.2543906238998378E-2</v>
      </c>
      <c r="AO125" s="291">
        <f t="shared" si="92"/>
        <v>0.01</v>
      </c>
      <c r="AP125" s="211">
        <f>AS125/$D125</f>
        <v>3.8032315008383305E-2</v>
      </c>
      <c r="AQ125" s="211">
        <f>AV125/$D125*-1</f>
        <v>-6.892009220734934E-3</v>
      </c>
      <c r="AR125" s="211">
        <f>AW125/$D125</f>
        <v>9.3684212026646743E-2</v>
      </c>
      <c r="AS125" s="201">
        <f>SUM(AS122:AS124)</f>
        <v>655465898.33774948</v>
      </c>
      <c r="AT125" s="201">
        <f>SUM(AT122:AT124)</f>
        <v>905565141.05249524</v>
      </c>
      <c r="AU125" s="201">
        <f>SUM(AU122:AU124)</f>
        <v>172344465.01436159</v>
      </c>
      <c r="AV125" s="201">
        <f>SUM(AV122:AV124)</f>
        <v>118779964.20216092</v>
      </c>
      <c r="AW125" s="201">
        <f>SUM(AW122:AW124)</f>
        <v>1614595540.202445</v>
      </c>
      <c r="AX125" s="199"/>
      <c r="AY125" s="208">
        <f>CHOOSE(gen_choice,'Generation Calculations'!$O126,'Generation Calculations'!$P126)</f>
        <v>5.2543906238998378E-2</v>
      </c>
      <c r="AZ125" s="291">
        <f t="shared" si="93"/>
        <v>0.01</v>
      </c>
      <c r="BA125" s="211">
        <f>BD125/$D125</f>
        <v>3.5765236587634038E-2</v>
      </c>
      <c r="BB125" s="211">
        <f>BG125/$D125*-1</f>
        <v>-6.892009220734934E-3</v>
      </c>
      <c r="BC125" s="211">
        <f>BH125/$D125</f>
        <v>9.1417133605897483E-2</v>
      </c>
      <c r="BD125" s="201">
        <f>SUM(BD122:BD124)</f>
        <v>616394056.58078587</v>
      </c>
      <c r="BE125" s="201">
        <f>SUM(BE122:BE124)</f>
        <v>905565141.05249524</v>
      </c>
      <c r="BF125" s="201">
        <f>SUM(BF122:BF124)</f>
        <v>172344465.01436159</v>
      </c>
      <c r="BG125" s="201">
        <f>SUM(BG122:BG124)</f>
        <v>118779964.20216092</v>
      </c>
      <c r="BH125" s="201">
        <f>SUM(BH122:BH124)</f>
        <v>1575523698.4454815</v>
      </c>
      <c r="BI125" s="199"/>
      <c r="BJ125" s="208">
        <f>CHOOSE(gen_choice,'Generation Calculations'!$O126,'Generation Calculations'!$P126)</f>
        <v>5.2543906238998378E-2</v>
      </c>
      <c r="BK125" s="291">
        <f t="shared" si="94"/>
        <v>0.01</v>
      </c>
      <c r="BL125" s="211">
        <f>BO125/$D125</f>
        <v>4.0604917843880345E-2</v>
      </c>
      <c r="BM125" s="211">
        <f>BR125/$D125*-1</f>
        <v>-6.892009220734934E-3</v>
      </c>
      <c r="BN125" s="211">
        <f>BS125/$D125</f>
        <v>9.6256814862143797E-2</v>
      </c>
      <c r="BO125" s="201">
        <f>SUM(BO122:BO124)</f>
        <v>699803284.27556622</v>
      </c>
      <c r="BP125" s="201">
        <f>SUM(BP122:BP124)</f>
        <v>905565141.05249524</v>
      </c>
      <c r="BQ125" s="201">
        <f>SUM(BQ122:BQ124)</f>
        <v>172344465.01436159</v>
      </c>
      <c r="BR125" s="201">
        <f>SUM(BR122:BR124)</f>
        <v>118779964.20216092</v>
      </c>
      <c r="BS125" s="201">
        <f>SUM(BS122:BS124)</f>
        <v>1658932926.1402621</v>
      </c>
      <c r="BT125" s="199"/>
      <c r="BU125" s="208">
        <f>CHOOSE(gen_choice,'Generation Calculations'!$O126,'Generation Calculations'!$P126)</f>
        <v>5.2543906238998378E-2</v>
      </c>
      <c r="BV125" s="291">
        <f t="shared" si="95"/>
        <v>0.01</v>
      </c>
      <c r="BW125" s="211">
        <f>BZ125/$D125</f>
        <v>1.4818040784453413E-2</v>
      </c>
      <c r="BX125" s="211">
        <f>CC125/$D125*-1</f>
        <v>-6.892009220734934E-3</v>
      </c>
      <c r="BY125" s="211">
        <f>CD125/$D125</f>
        <v>7.0469937802716862E-2</v>
      </c>
      <c r="BZ125" s="201">
        <f>SUM(BZ122:BZ124)</f>
        <v>255380731.15576142</v>
      </c>
      <c r="CA125" s="201">
        <f>SUM(CA122:CA124)</f>
        <v>905565141.05249524</v>
      </c>
      <c r="CB125" s="201">
        <f>SUM(CB122:CB124)</f>
        <v>172344465.01436159</v>
      </c>
      <c r="CC125" s="201">
        <f>SUM(CC122:CC124)</f>
        <v>118779964.20216092</v>
      </c>
      <c r="CD125" s="201">
        <f>SUM(CD122:CD124)</f>
        <v>1214510373.0204573</v>
      </c>
    </row>
    <row r="126" spans="1:82">
      <c r="A126" s="94"/>
      <c r="B126" s="73"/>
      <c r="C126" s="73"/>
      <c r="D126" s="176"/>
      <c r="E126" s="201"/>
      <c r="F126" s="199"/>
      <c r="G126" s="238"/>
      <c r="H126" s="238"/>
      <c r="I126" s="154"/>
      <c r="J126" s="201"/>
      <c r="K126" s="199"/>
      <c r="L126" s="157"/>
      <c r="M126" s="154"/>
      <c r="N126" s="201"/>
      <c r="O126" s="199"/>
      <c r="P126" s="223"/>
      <c r="Q126" s="224"/>
      <c r="R126" s="199"/>
      <c r="T126" s="339"/>
      <c r="V126" s="154"/>
      <c r="W126" s="339"/>
      <c r="X126" s="340"/>
      <c r="Y126" s="154"/>
      <c r="Z126" s="154"/>
      <c r="AA126" s="157"/>
      <c r="AB126" s="252"/>
      <c r="AC126" s="207"/>
      <c r="AD126" s="208"/>
      <c r="AH126" s="201"/>
      <c r="AJ126" s="201"/>
      <c r="AK126" s="201"/>
      <c r="AL126" s="201"/>
      <c r="AM126" s="199"/>
      <c r="AN126" s="207"/>
      <c r="AO126" s="208"/>
      <c r="AP126"/>
      <c r="AQ126"/>
      <c r="AR126"/>
      <c r="AS126" s="201"/>
      <c r="AT126" s="201"/>
      <c r="AU126" s="201"/>
      <c r="AV126" s="201"/>
      <c r="AW126" s="201"/>
      <c r="AX126" s="199"/>
      <c r="AY126" s="207"/>
      <c r="AZ126" s="208"/>
      <c r="BA126"/>
      <c r="BB126"/>
      <c r="BC126"/>
      <c r="BD126" s="201"/>
      <c r="BE126" s="201"/>
      <c r="BF126" s="201"/>
      <c r="BG126" s="201"/>
      <c r="BH126" s="201"/>
      <c r="BI126" s="199"/>
      <c r="BJ126" s="207"/>
      <c r="BK126" s="208"/>
      <c r="BL126"/>
      <c r="BM126"/>
      <c r="BN126"/>
      <c r="BO126" s="201"/>
      <c r="BP126" s="201"/>
      <c r="BQ126" s="201"/>
      <c r="BR126" s="201"/>
      <c r="BS126" s="201"/>
      <c r="BT126" s="199"/>
      <c r="BU126" s="207"/>
      <c r="BV126" s="208"/>
      <c r="BW126"/>
      <c r="BX126"/>
      <c r="BY126"/>
      <c r="BZ126" s="201"/>
      <c r="CA126" s="201"/>
      <c r="CB126" s="201"/>
      <c r="CC126" s="201"/>
      <c r="CD126" s="201"/>
    </row>
    <row r="127" spans="1:82">
      <c r="A127" s="191" t="s">
        <v>91</v>
      </c>
      <c r="B127" s="64"/>
      <c r="C127" s="64"/>
      <c r="D127" s="109">
        <f>D14+D21+D26+D52+D54+D70+D91+D125</f>
        <v>79952759337.615753</v>
      </c>
      <c r="E127" s="144">
        <f>E14+E21+E26+E52+E54+E70+E91+E125</f>
        <v>3059698072.6407113</v>
      </c>
      <c r="F127" s="199"/>
      <c r="G127" s="238"/>
      <c r="H127" s="144">
        <f>H14+H21+H26+H52+H54+H70+H91+H125</f>
        <v>3143469737.5210819</v>
      </c>
      <c r="I127" s="87">
        <f>I14+I21+I26+I52+I54+I70+I91+I125</f>
        <v>1</v>
      </c>
      <c r="J127" s="144">
        <f>J14+J21+J26+J52+J54+J70+J91+J125</f>
        <v>2459729127.8099999</v>
      </c>
      <c r="K127" s="199"/>
      <c r="L127" s="144">
        <f>L14+L21+L26+L52+L54+L70+L91+L125</f>
        <v>6981848238.0281467</v>
      </c>
      <c r="M127" s="87">
        <f>M14+M21+M26+M52+M54+M70+M91+M125</f>
        <v>0.99999999999999989</v>
      </c>
      <c r="N127" s="144">
        <f>N14+N21+N26+N52+N54+N70+N91+N125</f>
        <v>2459729127.8099999</v>
      </c>
      <c r="O127" s="199"/>
      <c r="P127" s="223"/>
      <c r="Q127" s="144">
        <f>Q14+Q21+Q26+Q52+Q54+Q70+Q91+Q125</f>
        <v>3059698072.6407118</v>
      </c>
      <c r="R127" s="199"/>
      <c r="T127" s="339"/>
      <c r="U127" s="340">
        <f>U14+U21+U26+U52+U54+U70+U91+U125</f>
        <v>1614912320.6762798</v>
      </c>
      <c r="V127" s="87">
        <f>V14+V21+V26+V52+V54+V70+V91+V125</f>
        <v>0.99999999999999956</v>
      </c>
      <c r="W127" s="339"/>
      <c r="X127" s="340">
        <f>X14+X21+X26+X52+X54+X70+X91+X125</f>
        <v>1515840815.1762705</v>
      </c>
      <c r="Y127" s="87">
        <f>Y14+Y21+Y26+Y52+Y54+Y70+Y91+Y125</f>
        <v>1</v>
      </c>
      <c r="Z127" s="87">
        <f>Z14+Z21+Z26+Z52+Z54+Z70+Z91+Z125</f>
        <v>1</v>
      </c>
      <c r="AA127" s="144">
        <f>AA14+AA21+AA26+AA52+AA54+AA70+AA91+AA125</f>
        <v>2459729127.8099995</v>
      </c>
      <c r="AB127" s="252"/>
      <c r="AC127" s="303"/>
      <c r="AD127" s="303"/>
      <c r="AE127" s="301"/>
      <c r="AF127" s="301"/>
      <c r="AG127" s="301"/>
      <c r="AH127" s="144">
        <f>SUM(AH14,AH21,AH26,AH52,AH54,AH70,AH91,AH125)</f>
        <v>3059698073.0684109</v>
      </c>
      <c r="AI127" s="144">
        <f>SUM(AI14,AI21,AI26,AI52,AI54,AI70,AI91,AI125)</f>
        <v>4763623621.572299</v>
      </c>
      <c r="AJ127" s="144">
        <f>SUM(AJ14,AJ21,AJ26,AJ52,AJ54,AJ70,AJ91,AJ125)</f>
        <v>799527593.37615752</v>
      </c>
      <c r="AK127" s="144">
        <f>SUM(AK14,AK21,AK26,AK52,AK54,AK70,AK91,AK125)</f>
        <v>117212146.29118939</v>
      </c>
      <c r="AL127" s="144">
        <f>SUM(AL14,AL21,AL26,AL52,AL54,AL70,AL91,AL125)</f>
        <v>8505637141.7256775</v>
      </c>
      <c r="AM127" s="199"/>
      <c r="AN127" s="303"/>
      <c r="AO127" s="303"/>
      <c r="AP127" s="301"/>
      <c r="AQ127" s="301"/>
      <c r="AR127" s="301"/>
      <c r="AS127" s="144">
        <f>SUM(AS14,AS21,AS26,AS52,AS54,AS70,AS91,AS125)</f>
        <v>2459729128.2377005</v>
      </c>
      <c r="AT127" s="144">
        <f>SUM(AT14,AT21,AT26,AT52,AT54,AT70,AT91,AT125)</f>
        <v>4763623621.572299</v>
      </c>
      <c r="AU127" s="144">
        <f>SUM(AU14,AU21,AU26,AU52,AU54,AU70,AU91,AU125)</f>
        <v>799527593.37615752</v>
      </c>
      <c r="AV127" s="144">
        <f>SUM(AV14,AV21,AV26,AV52,AV54,AV70,AV91,AV125)</f>
        <v>117212146.29118939</v>
      </c>
      <c r="AW127" s="144">
        <f>SUM(AW14,AW21,AW26,AW52,AW54,AW70,AW91,AW125)</f>
        <v>7905668196.8949671</v>
      </c>
      <c r="AX127" s="199"/>
      <c r="AY127" s="303"/>
      <c r="AZ127" s="303"/>
      <c r="BA127" s="301"/>
      <c r="BB127" s="301"/>
      <c r="BC127" s="301"/>
      <c r="BD127" s="144">
        <f>SUM(BD14,BD21,BD26,BD52,BD54,BD70,BD91,BD125)</f>
        <v>2459729128.2377009</v>
      </c>
      <c r="BE127" s="144">
        <f>SUM(BE14,BE21,BE26,BE52,BE54,BE70,BE91,BE125)</f>
        <v>4763623621.572299</v>
      </c>
      <c r="BF127" s="144">
        <f>SUM(BF14,BF21,BF26,BF52,BF54,BF70,BF91,BF125)</f>
        <v>799527593.37615752</v>
      </c>
      <c r="BG127" s="144">
        <f>SUM(BG14,BG21,BG26,BG52,BG54,BG70,BG91,BG125)</f>
        <v>117212146.29118939</v>
      </c>
      <c r="BH127" s="144">
        <f>SUM(BH14,BH21,BH26,BH52,BH54,BH70,BH91,BH125)</f>
        <v>7905668196.8949661</v>
      </c>
      <c r="BI127" s="199"/>
      <c r="BJ127" s="303"/>
      <c r="BK127" s="303"/>
      <c r="BL127" s="301"/>
      <c r="BM127" s="301"/>
      <c r="BN127" s="301"/>
      <c r="BO127" s="144">
        <f>SUM(BO14,BO21,BO26,BO52,BO54,BO70,BO91,BO125)</f>
        <v>2459729128.2377009</v>
      </c>
      <c r="BP127" s="144">
        <f>SUM(BP14,BP21,BP26,BP52,BP54,BP70,BP91,BP125)</f>
        <v>4763623621.572299</v>
      </c>
      <c r="BQ127" s="144">
        <f>SUM(BQ14,BQ21,BQ26,BQ52,BQ54,BQ70,BQ91,BQ125)</f>
        <v>799527593.37615752</v>
      </c>
      <c r="BR127" s="144">
        <f>SUM(BR14,BR21,BR26,BR52,BR54,BR70,BR91,BR125)</f>
        <v>117212146.29118939</v>
      </c>
      <c r="BS127" s="144">
        <f>SUM(BS14,BS21,BS26,BS52,BS54,BS70,BS91,BS125)</f>
        <v>7905668196.8949699</v>
      </c>
      <c r="BT127" s="199"/>
      <c r="BU127" s="303"/>
      <c r="BV127" s="303"/>
      <c r="BW127" s="301"/>
      <c r="BX127" s="301"/>
      <c r="BY127" s="301"/>
      <c r="BZ127" s="144">
        <f>SUM(BZ14,BZ21,BZ26,BZ52,BZ54,BZ70,BZ91,BZ125)</f>
        <v>2459729128.237699</v>
      </c>
      <c r="CA127" s="144">
        <f>SUM(CA14,CA21,CA26,CA52,CA54,CA70,CA91,CA125)</f>
        <v>4763623621.572299</v>
      </c>
      <c r="CB127" s="144">
        <f>SUM(CB14,CB21,CB26,CB52,CB54,CB70,CB91,CB125)</f>
        <v>799527593.37615752</v>
      </c>
      <c r="CC127" s="144">
        <f>SUM(CC14,CC21,CC26,CC52,CC54,CC70,CC91,CC125)</f>
        <v>117212146.29118939</v>
      </c>
      <c r="CD127" s="144">
        <f>SUM(CD14,CD21,CD26,CD52,CD54,CD70,CD91,CD125)</f>
        <v>7905668196.8949671</v>
      </c>
    </row>
    <row r="128" spans="1:82" ht="15.75">
      <c r="A128" s="11"/>
      <c r="B128" s="53"/>
      <c r="C128" s="53"/>
      <c r="D128" s="182"/>
      <c r="E128" s="201"/>
      <c r="F128" s="199"/>
      <c r="G128" s="238"/>
      <c r="H128" s="238"/>
      <c r="I128" s="154"/>
      <c r="J128" s="201"/>
      <c r="K128" s="199"/>
      <c r="L128" s="157"/>
      <c r="M128" s="154"/>
      <c r="N128" s="201"/>
      <c r="O128" s="199"/>
      <c r="P128" s="250"/>
      <c r="Q128" s="224"/>
      <c r="R128" s="199"/>
      <c r="S128" s="335" t="s">
        <v>373</v>
      </c>
      <c r="T128" s="341"/>
      <c r="U128" s="341"/>
      <c r="V128" s="250"/>
      <c r="W128" s="250"/>
      <c r="X128" s="250"/>
      <c r="Y128" s="250"/>
      <c r="Z128" s="250"/>
      <c r="AA128" s="157"/>
      <c r="AB128" s="252"/>
      <c r="AC128" s="144"/>
      <c r="AD128" s="277"/>
      <c r="AE128" s="211"/>
      <c r="AF128" s="211"/>
      <c r="AG128" s="211"/>
      <c r="AH128" s="217">
        <f>'Inputs and Assumptions'!$C$6</f>
        <v>2459729127.8099999</v>
      </c>
      <c r="AI128" s="295">
        <f>CHOOSE(gen_choice,'Generation Calculations'!M130,'Generation Calculations'!N130)</f>
        <v>4763623622</v>
      </c>
      <c r="AJ128" s="295">
        <f>'Inputs and Assumptions'!$C$12</f>
        <v>799527593.37615752</v>
      </c>
      <c r="AK128" s="295">
        <f>CHOOSE(gen_choice,'Generation Calculations'!K130,'Generation Calculations'!L130)</f>
        <v>117212146.29118939</v>
      </c>
      <c r="AL128" s="295">
        <f>'Inputs and Assumptions'!C15</f>
        <v>7905668196.894968</v>
      </c>
      <c r="AM128" s="199"/>
      <c r="AN128" s="144"/>
      <c r="AO128" s="277"/>
      <c r="AP128" s="211"/>
      <c r="AQ128" s="211"/>
      <c r="AR128" s="211"/>
      <c r="AS128" s="217">
        <f>'Inputs and Assumptions'!$C$6</f>
        <v>2459729127.8099999</v>
      </c>
      <c r="AT128" s="295">
        <f>$AI$128</f>
        <v>4763623622</v>
      </c>
      <c r="AU128" s="295">
        <f>'Inputs and Assumptions'!$C$12</f>
        <v>799527593.37615752</v>
      </c>
      <c r="AV128" s="295">
        <f>$AK$128</f>
        <v>117212146.29118939</v>
      </c>
      <c r="AW128" s="295">
        <f>$AL$128</f>
        <v>7905668196.894968</v>
      </c>
      <c r="AX128" s="199"/>
      <c r="AY128" s="144"/>
      <c r="AZ128" s="277"/>
      <c r="BA128" s="211"/>
      <c r="BB128" s="211"/>
      <c r="BC128" s="211"/>
      <c r="BD128" s="217">
        <f>'Inputs and Assumptions'!$C$6</f>
        <v>2459729127.8099999</v>
      </c>
      <c r="BE128" s="295">
        <f>$AI$128</f>
        <v>4763623622</v>
      </c>
      <c r="BF128" s="295">
        <f>'Inputs and Assumptions'!$C$12</f>
        <v>799527593.37615752</v>
      </c>
      <c r="BG128" s="295">
        <f>$AK$128</f>
        <v>117212146.29118939</v>
      </c>
      <c r="BH128" s="295">
        <f>$AL$128</f>
        <v>7905668196.894968</v>
      </c>
      <c r="BI128" s="199"/>
      <c r="BJ128" s="144"/>
      <c r="BK128" s="277"/>
      <c r="BL128" s="211"/>
      <c r="BM128" s="211"/>
      <c r="BN128" s="211"/>
      <c r="BO128" s="217">
        <f>'Inputs and Assumptions'!$C$6</f>
        <v>2459729127.8099999</v>
      </c>
      <c r="BP128" s="295">
        <f>$AI$128</f>
        <v>4763623622</v>
      </c>
      <c r="BQ128" s="295">
        <f>'Inputs and Assumptions'!$C$12</f>
        <v>799527593.37615752</v>
      </c>
      <c r="BR128" s="295">
        <f>$AK$128</f>
        <v>117212146.29118939</v>
      </c>
      <c r="BS128" s="295">
        <f>$AL$128</f>
        <v>7905668196.894968</v>
      </c>
      <c r="BT128" s="199"/>
      <c r="BU128" s="144"/>
      <c r="BV128" s="277"/>
      <c r="BW128" s="211"/>
      <c r="BX128" s="211"/>
      <c r="BY128" s="211"/>
      <c r="BZ128" s="217">
        <f>'Inputs and Assumptions'!$C$6</f>
        <v>2459729127.8099999</v>
      </c>
      <c r="CA128" s="295">
        <f>$AI$128</f>
        <v>4763623622</v>
      </c>
      <c r="CB128" s="295">
        <f>'Inputs and Assumptions'!$C$12</f>
        <v>799527593.37615752</v>
      </c>
      <c r="CC128" s="295">
        <f>$AK$128</f>
        <v>117212146.29118939</v>
      </c>
      <c r="CD128" s="295">
        <f>$AL$128</f>
        <v>7905668196.894968</v>
      </c>
    </row>
    <row r="129" spans="1:82">
      <c r="A129" s="107"/>
      <c r="B129" s="53"/>
      <c r="C129" s="53"/>
      <c r="D129" s="182"/>
      <c r="E129" s="217">
        <f>'Inputs and Assumptions'!$C$6</f>
        <v>2459729127.8099999</v>
      </c>
      <c r="F129" s="199"/>
      <c r="G129" s="238"/>
      <c r="H129" s="238"/>
      <c r="I129" s="154"/>
      <c r="J129" s="201"/>
      <c r="K129" s="199"/>
      <c r="L129" s="157"/>
      <c r="M129" s="154"/>
      <c r="N129" s="201"/>
      <c r="O129" s="199"/>
      <c r="P129" s="212"/>
      <c r="Q129" s="224"/>
      <c r="R129" s="199"/>
      <c r="V129" s="212"/>
      <c r="W129" s="212"/>
      <c r="X129" s="212"/>
      <c r="Y129" s="212"/>
      <c r="Z129" s="212"/>
      <c r="AA129" s="157"/>
      <c r="AB129" s="252"/>
      <c r="AD129" s="211"/>
      <c r="AE129" s="221"/>
      <c r="AF129" s="221"/>
      <c r="AG129" s="211"/>
      <c r="AH129" s="144">
        <f>AH128-AH127</f>
        <v>-599968945.25841093</v>
      </c>
      <c r="AI129" s="144">
        <f>AI128-AI127</f>
        <v>0.42770099639892578</v>
      </c>
      <c r="AJ129" s="144">
        <f>AJ128-AJ127</f>
        <v>0</v>
      </c>
      <c r="AK129" s="144">
        <f>AK128-AK127</f>
        <v>0</v>
      </c>
      <c r="AL129" s="144">
        <f>AL128-AL127</f>
        <v>-599968944.83070946</v>
      </c>
      <c r="AM129" s="199"/>
      <c r="AO129" s="134"/>
      <c r="AP129" s="398"/>
      <c r="AQ129" s="398"/>
      <c r="AR129" s="144"/>
      <c r="AS129" s="295">
        <f>AS128-AS127</f>
        <v>-0.42770051956176758</v>
      </c>
      <c r="AT129" s="295"/>
      <c r="AU129" s="295"/>
      <c r="AV129" s="295"/>
      <c r="AW129" s="295"/>
      <c r="AX129" s="199"/>
      <c r="AZ129" s="134"/>
      <c r="BA129" s="398"/>
      <c r="BB129" s="398"/>
      <c r="BC129" s="144"/>
      <c r="BD129" s="295">
        <f>BD128-BD127</f>
        <v>-0.42770099639892578</v>
      </c>
      <c r="BE129" s="295">
        <f>BE128-BE127</f>
        <v>0.42770099639892578</v>
      </c>
      <c r="BF129" s="144"/>
      <c r="BG129" s="144"/>
      <c r="BH129" s="144"/>
      <c r="BI129" s="199"/>
      <c r="BK129" s="134"/>
      <c r="BL129" s="398"/>
      <c r="BM129" s="398"/>
      <c r="BN129" s="144"/>
      <c r="BO129" s="295">
        <f>BO128-BO127</f>
        <v>-0.42770099639892578</v>
      </c>
      <c r="BP129" s="295">
        <f>BP128-BP127</f>
        <v>0.42770099639892578</v>
      </c>
      <c r="BQ129" s="144"/>
      <c r="BR129" s="144"/>
      <c r="BS129" s="144"/>
      <c r="BT129" s="199"/>
      <c r="BV129" s="134"/>
      <c r="BW129" s="398"/>
      <c r="BX129" s="398"/>
      <c r="BY129" s="144"/>
      <c r="BZ129" s="295">
        <f>BZ128-BZ127</f>
        <v>-0.42769908905029297</v>
      </c>
      <c r="CA129" s="295">
        <f>CA128-CA127</f>
        <v>0.42770099639892578</v>
      </c>
      <c r="CB129" s="144"/>
      <c r="CC129" s="144"/>
      <c r="CD129" s="144"/>
    </row>
    <row r="130" spans="1:82">
      <c r="A130" s="11" t="s">
        <v>165</v>
      </c>
      <c r="B130" s="53"/>
      <c r="C130" s="53"/>
      <c r="D130" s="182"/>
      <c r="E130" s="201"/>
      <c r="F130" s="199"/>
      <c r="G130" s="238"/>
      <c r="H130" s="238"/>
      <c r="I130" s="154"/>
      <c r="J130" s="201"/>
      <c r="K130" s="199"/>
      <c r="L130" s="157"/>
      <c r="M130" s="154"/>
      <c r="N130" s="201" t="str">
        <f>A130</f>
        <v xml:space="preserve">System Average </v>
      </c>
      <c r="O130" s="199"/>
      <c r="P130" s="208"/>
      <c r="Q130" s="224"/>
      <c r="R130" s="199"/>
      <c r="T130" s="339"/>
      <c r="V130" s="208"/>
      <c r="W130" s="208"/>
      <c r="X130" s="208"/>
      <c r="Y130" s="208"/>
      <c r="Z130" s="208"/>
      <c r="AA130" s="157"/>
      <c r="AB130" s="252"/>
      <c r="AC130" s="211"/>
      <c r="AD130" s="208"/>
      <c r="AE130" s="301"/>
      <c r="AF130" s="301"/>
      <c r="AH130" s="396"/>
      <c r="AI130" s="144"/>
      <c r="AJ130" s="144"/>
      <c r="AK130" s="144"/>
      <c r="AL130" s="144"/>
      <c r="AM130" s="199"/>
      <c r="AN130" s="392"/>
      <c r="AO130" s="399"/>
      <c r="AP130" s="134"/>
      <c r="AQ130" s="134"/>
      <c r="AR130" s="11"/>
      <c r="AS130" s="144"/>
      <c r="AT130" s="144"/>
      <c r="AU130" s="144"/>
      <c r="AV130" s="144"/>
      <c r="AW130" s="144"/>
      <c r="AX130" s="199"/>
      <c r="AY130" s="392"/>
      <c r="AZ130" s="399"/>
      <c r="BA130" s="134"/>
      <c r="BB130" s="134"/>
      <c r="BC130" s="11"/>
      <c r="BD130" s="144"/>
      <c r="BE130" s="144"/>
      <c r="BF130" s="144"/>
      <c r="BG130" s="144"/>
      <c r="BH130" s="144"/>
      <c r="BI130" s="199"/>
      <c r="BJ130" s="392"/>
      <c r="BK130" s="399"/>
      <c r="BL130" s="134"/>
      <c r="BM130" s="134"/>
      <c r="BN130" s="11"/>
      <c r="BO130" s="144"/>
      <c r="BP130" s="144"/>
      <c r="BQ130" s="144"/>
      <c r="BR130" s="144"/>
      <c r="BS130" s="144"/>
      <c r="BT130" s="199"/>
      <c r="BU130" s="392"/>
      <c r="BV130" s="399"/>
      <c r="BW130" s="134"/>
      <c r="BX130" s="134"/>
      <c r="BY130" s="11"/>
      <c r="BZ130" s="144"/>
      <c r="CA130" s="144"/>
      <c r="CB130" s="144"/>
      <c r="CC130" s="144"/>
      <c r="CD130" s="144"/>
    </row>
    <row r="131" spans="1:82">
      <c r="A131" s="11" t="s">
        <v>166</v>
      </c>
      <c r="B131" s="53"/>
      <c r="C131" s="53"/>
      <c r="D131" s="183"/>
      <c r="E131" s="201"/>
      <c r="F131" s="199"/>
      <c r="G131" s="238"/>
      <c r="H131" s="238"/>
      <c r="I131" s="154"/>
      <c r="J131" s="201"/>
      <c r="K131" s="199"/>
      <c r="L131" s="157"/>
      <c r="M131" s="154"/>
      <c r="N131" s="201">
        <f>A132</f>
        <v>0</v>
      </c>
      <c r="O131" s="199"/>
      <c r="P131" s="208"/>
      <c r="Q131" s="224"/>
      <c r="R131" s="199"/>
      <c r="T131" s="339"/>
      <c r="V131" s="208"/>
      <c r="W131" s="208"/>
      <c r="X131" s="208"/>
      <c r="Y131" s="208"/>
      <c r="Z131" s="208"/>
      <c r="AA131" s="157"/>
      <c r="AB131" s="252"/>
      <c r="AC131" s="208"/>
      <c r="AD131" s="215"/>
      <c r="AE131" s="302"/>
      <c r="AF131" s="302"/>
      <c r="AG131" s="211"/>
      <c r="AJ131" s="201"/>
      <c r="AK131" s="201"/>
      <c r="AL131" s="201"/>
      <c r="AM131" s="199"/>
      <c r="AN131" s="390"/>
      <c r="AO131" s="400"/>
      <c r="AP131" s="401"/>
      <c r="AQ131" s="401"/>
      <c r="AR131" s="134"/>
      <c r="AS131" s="128"/>
      <c r="AT131" s="115"/>
      <c r="AU131" s="115"/>
      <c r="AV131" s="115"/>
      <c r="AW131" s="115"/>
      <c r="AX131" s="199"/>
      <c r="AY131" s="390"/>
      <c r="AZ131" s="400"/>
      <c r="BA131" s="401"/>
      <c r="BB131" s="401"/>
      <c r="BC131" s="134"/>
      <c r="BD131" s="128"/>
      <c r="BE131" s="115"/>
      <c r="BF131" s="115"/>
      <c r="BG131" s="115"/>
      <c r="BH131" s="115"/>
      <c r="BI131" s="199"/>
      <c r="BJ131" s="390"/>
      <c r="BK131" s="400"/>
      <c r="BL131" s="401"/>
      <c r="BM131" s="401"/>
      <c r="BN131" s="134"/>
      <c r="BO131" s="128"/>
      <c r="BP131" s="115"/>
      <c r="BQ131" s="115"/>
      <c r="BR131" s="115"/>
      <c r="BS131" s="115"/>
      <c r="BT131" s="199"/>
      <c r="BU131" s="390"/>
      <c r="BV131" s="400"/>
      <c r="BW131" s="401"/>
      <c r="BX131" s="401"/>
      <c r="BY131" s="134"/>
      <c r="BZ131" s="128"/>
      <c r="CA131" s="115"/>
      <c r="CB131" s="115"/>
      <c r="CC131" s="115"/>
      <c r="CD131" s="115"/>
    </row>
    <row r="132" spans="1:82">
      <c r="B132" t="s">
        <v>21</v>
      </c>
      <c r="D132" s="286">
        <f>SUM(D122,D86,D67,D49)</f>
        <v>7614027420.1981068</v>
      </c>
      <c r="AD132" s="215"/>
      <c r="AE132" s="302"/>
      <c r="AF132" s="302"/>
      <c r="AG132" s="286"/>
      <c r="AH132" s="286"/>
      <c r="AJ132" s="286"/>
      <c r="AK132" s="286"/>
      <c r="AL132" s="286"/>
      <c r="AO132" s="400"/>
      <c r="AP132" s="401"/>
      <c r="AQ132" s="401"/>
      <c r="AR132" s="183"/>
      <c r="AS132" s="183"/>
      <c r="AT132" s="183"/>
      <c r="AU132" s="183"/>
      <c r="AV132" s="183"/>
      <c r="AW132" s="183"/>
      <c r="AZ132" s="400"/>
      <c r="BA132" s="401"/>
      <c r="BB132" s="401"/>
      <c r="BC132" s="183"/>
      <c r="BD132" s="183"/>
      <c r="BE132" s="183"/>
      <c r="BF132" s="183"/>
      <c r="BG132" s="183"/>
      <c r="BH132" s="183"/>
      <c r="BK132" s="400"/>
      <c r="BL132" s="401"/>
      <c r="BM132" s="401"/>
      <c r="BN132" s="183"/>
      <c r="BO132" s="183"/>
      <c r="BP132" s="183"/>
      <c r="BQ132" s="183"/>
      <c r="BR132" s="183"/>
      <c r="BS132" s="183"/>
      <c r="BV132" s="400"/>
      <c r="BW132" s="401"/>
      <c r="BX132" s="401"/>
      <c r="BY132" s="183"/>
      <c r="BZ132" s="183"/>
      <c r="CA132" s="183"/>
      <c r="CB132" s="183"/>
      <c r="CC132" s="183"/>
      <c r="CD132" s="183"/>
    </row>
    <row r="133" spans="1:82">
      <c r="B133" t="s">
        <v>27</v>
      </c>
      <c r="D133" s="286">
        <f>SUM(D24,D50,D68,D81,D85,D123)</f>
        <v>7248366199.1652546</v>
      </c>
      <c r="AD133" s="215"/>
      <c r="AE133" s="302"/>
      <c r="AF133" s="302"/>
      <c r="AG133" s="286"/>
      <c r="AH133" s="286"/>
      <c r="AJ133" s="286"/>
      <c r="AK133" s="286"/>
      <c r="AL133" s="286"/>
      <c r="AO133" s="400"/>
      <c r="AP133" s="401"/>
      <c r="AQ133" s="401"/>
      <c r="AR133" s="183"/>
      <c r="AS133" s="183"/>
      <c r="AT133" s="183"/>
      <c r="AU133" s="183"/>
      <c r="AV133" s="183"/>
      <c r="AW133" s="183"/>
      <c r="AZ133" s="400"/>
      <c r="BA133" s="401"/>
      <c r="BB133" s="401"/>
      <c r="BC133" s="183"/>
      <c r="BD133" s="183"/>
      <c r="BE133" s="183"/>
      <c r="BF133" s="183"/>
      <c r="BG133" s="183"/>
      <c r="BH133" s="183"/>
      <c r="BK133" s="400"/>
      <c r="BL133" s="401"/>
      <c r="BM133" s="401"/>
      <c r="BN133" s="183"/>
      <c r="BO133" s="183"/>
      <c r="BP133" s="183"/>
      <c r="BQ133" s="183"/>
      <c r="BR133" s="183"/>
      <c r="BS133" s="183"/>
      <c r="BV133" s="400"/>
      <c r="BW133" s="401"/>
      <c r="BX133" s="401"/>
      <c r="BY133" s="183"/>
      <c r="BZ133" s="183"/>
      <c r="CA133" s="183"/>
      <c r="CB133" s="183"/>
      <c r="CC133" s="183"/>
      <c r="CD133" s="183"/>
    </row>
    <row r="134" spans="1:82">
      <c r="B134" t="s">
        <v>28</v>
      </c>
      <c r="D134" s="287">
        <f>SUM(D14,D21,D25,D51,D54,D69,D72:D80,D83:D84,D88,D124)</f>
        <v>65090365718.25238</v>
      </c>
      <c r="AG134" s="287"/>
      <c r="AH134" s="287"/>
      <c r="AI134" s="202"/>
      <c r="AJ134" s="287"/>
      <c r="AK134" s="287"/>
      <c r="AL134" s="287"/>
      <c r="AO134" s="11"/>
      <c r="AP134" s="11"/>
      <c r="AQ134" s="11"/>
      <c r="AR134" s="402"/>
      <c r="AS134" s="402"/>
      <c r="AT134" s="402"/>
      <c r="AU134" s="402"/>
      <c r="AV134" s="402"/>
      <c r="AW134" s="402"/>
      <c r="AZ134" s="11"/>
      <c r="BA134" s="11"/>
      <c r="BB134" s="11"/>
      <c r="BC134" s="402"/>
      <c r="BD134" s="402"/>
      <c r="BE134" s="402"/>
      <c r="BF134" s="402"/>
      <c r="BG134" s="402"/>
      <c r="BH134" s="402"/>
      <c r="BK134" s="11"/>
      <c r="BL134" s="11"/>
      <c r="BM134" s="11"/>
      <c r="BN134" s="402"/>
      <c r="BO134" s="402"/>
      <c r="BP134" s="402"/>
      <c r="BQ134" s="402"/>
      <c r="BR134" s="402"/>
      <c r="BS134" s="402"/>
      <c r="BV134" s="11"/>
      <c r="BW134" s="11"/>
      <c r="BX134" s="11"/>
      <c r="BY134" s="402"/>
      <c r="BZ134" s="402"/>
      <c r="CA134" s="402"/>
      <c r="CB134" s="402"/>
      <c r="CC134" s="402"/>
      <c r="CD134" s="402"/>
    </row>
    <row r="135" spans="1:82">
      <c r="D135" s="286">
        <f>SUM(D132:D134)</f>
        <v>79952759337.615738</v>
      </c>
      <c r="AG135" s="286"/>
      <c r="AH135" s="286"/>
      <c r="AJ135" s="286"/>
      <c r="AK135" s="286"/>
      <c r="AL135" s="286"/>
      <c r="AO135" s="11"/>
      <c r="AP135" s="11"/>
      <c r="AQ135" s="11"/>
      <c r="AR135" s="183"/>
      <c r="AS135" s="183"/>
      <c r="AT135" s="183"/>
      <c r="AU135" s="183"/>
      <c r="AV135" s="183"/>
      <c r="AW135" s="183"/>
      <c r="AZ135" s="11"/>
      <c r="BA135" s="11"/>
      <c r="BB135" s="11"/>
      <c r="BC135" s="183"/>
      <c r="BD135" s="183"/>
      <c r="BE135" s="183"/>
      <c r="BF135" s="183"/>
      <c r="BG135" s="183"/>
      <c r="BH135" s="183"/>
      <c r="BK135" s="11"/>
      <c r="BL135" s="11"/>
      <c r="BM135" s="11"/>
      <c r="BN135" s="183"/>
      <c r="BO135" s="183"/>
      <c r="BP135" s="183"/>
      <c r="BQ135" s="183"/>
      <c r="BR135" s="183"/>
      <c r="BS135" s="183"/>
      <c r="BV135" s="11"/>
      <c r="BW135" s="11"/>
      <c r="BX135" s="11"/>
      <c r="BY135" s="183"/>
      <c r="BZ135" s="183"/>
      <c r="CA135" s="183"/>
      <c r="CB135" s="183"/>
      <c r="CC135" s="183"/>
      <c r="CD135" s="183"/>
    </row>
    <row r="136" spans="1:82">
      <c r="D136" s="286">
        <f>D135-D127</f>
        <v>0</v>
      </c>
      <c r="AO136" s="11"/>
      <c r="AP136" s="11"/>
      <c r="AQ136" s="11"/>
      <c r="AR136" s="11"/>
      <c r="AS136" s="128"/>
      <c r="AT136" s="11"/>
      <c r="AU136" s="11"/>
      <c r="AV136" s="11"/>
      <c r="AW136" s="11"/>
      <c r="AZ136" s="11"/>
      <c r="BA136" s="11"/>
      <c r="BB136" s="11"/>
      <c r="BC136" s="11"/>
      <c r="BD136" s="128"/>
      <c r="BE136" s="11"/>
      <c r="BF136" s="11"/>
      <c r="BG136" s="11"/>
      <c r="BH136" s="11"/>
      <c r="BK136" s="11"/>
      <c r="BL136" s="11"/>
      <c r="BM136" s="11"/>
      <c r="BN136" s="11"/>
      <c r="BO136" s="128"/>
      <c r="BP136" s="11"/>
      <c r="BQ136" s="11"/>
      <c r="BR136" s="11"/>
      <c r="BS136" s="11"/>
      <c r="BV136" s="11"/>
      <c r="BW136" s="11"/>
      <c r="BX136" s="11"/>
      <c r="BY136" s="11"/>
      <c r="BZ136" s="128"/>
      <c r="CA136" s="11"/>
      <c r="CB136" s="11"/>
      <c r="CC136" s="11"/>
      <c r="CD136" s="11"/>
    </row>
    <row r="137" spans="1:82">
      <c r="AG137" s="293"/>
      <c r="AO137" s="11"/>
      <c r="AP137" s="11"/>
      <c r="AQ137" s="11"/>
      <c r="AR137" s="403"/>
      <c r="AS137" s="128"/>
      <c r="AT137" s="11"/>
      <c r="AU137" s="11"/>
      <c r="AV137" s="11"/>
      <c r="AW137" s="11"/>
      <c r="AZ137" s="11"/>
      <c r="BA137" s="11"/>
      <c r="BB137" s="11"/>
      <c r="BC137" s="403"/>
      <c r="BD137" s="128"/>
      <c r="BE137" s="11"/>
      <c r="BF137" s="11"/>
      <c r="BG137" s="11"/>
      <c r="BH137" s="11"/>
      <c r="BK137" s="11"/>
      <c r="BL137" s="11"/>
      <c r="BM137" s="11"/>
      <c r="BN137" s="403"/>
      <c r="BO137" s="128"/>
      <c r="BP137" s="11"/>
      <c r="BQ137" s="11"/>
      <c r="BR137" s="11"/>
      <c r="BS137" s="11"/>
      <c r="BV137" s="11"/>
      <c r="BW137" s="11"/>
      <c r="BX137" s="11"/>
      <c r="BY137" s="403"/>
      <c r="BZ137" s="128"/>
      <c r="CA137" s="11"/>
      <c r="CB137" s="11"/>
      <c r="CC137" s="11"/>
      <c r="CD137" s="11"/>
    </row>
    <row r="138" spans="1:82">
      <c r="AG138" s="293"/>
      <c r="AO138" s="11"/>
      <c r="AP138" s="11"/>
      <c r="AQ138" s="11"/>
      <c r="AR138" s="403"/>
      <c r="AS138" s="128"/>
      <c r="AT138" s="11"/>
      <c r="AU138" s="11"/>
      <c r="AV138" s="11"/>
      <c r="AW138" s="11"/>
      <c r="AZ138" s="11"/>
      <c r="BA138" s="11"/>
      <c r="BB138" s="11"/>
      <c r="BC138" s="403"/>
      <c r="BD138" s="128"/>
      <c r="BE138" s="11"/>
      <c r="BF138" s="11"/>
      <c r="BG138" s="11"/>
      <c r="BH138" s="11"/>
      <c r="BK138" s="11"/>
      <c r="BL138" s="11"/>
      <c r="BM138" s="11"/>
      <c r="BN138" s="403"/>
      <c r="BO138" s="128"/>
      <c r="BP138" s="11"/>
      <c r="BQ138" s="11"/>
      <c r="BR138" s="11"/>
      <c r="BS138" s="11"/>
      <c r="BV138" s="11"/>
      <c r="BW138" s="11"/>
      <c r="BX138" s="11"/>
      <c r="BY138" s="403"/>
      <c r="BZ138" s="128"/>
      <c r="CA138" s="11"/>
      <c r="CB138" s="11"/>
      <c r="CC138" s="11"/>
      <c r="CD138" s="11"/>
    </row>
    <row r="139" spans="1:82">
      <c r="AE139" s="211"/>
      <c r="AF139" s="211"/>
      <c r="AG139" s="294"/>
      <c r="AO139" s="11"/>
      <c r="AP139" s="134"/>
      <c r="AQ139" s="134"/>
      <c r="AR139" s="404"/>
      <c r="AS139" s="128"/>
      <c r="AT139" s="11"/>
      <c r="AU139" s="11"/>
      <c r="AV139" s="11"/>
      <c r="AW139" s="11"/>
      <c r="AZ139" s="11"/>
      <c r="BA139" s="134"/>
      <c r="BB139" s="134"/>
      <c r="BC139" s="404"/>
      <c r="BD139" s="128"/>
      <c r="BE139" s="11"/>
      <c r="BF139" s="11"/>
      <c r="BG139" s="11"/>
      <c r="BH139" s="11"/>
      <c r="BK139" s="11"/>
      <c r="BL139" s="134"/>
      <c r="BM139" s="134"/>
      <c r="BN139" s="404"/>
      <c r="BO139" s="128"/>
      <c r="BP139" s="11"/>
      <c r="BQ139" s="11"/>
      <c r="BR139" s="11"/>
      <c r="BS139" s="11"/>
      <c r="BV139" s="11"/>
      <c r="BW139" s="134"/>
      <c r="BX139" s="134"/>
      <c r="BY139" s="404"/>
      <c r="BZ139" s="128"/>
      <c r="CA139" s="11"/>
      <c r="CB139" s="11"/>
      <c r="CC139" s="11"/>
      <c r="CD139" s="11"/>
    </row>
    <row r="140" spans="1:82">
      <c r="AE140" s="286"/>
      <c r="AF140" s="286"/>
      <c r="AG140" s="286"/>
      <c r="AO140" s="11"/>
      <c r="AP140" s="183"/>
      <c r="AQ140" s="183"/>
      <c r="AR140" s="183"/>
      <c r="AS140" s="128"/>
      <c r="AT140" s="11"/>
      <c r="AU140" s="11"/>
      <c r="AV140" s="11"/>
      <c r="AW140" s="11"/>
      <c r="AZ140" s="11"/>
      <c r="BA140" s="183"/>
      <c r="BB140" s="183"/>
      <c r="BC140" s="183"/>
      <c r="BD140" s="128"/>
      <c r="BE140" s="11"/>
      <c r="BF140" s="11"/>
      <c r="BG140" s="11"/>
      <c r="BH140" s="11"/>
      <c r="BK140" s="11"/>
      <c r="BL140" s="183"/>
      <c r="BM140" s="183"/>
      <c r="BN140" s="183"/>
      <c r="BO140" s="128"/>
      <c r="BP140" s="11"/>
      <c r="BQ140" s="11"/>
      <c r="BR140" s="11"/>
      <c r="BS140" s="11"/>
      <c r="BV140" s="11"/>
      <c r="BW140" s="183"/>
      <c r="BX140" s="183"/>
      <c r="BY140" s="183"/>
      <c r="BZ140" s="128"/>
      <c r="CA140" s="11"/>
      <c r="CB140" s="11"/>
      <c r="CC140" s="11"/>
      <c r="CD140" s="11"/>
    </row>
    <row r="141" spans="1:82">
      <c r="AE141" s="286"/>
      <c r="AF141" s="286"/>
      <c r="AO141" s="11"/>
      <c r="AP141" s="183"/>
      <c r="AQ141" s="183"/>
      <c r="AR141" s="11"/>
      <c r="AS141" s="128"/>
      <c r="AT141" s="11"/>
      <c r="AU141" s="11"/>
      <c r="AV141" s="11"/>
      <c r="AW141" s="11"/>
      <c r="AZ141" s="11"/>
      <c r="BA141" s="183"/>
      <c r="BB141" s="183"/>
      <c r="BC141" s="11"/>
      <c r="BD141" s="128"/>
      <c r="BE141" s="11"/>
      <c r="BF141" s="11"/>
      <c r="BG141" s="11"/>
      <c r="BH141" s="11"/>
      <c r="BK141" s="11"/>
      <c r="BL141" s="183"/>
      <c r="BM141" s="183"/>
      <c r="BN141" s="11"/>
      <c r="BO141" s="128"/>
      <c r="BP141" s="11"/>
      <c r="BQ141" s="11"/>
      <c r="BR141" s="11"/>
      <c r="BS141" s="11"/>
      <c r="BV141" s="11"/>
      <c r="BW141" s="183"/>
      <c r="BX141" s="183"/>
      <c r="BY141" s="11"/>
      <c r="BZ141" s="128"/>
      <c r="CA141" s="11"/>
      <c r="CB141" s="11"/>
      <c r="CC141" s="11"/>
      <c r="CD141" s="11"/>
    </row>
    <row r="142" spans="1:82">
      <c r="AG142" s="286"/>
      <c r="AO142" s="11"/>
      <c r="AP142" s="11"/>
      <c r="AQ142" s="11"/>
      <c r="AR142" s="183"/>
      <c r="AS142" s="128"/>
      <c r="AT142" s="11"/>
      <c r="AU142" s="11"/>
      <c r="AV142" s="11"/>
      <c r="AW142" s="11"/>
      <c r="AZ142" s="11"/>
      <c r="BA142" s="11"/>
      <c r="BB142" s="11"/>
      <c r="BC142" s="183"/>
      <c r="BD142" s="128"/>
      <c r="BE142" s="11"/>
      <c r="BF142" s="11"/>
      <c r="BG142" s="11"/>
      <c r="BH142" s="11"/>
      <c r="BK142" s="11"/>
      <c r="BL142" s="11"/>
      <c r="BM142" s="11"/>
      <c r="BN142" s="183"/>
      <c r="BO142" s="128"/>
      <c r="BP142" s="11"/>
      <c r="BQ142" s="11"/>
      <c r="BR142" s="11"/>
      <c r="BS142" s="11"/>
      <c r="BV142" s="11"/>
      <c r="BW142" s="11"/>
      <c r="BX142" s="11"/>
      <c r="BY142" s="183"/>
      <c r="BZ142" s="128"/>
      <c r="CA142" s="11"/>
      <c r="CB142" s="11"/>
      <c r="CC142" s="11"/>
      <c r="CD142" s="11"/>
    </row>
    <row r="143" spans="1:82">
      <c r="AE143" t="s">
        <v>192</v>
      </c>
      <c r="AG143" s="286">
        <f>AG138-AG133</f>
        <v>0</v>
      </c>
      <c r="AO143" s="11"/>
      <c r="AP143" s="11"/>
      <c r="AQ143" s="11"/>
      <c r="AR143" s="183"/>
      <c r="AS143" s="128"/>
      <c r="AT143" s="11"/>
      <c r="AU143" s="11"/>
      <c r="AV143" s="11"/>
      <c r="AW143" s="11"/>
      <c r="AZ143" s="11"/>
      <c r="BA143" s="11"/>
      <c r="BB143" s="11"/>
      <c r="BC143" s="183"/>
      <c r="BD143" s="128"/>
      <c r="BE143" s="11"/>
      <c r="BF143" s="11"/>
      <c r="BG143" s="11"/>
      <c r="BH143" s="11"/>
      <c r="BK143" s="11"/>
      <c r="BL143" s="11"/>
      <c r="BM143" s="11"/>
      <c r="BN143" s="183"/>
      <c r="BO143" s="128"/>
      <c r="BP143" s="11"/>
      <c r="BQ143" s="11"/>
      <c r="BR143" s="11"/>
      <c r="BS143" s="11"/>
      <c r="BV143" s="11"/>
      <c r="BW143" s="11"/>
      <c r="BX143" s="11"/>
      <c r="BY143" s="183"/>
      <c r="BZ143" s="128"/>
      <c r="CA143" s="11"/>
      <c r="CB143" s="11"/>
      <c r="CC143" s="11"/>
      <c r="CD143" s="11"/>
    </row>
    <row r="144" spans="1:82">
      <c r="AE144" t="s">
        <v>28</v>
      </c>
      <c r="AG144" s="287">
        <f>AG139-AG134</f>
        <v>0</v>
      </c>
      <c r="AO144" s="11"/>
      <c r="AP144" s="11"/>
      <c r="AQ144" s="11"/>
      <c r="AR144" s="402"/>
      <c r="AS144" s="128"/>
      <c r="AT144" s="11"/>
      <c r="AU144" s="11"/>
      <c r="AV144" s="11"/>
      <c r="AW144" s="11"/>
      <c r="AZ144" s="11"/>
      <c r="BA144" s="11"/>
      <c r="BB144" s="11"/>
      <c r="BC144" s="402"/>
      <c r="BD144" s="128"/>
      <c r="BE144" s="11"/>
      <c r="BF144" s="11"/>
      <c r="BG144" s="11"/>
      <c r="BH144" s="11"/>
      <c r="BK144" s="11"/>
      <c r="BL144" s="11"/>
      <c r="BM144" s="11"/>
      <c r="BN144" s="402"/>
      <c r="BO144" s="128"/>
      <c r="BP144" s="11"/>
      <c r="BQ144" s="11"/>
      <c r="BR144" s="11"/>
      <c r="BS144" s="11"/>
      <c r="BV144" s="11"/>
      <c r="BW144" s="11"/>
      <c r="BX144" s="11"/>
      <c r="BY144" s="402"/>
      <c r="BZ144" s="128"/>
      <c r="CA144" s="11"/>
      <c r="CB144" s="11"/>
      <c r="CC144" s="11"/>
      <c r="CD144" s="11"/>
    </row>
    <row r="145" spans="33:82">
      <c r="AG145" s="286">
        <f>SUM(AG142:AG144)</f>
        <v>0</v>
      </c>
      <c r="AO145" s="11"/>
      <c r="AP145" s="11"/>
      <c r="AQ145" s="11"/>
      <c r="AR145" s="183"/>
      <c r="AS145" s="128"/>
      <c r="AT145" s="11"/>
      <c r="AU145" s="11"/>
      <c r="AV145" s="11"/>
      <c r="AW145" s="11"/>
      <c r="AZ145" s="11"/>
      <c r="BA145" s="11"/>
      <c r="BB145" s="11"/>
      <c r="BC145" s="183"/>
      <c r="BD145" s="128"/>
      <c r="BE145" s="11"/>
      <c r="BF145" s="11"/>
      <c r="BG145" s="11"/>
      <c r="BH145" s="11"/>
      <c r="BK145" s="11"/>
      <c r="BL145" s="11"/>
      <c r="BM145" s="11"/>
      <c r="BN145" s="183"/>
      <c r="BO145" s="128"/>
      <c r="BP145" s="11"/>
      <c r="BQ145" s="11"/>
      <c r="BR145" s="11"/>
      <c r="BS145" s="11"/>
      <c r="BV145" s="11"/>
      <c r="BW145" s="11"/>
      <c r="BX145" s="11"/>
      <c r="BY145" s="183"/>
      <c r="BZ145" s="128"/>
      <c r="CA145" s="11"/>
      <c r="CB145" s="11"/>
      <c r="CC145" s="11"/>
      <c r="CD145" s="11"/>
    </row>
    <row r="146" spans="33:82">
      <c r="AG146" s="204"/>
      <c r="AR146" s="405"/>
      <c r="BC146" s="405"/>
      <c r="BN146" s="405"/>
      <c r="BY146" s="405"/>
    </row>
    <row r="65536" spans="43:76">
      <c r="AQ65536" s="392"/>
      <c r="BB65536" s="392"/>
      <c r="BM65536" s="392"/>
      <c r="BX65536" s="392"/>
    </row>
  </sheetData>
  <mergeCells count="20">
    <mergeCell ref="P2:Q2"/>
    <mergeCell ref="BJ1:BS1"/>
    <mergeCell ref="BJ2:BS2"/>
    <mergeCell ref="AY1:BH1"/>
    <mergeCell ref="AY2:BH2"/>
    <mergeCell ref="AC1:AL1"/>
    <mergeCell ref="S1:AA1"/>
    <mergeCell ref="AC2:AL2"/>
    <mergeCell ref="AN1:AW1"/>
    <mergeCell ref="AN2:AW2"/>
    <mergeCell ref="D1:E1"/>
    <mergeCell ref="D2:E2"/>
    <mergeCell ref="G1:J1"/>
    <mergeCell ref="G2:J2"/>
    <mergeCell ref="BU1:CD1"/>
    <mergeCell ref="BU2:CD2"/>
    <mergeCell ref="S2:AA2"/>
    <mergeCell ref="L1:O1"/>
    <mergeCell ref="L2:O2"/>
    <mergeCell ref="P1:Q1"/>
  </mergeCells>
  <phoneticPr fontId="0" type="noConversion"/>
  <printOptions horizontalCentered="1"/>
  <pageMargins left="0.25" right="0.25" top="0.98" bottom="0.45" header="0.3" footer="0.17"/>
  <pageSetup fitToWidth="5" fitToHeight="3" orientation="portrait" horizontalDpi="300" verticalDpi="300" r:id="rId1"/>
  <headerFooter alignWithMargins="0">
    <oddHeader>&amp;CPacific Gas and Electric Company
Revenue Allocation Workpapers for the 3¢ Surcharge
RSP Surcharge Allocation</oddHeader>
    <oddFooter>&amp;L&amp;D
&amp;T&amp;R&amp;F
&amp;A</oddFooter>
  </headerFooter>
  <colBreaks count="3" manualBreakCount="3">
    <brk id="15" min="5" max="126" man="1"/>
    <brk id="39" min="5" max="126" man="1"/>
    <brk id="58" min="5" max="126" man="1"/>
  </col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26"/>
  <sheetViews>
    <sheetView workbookViewId="0"/>
  </sheetViews>
  <sheetFormatPr defaultRowHeight="12.75"/>
  <cols>
    <col min="1" max="1" width="17.1640625" customWidth="1"/>
    <col min="2" max="2" width="2.5" bestFit="1" customWidth="1"/>
    <col min="3" max="4" width="13.83203125" style="51" bestFit="1" customWidth="1"/>
    <col min="5" max="5" width="14.1640625" style="51" customWidth="1"/>
    <col min="6" max="6" width="13.83203125" style="51" bestFit="1" customWidth="1"/>
    <col min="7" max="7" width="13.83203125" style="52" customWidth="1"/>
    <col min="8" max="8" width="13.83203125" style="51" bestFit="1" customWidth="1"/>
    <col min="9" max="12" width="13.83203125" style="51" customWidth="1"/>
    <col min="13" max="13" width="18.83203125" bestFit="1" customWidth="1"/>
    <col min="14" max="14" width="19.83203125" bestFit="1" customWidth="1"/>
    <col min="15" max="16" width="15.5" bestFit="1" customWidth="1"/>
  </cols>
  <sheetData>
    <row r="1" spans="1:16">
      <c r="A1" s="141"/>
      <c r="B1" s="1" t="s">
        <v>0</v>
      </c>
    </row>
    <row r="2" spans="1:16">
      <c r="A2" s="3"/>
      <c r="B2" s="1" t="s">
        <v>5</v>
      </c>
      <c r="K2" s="431"/>
      <c r="L2" s="431"/>
    </row>
    <row r="3" spans="1:16">
      <c r="A3" s="3"/>
      <c r="B3" s="1" t="s">
        <v>11</v>
      </c>
      <c r="C3" s="432" t="s">
        <v>193</v>
      </c>
      <c r="D3" s="432"/>
      <c r="E3" s="364" t="s">
        <v>196</v>
      </c>
      <c r="I3" s="364" t="s">
        <v>210</v>
      </c>
      <c r="J3" s="364" t="s">
        <v>211</v>
      </c>
      <c r="K3" s="431" t="s">
        <v>471</v>
      </c>
      <c r="L3" s="431"/>
      <c r="M3" s="433" t="s">
        <v>113</v>
      </c>
      <c r="N3" s="433"/>
      <c r="O3" s="433" t="s">
        <v>394</v>
      </c>
      <c r="P3" s="433"/>
    </row>
    <row r="4" spans="1:16" s="7" customFormat="1">
      <c r="A4" s="1" t="s">
        <v>20</v>
      </c>
      <c r="B4" s="1" t="s">
        <v>21</v>
      </c>
      <c r="C4" s="365" t="s">
        <v>195</v>
      </c>
      <c r="D4" s="365" t="s">
        <v>194</v>
      </c>
      <c r="E4" s="365" t="s">
        <v>113</v>
      </c>
      <c r="F4" s="365" t="s">
        <v>125</v>
      </c>
      <c r="G4" s="365" t="s">
        <v>198</v>
      </c>
      <c r="H4" s="365" t="s">
        <v>197</v>
      </c>
      <c r="I4" s="365" t="s">
        <v>162</v>
      </c>
      <c r="J4" s="365" t="s">
        <v>162</v>
      </c>
      <c r="K4" s="364" t="s">
        <v>472</v>
      </c>
      <c r="L4" s="364" t="s">
        <v>473</v>
      </c>
      <c r="M4" s="7" t="s">
        <v>392</v>
      </c>
      <c r="N4" s="7" t="s">
        <v>393</v>
      </c>
      <c r="O4" s="7" t="s">
        <v>392</v>
      </c>
      <c r="P4" s="7" t="s">
        <v>393</v>
      </c>
    </row>
    <row r="5" spans="1:16">
      <c r="A5" s="3"/>
      <c r="B5" s="1"/>
    </row>
    <row r="6" spans="1:16">
      <c r="A6" s="3" t="s">
        <v>26</v>
      </c>
      <c r="B6" s="1"/>
    </row>
    <row r="7" spans="1:16">
      <c r="A7" s="2" t="s">
        <v>130</v>
      </c>
      <c r="B7" s="15" t="s">
        <v>28</v>
      </c>
      <c r="C7" s="296">
        <f>'Test Year 2001 Sales and Revs.'!G7</f>
        <v>2581981586.0153246</v>
      </c>
      <c r="D7" s="296">
        <f>'Test Year 2001 Sales and Revs.'!H7</f>
        <v>2868868428.9059162</v>
      </c>
      <c r="E7" s="296">
        <f>SUM('Revenue Allocation'!E8:I8)</f>
        <v>1216390405.4743166</v>
      </c>
      <c r="F7" s="296">
        <f>'Revenue Allocation'!K8</f>
        <v>235971524.23204058</v>
      </c>
      <c r="G7" s="52">
        <f>C7-D7</f>
        <v>-286886842.89059162</v>
      </c>
      <c r="H7" s="296"/>
      <c r="I7" s="296"/>
      <c r="J7" s="296"/>
      <c r="K7" s="52">
        <f>-H7+I7-J7</f>
        <v>0</v>
      </c>
      <c r="L7" s="52">
        <f>K7-G7-F7</f>
        <v>50915318.658551037</v>
      </c>
      <c r="M7" s="51">
        <f t="shared" ref="M7:N11" si="0">$C7-$E7+K7</f>
        <v>1365591180.541008</v>
      </c>
      <c r="N7" s="51">
        <f t="shared" si="0"/>
        <v>1416506499.199559</v>
      </c>
      <c r="O7" s="222">
        <f>M7/'Test Year 2001 Sales and Revs.'!$F7</f>
        <v>5.8439887877728983E-2</v>
      </c>
      <c r="P7" s="222">
        <f>N7/'Test Year 2001 Sales and Revs.'!$F7</f>
        <v>6.0618787065175227E-2</v>
      </c>
    </row>
    <row r="8" spans="1:16">
      <c r="A8" s="2" t="s">
        <v>131</v>
      </c>
      <c r="B8" s="15"/>
      <c r="C8" s="296">
        <f>'Test Year 2001 Sales and Revs.'!G8</f>
        <v>168120011.16367021</v>
      </c>
      <c r="D8" s="296">
        <f>'Test Year 2001 Sales and Revs.'!H8</f>
        <v>186800012.40407801</v>
      </c>
      <c r="E8" s="296">
        <f>SUM('Revenue Allocation'!E9:I9)</f>
        <v>62769259.374703191</v>
      </c>
      <c r="F8" s="296">
        <f>'Revenue Allocation'!K9</f>
        <v>19412925.472685192</v>
      </c>
      <c r="G8" s="52">
        <f>C8-D8</f>
        <v>-18680001.240407795</v>
      </c>
      <c r="H8" s="296"/>
      <c r="I8" s="296"/>
      <c r="J8" s="296"/>
      <c r="K8" s="52">
        <f>-H8+I8-J8</f>
        <v>0</v>
      </c>
      <c r="L8" s="52">
        <f>K8-G8-F8</f>
        <v>-732924.23227739707</v>
      </c>
      <c r="M8" s="51">
        <f t="shared" si="0"/>
        <v>105350751.78896701</v>
      </c>
      <c r="N8" s="51">
        <f t="shared" si="0"/>
        <v>104617827.55668962</v>
      </c>
      <c r="O8" s="222">
        <f>M8/'Test Year 2001 Sales and Revs.'!$F8</f>
        <v>5.4801812240376988E-2</v>
      </c>
      <c r="P8" s="222">
        <f>N8/'Test Year 2001 Sales and Revs.'!$F8</f>
        <v>5.4420556525713024E-2</v>
      </c>
    </row>
    <row r="9" spans="1:16">
      <c r="A9" s="2" t="s">
        <v>29</v>
      </c>
      <c r="B9" s="15" t="s">
        <v>28</v>
      </c>
      <c r="C9" s="296">
        <f>'Test Year 2001 Sales and Revs.'!G9</f>
        <v>110620380.01585585</v>
      </c>
      <c r="D9" s="296">
        <f>'Test Year 2001 Sales and Revs.'!H9</f>
        <v>122911533.35095094</v>
      </c>
      <c r="E9" s="296">
        <f>SUM('Revenue Allocation'!E10:I10)</f>
        <v>51876838.747692533</v>
      </c>
      <c r="F9" s="296">
        <f>'Revenue Allocation'!K10</f>
        <v>12247792.898571927</v>
      </c>
      <c r="G9" s="52">
        <f>C9-D9</f>
        <v>-12291153.335095093</v>
      </c>
      <c r="H9" s="296"/>
      <c r="I9" s="296"/>
      <c r="J9" s="296"/>
      <c r="K9" s="52">
        <f>-H9+I9-J9</f>
        <v>0</v>
      </c>
      <c r="L9" s="52">
        <f>K9-G9-F9</f>
        <v>43360.436523165554</v>
      </c>
      <c r="M9" s="51">
        <f t="shared" si="0"/>
        <v>58743541.268163316</v>
      </c>
      <c r="N9" s="51">
        <f t="shared" si="0"/>
        <v>58786901.704686478</v>
      </c>
      <c r="O9" s="222">
        <f>M9/'Test Year 2001 Sales and Revs.'!$F9</f>
        <v>4.8434024619853008E-2</v>
      </c>
      <c r="P9" s="222">
        <f>N9/'Test Year 2001 Sales and Revs.'!$F9</f>
        <v>4.8469775281198113E-2</v>
      </c>
    </row>
    <row r="10" spans="1:16">
      <c r="A10" s="2" t="s">
        <v>132</v>
      </c>
      <c r="B10" s="15" t="s">
        <v>28</v>
      </c>
      <c r="C10" s="296">
        <f>'Test Year 2001 Sales and Revs.'!G10</f>
        <v>211472700.49981663</v>
      </c>
      <c r="D10" s="296">
        <f>'Test Year 2001 Sales and Revs.'!H10</f>
        <v>234969667.22201848</v>
      </c>
      <c r="E10" s="296">
        <f>SUM('Revenue Allocation'!E11:I11)</f>
        <v>92386711.804641753</v>
      </c>
      <c r="F10" s="296">
        <f>'Revenue Allocation'!K11</f>
        <v>22702101.849587776</v>
      </c>
      <c r="G10" s="52">
        <f>C10-D10</f>
        <v>-23496966.722201854</v>
      </c>
      <c r="H10" s="296"/>
      <c r="I10" s="296"/>
      <c r="J10" s="296"/>
      <c r="K10" s="52">
        <f>-H10+I10-J10</f>
        <v>0</v>
      </c>
      <c r="L10" s="52">
        <f>K10-G10-F10</f>
        <v>794864.87261407822</v>
      </c>
      <c r="M10" s="51">
        <f t="shared" si="0"/>
        <v>119085988.69517487</v>
      </c>
      <c r="N10" s="51">
        <f t="shared" si="0"/>
        <v>119880853.56778896</v>
      </c>
      <c r="O10" s="222">
        <f>M10/'Test Year 2001 Sales and Revs.'!$F10</f>
        <v>5.2971572747230918E-2</v>
      </c>
      <c r="P10" s="222">
        <f>N10/'Test Year 2001 Sales and Revs.'!$F10</f>
        <v>5.3325142826173386E-2</v>
      </c>
    </row>
    <row r="11" spans="1:16">
      <c r="A11" s="2" t="s">
        <v>133</v>
      </c>
      <c r="B11" s="15"/>
      <c r="C11" s="297">
        <f>'Test Year 2001 Sales and Revs.'!G11</f>
        <v>7831339.5977828437</v>
      </c>
      <c r="D11" s="297">
        <f>'Test Year 2001 Sales and Revs.'!H11</f>
        <v>8701488.4419809375</v>
      </c>
      <c r="E11" s="297">
        <f>SUM('Revenue Allocation'!E12:I12)</f>
        <v>2567460.6926357592</v>
      </c>
      <c r="F11" s="297">
        <f>'Revenue Allocation'!K12</f>
        <v>977640.37807967223</v>
      </c>
      <c r="G11" s="226">
        <f>C11-D11</f>
        <v>-870148.84419809375</v>
      </c>
      <c r="H11" s="297"/>
      <c r="I11" s="297"/>
      <c r="J11" s="297"/>
      <c r="K11" s="226">
        <f>-H11+I11-J11</f>
        <v>0</v>
      </c>
      <c r="L11" s="226">
        <f>K11-G11-F11</f>
        <v>-107491.53388157848</v>
      </c>
      <c r="M11" s="226">
        <f t="shared" si="0"/>
        <v>5263878.905147085</v>
      </c>
      <c r="N11" s="226">
        <f t="shared" si="0"/>
        <v>5156387.3712655064</v>
      </c>
      <c r="O11" s="222">
        <f>M11/'Test Year 2001 Sales and Revs.'!$F11</f>
        <v>5.4371964926672525E-2</v>
      </c>
      <c r="P11" s="222">
        <f>N11/'Test Year 2001 Sales and Revs.'!$F11</f>
        <v>5.3261657107013423E-2</v>
      </c>
    </row>
    <row r="12" spans="1:16">
      <c r="A12" s="3"/>
      <c r="B12" s="15"/>
    </row>
    <row r="13" spans="1:16">
      <c r="A13" s="3" t="s">
        <v>30</v>
      </c>
      <c r="B13" s="15"/>
      <c r="C13" s="51">
        <f>SUM(C7:C11)</f>
        <v>3080026017.2924495</v>
      </c>
      <c r="D13" s="51">
        <f>SUM(D7:D11)</f>
        <v>3422251130.324944</v>
      </c>
      <c r="E13" s="51">
        <f>SUM(E7:E11)</f>
        <v>1425990676.0939898</v>
      </c>
      <c r="F13" s="51">
        <f>SUM(F7:F11)</f>
        <v>291311984.83096516</v>
      </c>
      <c r="G13" s="52">
        <f>SUM(G7:G11)</f>
        <v>-342225113.03249454</v>
      </c>
      <c r="K13" s="51">
        <f>SUM(K7:K11)</f>
        <v>0</v>
      </c>
      <c r="L13" s="51">
        <f>SUM(L7:L11)</f>
        <v>50913128.201529317</v>
      </c>
      <c r="M13" s="51">
        <f>SUM(M7:M11)</f>
        <v>1654035341.1984603</v>
      </c>
      <c r="N13" s="51">
        <f>SUM(N7:N11)</f>
        <v>1704948469.3999891</v>
      </c>
      <c r="O13" s="222">
        <f>M13/'Test Year 2001 Sales and Revs.'!$F13</f>
        <v>5.7336965026400663E-2</v>
      </c>
      <c r="P13" s="222">
        <f>N13/'Test Year 2001 Sales and Revs.'!$F13</f>
        <v>5.9101863380362406E-2</v>
      </c>
    </row>
    <row r="14" spans="1:16">
      <c r="A14" s="3"/>
      <c r="B14" s="15"/>
    </row>
    <row r="15" spans="1:16">
      <c r="A15" s="3" t="s">
        <v>31</v>
      </c>
      <c r="B15" s="15"/>
    </row>
    <row r="16" spans="1:16">
      <c r="A16" s="2" t="s">
        <v>32</v>
      </c>
      <c r="B16" s="1" t="s">
        <v>28</v>
      </c>
      <c r="C16" s="296">
        <f>'Test Year 2001 Sales and Revs.'!G16</f>
        <v>710376092.78349268</v>
      </c>
      <c r="D16" s="296">
        <f>'Test Year 2001 Sales and Revs.'!H16</f>
        <v>789311522.53721404</v>
      </c>
      <c r="E16" s="296">
        <f>SUM('Revenue Allocation'!E16:I16)</f>
        <v>335849120.33175105</v>
      </c>
      <c r="F16" s="296">
        <f>'Revenue Allocation'!K16</f>
        <v>62346675.168509364</v>
      </c>
      <c r="G16" s="52">
        <f>C16-D16</f>
        <v>-78935429.753721356</v>
      </c>
      <c r="H16" s="296"/>
      <c r="I16" s="296"/>
      <c r="J16" s="296"/>
      <c r="K16" s="52">
        <f>-H16+I16-J16</f>
        <v>0</v>
      </c>
      <c r="L16" s="52">
        <f>K16-G16-F16</f>
        <v>16588754.585211992</v>
      </c>
      <c r="M16" s="51">
        <f>$C16-$E16+K16</f>
        <v>374526972.45174164</v>
      </c>
      <c r="N16" s="51">
        <f>$C16-$E16+L16</f>
        <v>391115727.03695363</v>
      </c>
      <c r="O16" s="222">
        <f>M16/'Test Year 2001 Sales and Revs.'!$F16</f>
        <v>6.3410467440658813E-2</v>
      </c>
      <c r="P16" s="222">
        <f>N16/'Test Year 2001 Sales and Revs.'!$F16</f>
        <v>6.6219078728707512E-2</v>
      </c>
    </row>
    <row r="17" spans="1:16">
      <c r="A17" s="2" t="s">
        <v>33</v>
      </c>
      <c r="B17" s="1" t="s">
        <v>28</v>
      </c>
      <c r="C17" s="296">
        <f>'Test Year 2001 Sales and Revs.'!G17</f>
        <v>175710435.72964513</v>
      </c>
      <c r="D17" s="296">
        <f>'Test Year 2001 Sales and Revs.'!H17</f>
        <v>195230150.92182791</v>
      </c>
      <c r="E17" s="296">
        <f>SUM('Revenue Allocation'!E17:I17)</f>
        <v>64624575.183844686</v>
      </c>
      <c r="F17" s="296">
        <f>'Revenue Allocation'!K17</f>
        <v>20831243.737630367</v>
      </c>
      <c r="G17" s="52">
        <f>C17-D17</f>
        <v>-19519715.192182779</v>
      </c>
      <c r="H17" s="296"/>
      <c r="I17" s="296"/>
      <c r="J17" s="296"/>
      <c r="K17" s="52">
        <f>-H17+I17-J17</f>
        <v>0</v>
      </c>
      <c r="L17" s="52">
        <f>K17-G17-F17</f>
        <v>-1311528.545447588</v>
      </c>
      <c r="M17" s="51">
        <f>$C17-$E17+K17</f>
        <v>111085860.54580045</v>
      </c>
      <c r="N17" s="51">
        <f>$C17-$E17+L17</f>
        <v>109774332.00035286</v>
      </c>
      <c r="O17" s="222">
        <f>M17/'Test Year 2001 Sales and Revs.'!$F17</f>
        <v>5.6290452049731918E-2</v>
      </c>
      <c r="P17" s="222">
        <f>N17/'Test Year 2001 Sales and Revs.'!$F17</f>
        <v>5.5625862206014287E-2</v>
      </c>
    </row>
    <row r="18" spans="1:16">
      <c r="A18" s="2" t="s">
        <v>34</v>
      </c>
      <c r="B18" s="1"/>
      <c r="C18" s="296"/>
      <c r="D18" s="296"/>
      <c r="E18" s="296"/>
      <c r="F18" s="296"/>
      <c r="H18" s="296"/>
      <c r="I18" s="296"/>
      <c r="J18" s="296"/>
      <c r="K18" s="296"/>
      <c r="L18" s="296"/>
    </row>
    <row r="19" spans="1:16">
      <c r="A19" s="2" t="s">
        <v>35</v>
      </c>
      <c r="B19" s="1" t="s">
        <v>28</v>
      </c>
      <c r="C19" s="296">
        <f>'Test Year 2001 Sales and Revs.'!G19</f>
        <v>378012.21337516094</v>
      </c>
      <c r="D19" s="296">
        <f>'Test Year 2001 Sales and Revs.'!H19</f>
        <v>378012.21337516094</v>
      </c>
      <c r="E19" s="296">
        <f>SUM('Revenue Allocation'!E18:I18)</f>
        <v>321577.71733027126</v>
      </c>
      <c r="F19" s="296">
        <f>'Revenue Allocation'!K18</f>
        <v>0</v>
      </c>
      <c r="H19" s="296"/>
      <c r="I19" s="296"/>
      <c r="J19" s="296"/>
      <c r="K19" s="52">
        <f>-H19+I19-J19</f>
        <v>0</v>
      </c>
      <c r="L19" s="52">
        <f>K19-G19-F19</f>
        <v>0</v>
      </c>
      <c r="M19" s="51">
        <f>$C19-$E19+K19</f>
        <v>56434.496044889675</v>
      </c>
      <c r="N19" s="51">
        <f>$C19-$E19+L19</f>
        <v>56434.496044889675</v>
      </c>
      <c r="O19" s="222">
        <f>M19/'Test Year 2001 Sales and Revs.'!$F19</f>
        <v>4.2634030808350008E-2</v>
      </c>
      <c r="P19" s="222">
        <f>N19/'Test Year 2001 Sales and Revs.'!$F19</f>
        <v>4.2634030808350008E-2</v>
      </c>
    </row>
    <row r="20" spans="1:16">
      <c r="A20" s="2" t="s">
        <v>36</v>
      </c>
      <c r="B20" s="1" t="s">
        <v>28</v>
      </c>
      <c r="C20" s="297">
        <f>'Test Year 2001 Sales and Revs.'!G20</f>
        <v>13370632.61537138</v>
      </c>
      <c r="D20" s="297">
        <f>'Test Year 2001 Sales and Revs.'!H20</f>
        <v>13370632.61537138</v>
      </c>
      <c r="E20" s="297">
        <f>SUM('Revenue Allocation'!E19:I19)</f>
        <v>7248762.2185090864</v>
      </c>
      <c r="F20" s="297">
        <f>'Revenue Allocation'!K19</f>
        <v>0</v>
      </c>
      <c r="G20" s="226"/>
      <c r="H20" s="297"/>
      <c r="I20" s="297"/>
      <c r="J20" s="297"/>
      <c r="K20" s="226">
        <f>-H20+I20-J20</f>
        <v>0</v>
      </c>
      <c r="L20" s="226">
        <f>K20-G20-F20</f>
        <v>0</v>
      </c>
      <c r="M20" s="226">
        <f>$C20-$E20+K20</f>
        <v>6121870.3968622936</v>
      </c>
      <c r="N20" s="226">
        <f>$C20-$E20+L20</f>
        <v>6121870.3968622936</v>
      </c>
      <c r="O20" s="222">
        <f>M20/'Test Year 2001 Sales and Revs.'!$F20</f>
        <v>5.0454644325021072E-2</v>
      </c>
      <c r="P20" s="222">
        <f>N20/'Test Year 2001 Sales and Revs.'!$F20</f>
        <v>5.0454644325021072E-2</v>
      </c>
    </row>
    <row r="21" spans="1:16">
      <c r="A21" s="3"/>
      <c r="B21" s="15"/>
    </row>
    <row r="22" spans="1:16">
      <c r="A22" s="3" t="s">
        <v>37</v>
      </c>
      <c r="B22" s="15"/>
      <c r="C22" s="51">
        <f>SUM(C16:C20)</f>
        <v>899835173.34188437</v>
      </c>
      <c r="D22" s="51">
        <f>SUM(D16:D20)</f>
        <v>998290318.28778851</v>
      </c>
      <c r="E22" s="51">
        <f>SUM(E16:E20)</f>
        <v>408044035.45143509</v>
      </c>
      <c r="F22" s="51">
        <f>SUM(F16:F20)</f>
        <v>83177918.906139731</v>
      </c>
      <c r="G22" s="52">
        <f>SUM(G16:G20)</f>
        <v>-98455144.945904136</v>
      </c>
      <c r="K22" s="51">
        <f>SUM(K16:K20)</f>
        <v>0</v>
      </c>
      <c r="L22" s="51">
        <f>SUM(L16:L20)</f>
        <v>15277226.039764404</v>
      </c>
      <c r="M22" s="51">
        <f>SUM(M16:M20)</f>
        <v>491791137.89044923</v>
      </c>
      <c r="N22" s="51">
        <f>SUM(N16:N20)</f>
        <v>507068363.93021363</v>
      </c>
      <c r="O22" s="222">
        <f>M22/'Test Year 2001 Sales and Revs.'!$F22</f>
        <v>6.1454774299595956E-2</v>
      </c>
      <c r="P22" s="222">
        <f>N22/'Test Year 2001 Sales and Revs.'!$F22</f>
        <v>6.3363833666189848E-2</v>
      </c>
    </row>
    <row r="23" spans="1:16">
      <c r="A23" s="3"/>
      <c r="B23" s="15"/>
    </row>
    <row r="24" spans="1:16">
      <c r="A24" s="3" t="s">
        <v>38</v>
      </c>
      <c r="B24" s="15"/>
    </row>
    <row r="25" spans="1:16">
      <c r="A25" s="2"/>
      <c r="B25" s="1"/>
    </row>
    <row r="26" spans="1:16">
      <c r="A26" s="2" t="s">
        <v>39</v>
      </c>
      <c r="B26" t="s">
        <v>27</v>
      </c>
      <c r="C26" s="296">
        <f>SUM('Test Year 2001 Sales and Revs.'!G25:G26)</f>
        <v>8480988.7304155733</v>
      </c>
      <c r="D26" s="296">
        <f>SUM('Test Year 2001 Sales and Revs.'!H25:H26)</f>
        <v>8491546.3803367019</v>
      </c>
      <c r="E26" s="296">
        <f>SUM('Revenue Allocation'!E23:I23)</f>
        <v>2656992.1106172665</v>
      </c>
      <c r="F26" s="296">
        <f>'Revenue Allocation'!K23</f>
        <v>11288.808326799879</v>
      </c>
      <c r="G26" s="52">
        <f>C26-D26</f>
        <v>-10557.649921128526</v>
      </c>
      <c r="H26" s="296"/>
      <c r="I26" s="307"/>
      <c r="J26" s="380">
        <v>4352.898705008095</v>
      </c>
      <c r="K26" s="52">
        <f>-H26+I26-J26</f>
        <v>-4352.898705008095</v>
      </c>
      <c r="L26" s="52">
        <f>K26-G26-F26</f>
        <v>-5084.0571106794478</v>
      </c>
      <c r="M26" s="51">
        <f>$C26-$E26+K26</f>
        <v>5819643.7210932979</v>
      </c>
      <c r="N26" s="51">
        <f>$C26-$E26+L26</f>
        <v>5818912.562687627</v>
      </c>
      <c r="O26" s="222">
        <f>M26/'Test Year 2001 Sales and Revs.'!$F26</f>
        <v>6.4550514197876302E-2</v>
      </c>
      <c r="P26" s="222">
        <f>N26/'Test Year 2001 Sales and Revs.'!$F26</f>
        <v>6.4542404311204865E-2</v>
      </c>
    </row>
    <row r="27" spans="1:16">
      <c r="A27" s="2" t="s">
        <v>39</v>
      </c>
      <c r="B27" s="1" t="s">
        <v>28</v>
      </c>
      <c r="C27" s="297">
        <f>'Test Year 2001 Sales and Revs.'!G27</f>
        <v>1272618916.9840841</v>
      </c>
      <c r="D27" s="297">
        <f>'Test Year 2001 Sales and Revs.'!H27</f>
        <v>1280842457.1457207</v>
      </c>
      <c r="E27" s="297">
        <f>SUM('Revenue Allocation'!E24:I24)</f>
        <v>436428254.40593964</v>
      </c>
      <c r="F27" s="297">
        <f>'Revenue Allocation'!K24</f>
        <v>8251385.3720562421</v>
      </c>
      <c r="G27" s="226">
        <f>C27-D27</f>
        <v>-8223540.161636591</v>
      </c>
      <c r="H27" s="297"/>
      <c r="I27" s="308"/>
      <c r="J27" s="379">
        <v>960924.70281739591</v>
      </c>
      <c r="K27" s="226">
        <f>-H27+I27-J27</f>
        <v>-960924.70281739591</v>
      </c>
      <c r="L27" s="226">
        <f>K27-G27-F27</f>
        <v>-988769.91323704738</v>
      </c>
      <c r="M27" s="226">
        <f>$C27-$E27+K27</f>
        <v>835229737.87532711</v>
      </c>
      <c r="N27" s="226">
        <f>$C27-$E27+L27</f>
        <v>835201892.66490746</v>
      </c>
      <c r="O27" s="222">
        <f>M27/'Test Year 2001 Sales and Revs.'!$F27</f>
        <v>6.4948631323212658E-2</v>
      </c>
      <c r="P27" s="222">
        <f>N27/'Test Year 2001 Sales and Revs.'!$F27</f>
        <v>6.4946466040747663E-2</v>
      </c>
    </row>
    <row r="28" spans="1:16">
      <c r="A28" s="27"/>
      <c r="B28" s="1"/>
    </row>
    <row r="29" spans="1:16">
      <c r="A29" s="3" t="s">
        <v>40</v>
      </c>
      <c r="B29" s="15"/>
      <c r="C29" s="51">
        <f>SUM(C26:C27)</f>
        <v>1281099905.7144997</v>
      </c>
      <c r="D29" s="51">
        <f>SUM(D26:D27)</f>
        <v>1289334003.5260575</v>
      </c>
      <c r="E29" s="51">
        <f>SUM(E26:E27)</f>
        <v>439085246.51655692</v>
      </c>
      <c r="F29" s="51">
        <f>SUM(F26:F27)</f>
        <v>8262674.1803830415</v>
      </c>
      <c r="G29" s="52">
        <f>SUM(G26:G27)</f>
        <v>-8234097.8115577195</v>
      </c>
      <c r="J29" s="51">
        <f>SUM(J26:J27)</f>
        <v>965277.601522404</v>
      </c>
      <c r="K29" s="51">
        <f>SUM(K26:K27)</f>
        <v>-965277.601522404</v>
      </c>
      <c r="L29" s="51">
        <f>SUM(L26:L27)</f>
        <v>-993853.97034772683</v>
      </c>
      <c r="M29" s="51">
        <f>SUM(M26:M27)</f>
        <v>841049381.59642041</v>
      </c>
      <c r="N29" s="51">
        <f>SUM(N26:N27)</f>
        <v>841020805.22759509</v>
      </c>
      <c r="O29" s="222">
        <f>M29/'Test Year 2001 Sales and Revs.'!$F29</f>
        <v>6.4943397603253974E-2</v>
      </c>
      <c r="P29" s="222">
        <f>N29/'Test Year 2001 Sales and Revs.'!$F29</f>
        <v>6.4941191018809241E-2</v>
      </c>
    </row>
    <row r="30" spans="1:16">
      <c r="A30" s="3"/>
      <c r="B30" s="15"/>
    </row>
    <row r="31" spans="1:16">
      <c r="A31" s="3" t="s">
        <v>41</v>
      </c>
      <c r="B31" s="15"/>
    </row>
    <row r="32" spans="1:16">
      <c r="A32" s="2" t="s">
        <v>42</v>
      </c>
      <c r="B32" s="1" t="s">
        <v>21</v>
      </c>
      <c r="C32" s="296">
        <f>'Test Year 2001 Sales and Revs.'!G32</f>
        <v>740267.47738546343</v>
      </c>
      <c r="D32" s="296">
        <f>'Test Year 2001 Sales and Revs.'!H32</f>
        <v>740267.47738546343</v>
      </c>
      <c r="E32" s="296">
        <f>SUM('Revenue Allocation'!E28:I28)</f>
        <v>150390.71672251105</v>
      </c>
      <c r="F32" s="296">
        <f>'Revenue Allocation'!K28</f>
        <v>0</v>
      </c>
      <c r="G32" s="52">
        <f>C32-D32</f>
        <v>0</v>
      </c>
      <c r="H32" s="296"/>
      <c r="I32" s="307"/>
      <c r="J32" s="380">
        <v>4469.945390562717</v>
      </c>
      <c r="K32" s="52">
        <f>-H32+I32-J32</f>
        <v>-4469.945390562717</v>
      </c>
      <c r="L32" s="52">
        <f>K32-G32-F32</f>
        <v>-4469.945390562717</v>
      </c>
      <c r="M32" s="51">
        <f t="shared" ref="M32:N34" si="1">$C32-$E32+K32</f>
        <v>585406.81527238968</v>
      </c>
      <c r="N32" s="51">
        <f t="shared" si="1"/>
        <v>585406.81527238968</v>
      </c>
      <c r="O32" s="222">
        <f>M32/'Test Year 2001 Sales and Revs.'!$F32</f>
        <v>6.7210949312130147E-2</v>
      </c>
      <c r="P32" s="222">
        <f>N32/'Test Year 2001 Sales and Revs.'!$F32</f>
        <v>6.7210949312130147E-2</v>
      </c>
    </row>
    <row r="33" spans="1:16">
      <c r="A33" s="2" t="s">
        <v>43</v>
      </c>
      <c r="B33" s="1" t="s">
        <v>21</v>
      </c>
      <c r="C33" s="296">
        <f>'Test Year 2001 Sales and Revs.'!G33</f>
        <v>175856.7168138049</v>
      </c>
      <c r="D33" s="296">
        <f>'Test Year 2001 Sales and Revs.'!H33</f>
        <v>175856.7168138049</v>
      </c>
      <c r="E33" s="296">
        <f>SUM('Revenue Allocation'!E29:I29)</f>
        <v>33840.356439996656</v>
      </c>
      <c r="F33" s="296">
        <f>'Revenue Allocation'!K29</f>
        <v>0</v>
      </c>
      <c r="G33" s="52">
        <f>C33-D33</f>
        <v>0</v>
      </c>
      <c r="H33" s="296"/>
      <c r="I33" s="307"/>
      <c r="J33" s="380">
        <v>1470.9240709728194</v>
      </c>
      <c r="K33" s="52">
        <f>-H33+I33-J33</f>
        <v>-1470.9240709728194</v>
      </c>
      <c r="L33" s="52">
        <f>K33-G33-F33</f>
        <v>-1470.9240709728194</v>
      </c>
      <c r="M33" s="51">
        <f t="shared" si="1"/>
        <v>140545.43630283541</v>
      </c>
      <c r="N33" s="51">
        <f t="shared" si="1"/>
        <v>140545.43630283541</v>
      </c>
      <c r="O33" s="222">
        <f>M33/'Test Year 2001 Sales and Revs.'!$F33</f>
        <v>6.5728314603660978E-2</v>
      </c>
      <c r="P33" s="222">
        <f>N33/'Test Year 2001 Sales and Revs.'!$F33</f>
        <v>6.5728314603660978E-2</v>
      </c>
    </row>
    <row r="34" spans="1:16">
      <c r="A34" s="2" t="s">
        <v>44</v>
      </c>
      <c r="B34" s="1" t="s">
        <v>21</v>
      </c>
      <c r="C34" s="297">
        <f>'Test Year 2001 Sales and Revs.'!G34</f>
        <v>0</v>
      </c>
      <c r="D34" s="297">
        <f>'Test Year 2001 Sales and Revs.'!H34</f>
        <v>0</v>
      </c>
      <c r="E34" s="297">
        <f>SUM('Revenue Allocation'!E30:I30)</f>
        <v>0</v>
      </c>
      <c r="F34" s="297">
        <f>'Revenue Allocation'!K30</f>
        <v>0</v>
      </c>
      <c r="G34" s="226">
        <f>C34-D34</f>
        <v>0</v>
      </c>
      <c r="H34" s="297">
        <f>'Test Year 2001 Sales and Revs.'!L35</f>
        <v>0</v>
      </c>
      <c r="I34" s="308"/>
      <c r="J34" s="379">
        <v>0</v>
      </c>
      <c r="K34" s="226">
        <f>-H34+I34-J34</f>
        <v>0</v>
      </c>
      <c r="L34" s="226">
        <f>K34-G34-F34</f>
        <v>0</v>
      </c>
      <c r="M34" s="226">
        <f t="shared" si="1"/>
        <v>0</v>
      </c>
      <c r="N34" s="226">
        <f t="shared" si="1"/>
        <v>0</v>
      </c>
    </row>
    <row r="35" spans="1:16">
      <c r="A35" s="3" t="s">
        <v>45</v>
      </c>
      <c r="B35" s="1" t="s">
        <v>21</v>
      </c>
      <c r="C35" s="51">
        <f t="shared" ref="C35:H35" si="2">SUM(C32:C34)</f>
        <v>916124.19419926836</v>
      </c>
      <c r="D35" s="51">
        <f t="shared" si="2"/>
        <v>916124.19419926836</v>
      </c>
      <c r="E35" s="51">
        <f t="shared" si="2"/>
        <v>184231.0731625077</v>
      </c>
      <c r="F35" s="51">
        <f t="shared" si="2"/>
        <v>0</v>
      </c>
      <c r="G35" s="52">
        <f t="shared" si="2"/>
        <v>0</v>
      </c>
      <c r="H35" s="51">
        <f t="shared" si="2"/>
        <v>0</v>
      </c>
      <c r="J35" s="51">
        <f>SUM(J32:J34)</f>
        <v>5940.8694615355362</v>
      </c>
      <c r="K35" s="51">
        <f>SUM(K32:K34)</f>
        <v>-5940.8694615355362</v>
      </c>
      <c r="L35" s="51">
        <f>SUM(L32:L34)</f>
        <v>-5940.8694615355362</v>
      </c>
      <c r="M35" s="51">
        <f>SUM(M32:M34)</f>
        <v>725952.25157522503</v>
      </c>
      <c r="N35" s="51">
        <f>SUM(N32:N34)</f>
        <v>725952.25157522503</v>
      </c>
      <c r="O35" s="222">
        <f>M35/'Test Year 2001 Sales and Revs.'!$F35</f>
        <v>6.6918710481465291E-2</v>
      </c>
      <c r="P35" s="222">
        <f>N35/'Test Year 2001 Sales and Revs.'!$F35</f>
        <v>6.6918710481465291E-2</v>
      </c>
    </row>
    <row r="36" spans="1:16">
      <c r="A36" s="3"/>
      <c r="B36" s="15"/>
    </row>
    <row r="37" spans="1:16">
      <c r="A37" s="3" t="s">
        <v>42</v>
      </c>
      <c r="B37" s="1" t="s">
        <v>27</v>
      </c>
      <c r="C37" s="296">
        <f>'Test Year 2001 Sales and Revs.'!G37</f>
        <v>49241569.412864253</v>
      </c>
      <c r="D37" s="296">
        <f>'Test Year 2001 Sales and Revs.'!H37</f>
        <v>49241569.412864253</v>
      </c>
      <c r="E37" s="296">
        <f>SUM('Revenue Allocation'!E33:I33)</f>
        <v>13561577.064702258</v>
      </c>
      <c r="F37" s="296">
        <f>'Revenue Allocation'!K33</f>
        <v>0</v>
      </c>
      <c r="G37" s="52">
        <f>C37-D37</f>
        <v>0</v>
      </c>
      <c r="H37" s="296"/>
      <c r="I37" s="307"/>
      <c r="J37" s="380">
        <v>52214.251612854845</v>
      </c>
      <c r="K37" s="52">
        <f>-H37+I37-J37</f>
        <v>-52214.251612854845</v>
      </c>
      <c r="L37" s="52">
        <f>K37-G37-F37</f>
        <v>-52214.251612854845</v>
      </c>
      <c r="M37" s="51">
        <f t="shared" ref="M37:N39" si="3">$C37-$E37+K37</f>
        <v>35627778.096549138</v>
      </c>
      <c r="N37" s="51">
        <f t="shared" si="3"/>
        <v>35627778.096549138</v>
      </c>
      <c r="O37" s="222">
        <f>M37/'Test Year 2001 Sales and Revs.'!$F37</f>
        <v>5.6372601803200917E-2</v>
      </c>
      <c r="P37" s="222">
        <f>N37/'Test Year 2001 Sales and Revs.'!$F37</f>
        <v>5.6372601803200917E-2</v>
      </c>
    </row>
    <row r="38" spans="1:16">
      <c r="A38" s="2" t="s">
        <v>43</v>
      </c>
      <c r="B38" s="1" t="s">
        <v>27</v>
      </c>
      <c r="C38" s="296">
        <f>'Test Year 2001 Sales and Revs.'!G38</f>
        <v>8600971.5348572433</v>
      </c>
      <c r="D38" s="296">
        <f>'Test Year 2001 Sales and Revs.'!H38</f>
        <v>8601649.3158656955</v>
      </c>
      <c r="E38" s="296">
        <f>SUM('Revenue Allocation'!E34:I34)</f>
        <v>2463345.2100344175</v>
      </c>
      <c r="F38" s="296">
        <f>'Revenue Allocation'!K34</f>
        <v>905.16453130756884</v>
      </c>
      <c r="G38" s="52">
        <f>C38-D38</f>
        <v>-677.78100845217705</v>
      </c>
      <c r="H38" s="296"/>
      <c r="I38" s="307"/>
      <c r="J38" s="380">
        <v>14969.265584458915</v>
      </c>
      <c r="K38" s="52">
        <f>-H38+I38-J38</f>
        <v>-14969.265584458915</v>
      </c>
      <c r="L38" s="52">
        <f>K38-G38-F38</f>
        <v>-15196.649107314308</v>
      </c>
      <c r="M38" s="51">
        <f t="shared" si="3"/>
        <v>6122657.0592383677</v>
      </c>
      <c r="N38" s="51">
        <f t="shared" si="3"/>
        <v>6122429.6757155117</v>
      </c>
      <c r="O38" s="222">
        <f>M38/'Test Year 2001 Sales and Revs.'!$F38</f>
        <v>5.5985425583243723E-2</v>
      </c>
      <c r="P38" s="222">
        <f>N38/'Test Year 2001 Sales and Revs.'!$F38</f>
        <v>5.5983346393902469E-2</v>
      </c>
    </row>
    <row r="39" spans="1:16">
      <c r="A39" s="2" t="s">
        <v>44</v>
      </c>
      <c r="B39" s="1" t="s">
        <v>27</v>
      </c>
      <c r="C39" s="297">
        <f>'Test Year 2001 Sales and Revs.'!G39</f>
        <v>2712151.1932578329</v>
      </c>
      <c r="D39" s="297">
        <f>'Test Year 2001 Sales and Revs.'!H39</f>
        <v>2712151.1932578329</v>
      </c>
      <c r="E39" s="297">
        <f>SUM('Revenue Allocation'!E35:I35)</f>
        <v>851518.37078943604</v>
      </c>
      <c r="F39" s="297">
        <f>'Revenue Allocation'!K35</f>
        <v>0</v>
      </c>
      <c r="G39" s="226">
        <f>C39-D39</f>
        <v>0</v>
      </c>
      <c r="H39" s="297">
        <f>'Test Year 2001 Sales and Revs.'!L39</f>
        <v>-480325.58398466592</v>
      </c>
      <c r="I39" s="308"/>
      <c r="J39" s="379">
        <v>11537.579191360535</v>
      </c>
      <c r="K39" s="226">
        <f>-H39+I39-J39</f>
        <v>468788.00479330542</v>
      </c>
      <c r="L39" s="226">
        <f>K39-G39-F39</f>
        <v>468788.00479330542</v>
      </c>
      <c r="M39" s="226">
        <f t="shared" si="3"/>
        <v>2329420.8272617022</v>
      </c>
      <c r="N39" s="226">
        <f t="shared" si="3"/>
        <v>2329420.8272617022</v>
      </c>
      <c r="O39" s="222">
        <f>M39/'Test Year 2001 Sales and Revs.'!$F39</f>
        <v>5.469861319742636E-2</v>
      </c>
      <c r="P39" s="222">
        <f>N39/'Test Year 2001 Sales and Revs.'!$F39</f>
        <v>5.469861319742636E-2</v>
      </c>
    </row>
    <row r="40" spans="1:16">
      <c r="A40" s="3" t="s">
        <v>45</v>
      </c>
      <c r="B40" s="1" t="s">
        <v>27</v>
      </c>
      <c r="C40" s="51">
        <f t="shared" ref="C40:H40" si="4">SUM(C37:C39)</f>
        <v>60554692.140979327</v>
      </c>
      <c r="D40" s="51">
        <f t="shared" si="4"/>
        <v>60555369.921987779</v>
      </c>
      <c r="E40" s="51">
        <f t="shared" si="4"/>
        <v>16876440.645526111</v>
      </c>
      <c r="F40" s="51">
        <f t="shared" si="4"/>
        <v>905.16453130756884</v>
      </c>
      <c r="G40" s="52">
        <f t="shared" si="4"/>
        <v>-677.78100845217705</v>
      </c>
      <c r="H40" s="51">
        <f t="shared" si="4"/>
        <v>-480325.58398466592</v>
      </c>
      <c r="J40" s="51">
        <f>SUM(J37:J39)</f>
        <v>78721.096388674297</v>
      </c>
      <c r="K40" s="51">
        <f>SUM(K37:K39)</f>
        <v>401604.48759599164</v>
      </c>
      <c r="L40" s="51">
        <f>SUM(L37:L39)</f>
        <v>401377.10407313623</v>
      </c>
      <c r="M40" s="51">
        <f>SUM(M37:M39)</f>
        <v>44079855.983049206</v>
      </c>
      <c r="N40" s="51">
        <f>SUM(N37:N39)</f>
        <v>44079628.599526353</v>
      </c>
      <c r="O40" s="222">
        <f>M40/'Test Year 2001 Sales and Revs.'!$F40</f>
        <v>5.6227655051451046E-2</v>
      </c>
      <c r="P40" s="222">
        <f>N40/'Test Year 2001 Sales and Revs.'!$F40</f>
        <v>5.6227365004172032E-2</v>
      </c>
    </row>
    <row r="41" spans="1:16">
      <c r="A41" s="3"/>
      <c r="B41" s="15"/>
    </row>
    <row r="42" spans="1:16">
      <c r="A42" s="3" t="s">
        <v>42</v>
      </c>
      <c r="B42" s="1" t="s">
        <v>28</v>
      </c>
      <c r="C42" s="296">
        <f>'Test Year 2001 Sales and Revs.'!G42</f>
        <v>431805371.23850113</v>
      </c>
      <c r="D42" s="296">
        <f>'Test Year 2001 Sales and Revs.'!H42</f>
        <v>431805371.23850113</v>
      </c>
      <c r="E42" s="296">
        <f>SUM('Revenue Allocation'!E38:I38)</f>
        <v>138161019.04559663</v>
      </c>
      <c r="F42" s="296">
        <f>'Revenue Allocation'!K38</f>
        <v>0</v>
      </c>
      <c r="G42" s="52">
        <f>C42-D42</f>
        <v>0</v>
      </c>
      <c r="H42" s="296"/>
      <c r="I42" s="307"/>
      <c r="J42" s="380">
        <v>77089.666593013462</v>
      </c>
      <c r="K42" s="52">
        <f>-H42+I42-J42</f>
        <v>-77089.666593013462</v>
      </c>
      <c r="L42" s="52">
        <f>K42-G42-F42</f>
        <v>-77089.666593013462</v>
      </c>
      <c r="M42" s="51">
        <f t="shared" ref="M42:N44" si="5">$C42-$E42+K42</f>
        <v>293567262.52631146</v>
      </c>
      <c r="N42" s="51">
        <f t="shared" si="5"/>
        <v>293567262.52631146</v>
      </c>
      <c r="O42" s="222">
        <f>M42/'Test Year 2001 Sales and Revs.'!$F42</f>
        <v>6.1743722850065179E-2</v>
      </c>
      <c r="P42" s="222">
        <f>N42/'Test Year 2001 Sales and Revs.'!$F42</f>
        <v>6.1743722850065179E-2</v>
      </c>
    </row>
    <row r="43" spans="1:16">
      <c r="A43" s="2" t="s">
        <v>43</v>
      </c>
      <c r="B43" s="1" t="s">
        <v>28</v>
      </c>
      <c r="C43" s="296">
        <f>'Test Year 2001 Sales and Revs.'!G43</f>
        <v>462134549.10820448</v>
      </c>
      <c r="D43" s="296">
        <f>'Test Year 2001 Sales and Revs.'!H43</f>
        <v>463206294.49631369</v>
      </c>
      <c r="E43" s="296">
        <f>SUM('Revenue Allocation'!E39:I39)</f>
        <v>147470553.96325317</v>
      </c>
      <c r="F43" s="296">
        <f>'Revenue Allocation'!K39</f>
        <v>1213547.4161243076</v>
      </c>
      <c r="G43" s="52">
        <f>C43-D43</f>
        <v>-1071745.3881092072</v>
      </c>
      <c r="H43" s="296"/>
      <c r="I43" s="307"/>
      <c r="J43" s="380">
        <v>110611.7244505139</v>
      </c>
      <c r="K43" s="52">
        <f>-H43+I43-J43</f>
        <v>-110611.7244505139</v>
      </c>
      <c r="L43" s="52">
        <f>K43-G43-F43</f>
        <v>-252413.75246561435</v>
      </c>
      <c r="M43" s="51">
        <f t="shared" si="5"/>
        <v>314553383.42050081</v>
      </c>
      <c r="N43" s="51">
        <f t="shared" si="5"/>
        <v>314411581.39248574</v>
      </c>
      <c r="O43" s="222">
        <f>M43/'Test Year 2001 Sales and Revs.'!$F43</f>
        <v>5.8301028558865861E-2</v>
      </c>
      <c r="P43" s="222">
        <f>N43/'Test Year 2001 Sales and Revs.'!$F43</f>
        <v>5.8274746202608509E-2</v>
      </c>
    </row>
    <row r="44" spans="1:16">
      <c r="A44" s="2" t="s">
        <v>44</v>
      </c>
      <c r="B44" s="1" t="s">
        <v>28</v>
      </c>
      <c r="C44" s="297">
        <f>'Test Year 2001 Sales and Revs.'!G44</f>
        <v>1868731.8864174981</v>
      </c>
      <c r="D44" s="297">
        <f>'Test Year 2001 Sales and Revs.'!H44</f>
        <v>1868731.8864174981</v>
      </c>
      <c r="E44" s="297">
        <f>SUM('Revenue Allocation'!E40:I40)</f>
        <v>675598.10694953636</v>
      </c>
      <c r="F44" s="297">
        <f>'Revenue Allocation'!K40</f>
        <v>0</v>
      </c>
      <c r="G44" s="226">
        <f>C44-D44</f>
        <v>0</v>
      </c>
      <c r="H44" s="297">
        <f>'Test Year 2001 Sales and Revs.'!L44</f>
        <v>-292061.86184078117</v>
      </c>
      <c r="I44" s="308"/>
      <c r="J44" s="379">
        <v>6469.0786489675138</v>
      </c>
      <c r="K44" s="226">
        <f>-H44+I44-J44</f>
        <v>285592.78319181368</v>
      </c>
      <c r="L44" s="226">
        <f>K44-G44-F44</f>
        <v>285592.78319181368</v>
      </c>
      <c r="M44" s="226">
        <f t="shared" si="5"/>
        <v>1478726.5626597754</v>
      </c>
      <c r="N44" s="226">
        <f t="shared" si="5"/>
        <v>1478726.5626597754</v>
      </c>
      <c r="O44" s="222">
        <f>M44/'Test Year 2001 Sales and Revs.'!$F44</f>
        <v>6.0334063919507276E-2</v>
      </c>
      <c r="P44" s="222">
        <f>N44/'Test Year 2001 Sales and Revs.'!$F44</f>
        <v>6.0334063919507276E-2</v>
      </c>
    </row>
    <row r="45" spans="1:16">
      <c r="A45" s="3" t="s">
        <v>45</v>
      </c>
      <c r="B45" s="1" t="s">
        <v>28</v>
      </c>
      <c r="C45" s="51">
        <f t="shared" ref="C45:H45" si="6">SUM(C42:C44)</f>
        <v>895808652.23312318</v>
      </c>
      <c r="D45" s="51">
        <f t="shared" si="6"/>
        <v>896880397.62123239</v>
      </c>
      <c r="E45" s="51">
        <f t="shared" si="6"/>
        <v>286307171.11579931</v>
      </c>
      <c r="F45" s="51">
        <f t="shared" si="6"/>
        <v>1213547.4161243076</v>
      </c>
      <c r="G45" s="52">
        <f t="shared" si="6"/>
        <v>-1071745.3881092072</v>
      </c>
      <c r="H45" s="51">
        <f t="shared" si="6"/>
        <v>-292061.86184078117</v>
      </c>
      <c r="J45" s="51">
        <f>SUM(J42:J44)</f>
        <v>194170.46969249487</v>
      </c>
      <c r="K45" s="51">
        <f>SUM(K42:K44)</f>
        <v>97891.392148286337</v>
      </c>
      <c r="L45" s="51">
        <f>SUM(L42:L44)</f>
        <v>-43910.635866814118</v>
      </c>
      <c r="M45" s="51">
        <f>SUM(M42:M44)</f>
        <v>609599372.50947201</v>
      </c>
      <c r="N45" s="51">
        <f>SUM(N42:N44)</f>
        <v>609457570.481457</v>
      </c>
      <c r="O45" s="222">
        <f>M45/'Test Year 2001 Sales and Revs.'!$F45</f>
        <v>5.9914726948444484E-2</v>
      </c>
      <c r="P45" s="222">
        <f>N45/'Test Year 2001 Sales and Revs.'!$F45</f>
        <v>5.9900789877357481E-2</v>
      </c>
    </row>
    <row r="46" spans="1:16">
      <c r="A46" s="3"/>
      <c r="B46" s="15"/>
    </row>
    <row r="47" spans="1:16">
      <c r="A47" s="2" t="s">
        <v>47</v>
      </c>
      <c r="B47" s="1" t="s">
        <v>28</v>
      </c>
      <c r="C47" s="297">
        <f>'Test Year 2001 Sales and Revs.'!G47</f>
        <v>3103936.4246082092</v>
      </c>
      <c r="D47" s="297">
        <f>'Test Year 2001 Sales and Revs.'!H47</f>
        <v>3103936.4246082092</v>
      </c>
      <c r="E47" s="297">
        <f>SUM('Revenue Allocation'!E45:I45)</f>
        <v>1190887.2128857314</v>
      </c>
      <c r="F47" s="297"/>
      <c r="G47" s="226"/>
      <c r="H47" s="297"/>
      <c r="I47" s="308"/>
      <c r="J47" s="379">
        <v>0</v>
      </c>
      <c r="K47" s="226">
        <f>-H47+I47-J47</f>
        <v>0</v>
      </c>
      <c r="L47" s="226">
        <f>K47-G47-F47</f>
        <v>0</v>
      </c>
      <c r="M47" s="226">
        <f>$C47-$E47+K47</f>
        <v>1913049.2117224778</v>
      </c>
      <c r="N47" s="226">
        <f>$C47-$E47+L47</f>
        <v>1913049.2117224778</v>
      </c>
      <c r="O47" s="222">
        <f>M47/'Test Year 2001 Sales and Revs.'!$F47</f>
        <v>4.1473573703960917E-2</v>
      </c>
      <c r="P47" s="222">
        <f>N47/'Test Year 2001 Sales and Revs.'!$F47</f>
        <v>4.1473573703960917E-2</v>
      </c>
    </row>
    <row r="48" spans="1:16">
      <c r="A48" s="3" t="s">
        <v>48</v>
      </c>
      <c r="B48" s="15"/>
      <c r="C48" s="51">
        <f>C47</f>
        <v>3103936.4246082092</v>
      </c>
      <c r="D48" s="51">
        <f>D47</f>
        <v>3103936.4246082092</v>
      </c>
      <c r="E48" s="51">
        <f>E47</f>
        <v>1190887.2128857314</v>
      </c>
      <c r="J48" s="51">
        <f>J47</f>
        <v>0</v>
      </c>
      <c r="K48" s="51">
        <f>K47</f>
        <v>0</v>
      </c>
      <c r="L48" s="51">
        <f>L47</f>
        <v>0</v>
      </c>
      <c r="M48" s="51">
        <f>M47</f>
        <v>1913049.2117224778</v>
      </c>
      <c r="N48" s="51">
        <f>N47</f>
        <v>1913049.2117224778</v>
      </c>
      <c r="O48" s="222">
        <f>M48/'Test Year 2001 Sales and Revs.'!$F48</f>
        <v>4.1473573703960917E-2</v>
      </c>
      <c r="P48" s="222">
        <f>N48/'Test Year 2001 Sales and Revs.'!$F48</f>
        <v>4.1473573703960917E-2</v>
      </c>
    </row>
    <row r="49" spans="1:16">
      <c r="A49" s="3"/>
      <c r="B49" s="15"/>
    </row>
    <row r="50" spans="1:16">
      <c r="A50" s="3"/>
      <c r="B50" s="15"/>
    </row>
    <row r="51" spans="1:16">
      <c r="A51" s="2" t="s">
        <v>49</v>
      </c>
      <c r="B51" s="1" t="s">
        <v>21</v>
      </c>
      <c r="C51" s="51">
        <f t="shared" ref="C51:N51" si="7">C35</f>
        <v>916124.19419926836</v>
      </c>
      <c r="D51" s="51">
        <f t="shared" si="7"/>
        <v>916124.19419926836</v>
      </c>
      <c r="E51" s="51">
        <f t="shared" si="7"/>
        <v>184231.0731625077</v>
      </c>
      <c r="F51" s="51">
        <f t="shared" si="7"/>
        <v>0</v>
      </c>
      <c r="G51" s="52">
        <f t="shared" si="7"/>
        <v>0</v>
      </c>
      <c r="H51" s="51">
        <f t="shared" si="7"/>
        <v>0</v>
      </c>
      <c r="J51" s="51">
        <f>J35</f>
        <v>5940.8694615355362</v>
      </c>
      <c r="K51" s="51">
        <f>K35</f>
        <v>-5940.8694615355362</v>
      </c>
      <c r="L51" s="51">
        <f>L35</f>
        <v>-5940.8694615355362</v>
      </c>
      <c r="M51" s="51">
        <f t="shared" si="7"/>
        <v>725952.25157522503</v>
      </c>
      <c r="N51" s="51">
        <f t="shared" si="7"/>
        <v>725952.25157522503</v>
      </c>
      <c r="O51" s="222">
        <f>M51/'Test Year 2001 Sales and Revs.'!$F51</f>
        <v>6.6918710481465291E-2</v>
      </c>
      <c r="P51" s="222">
        <f>N51/'Test Year 2001 Sales and Revs.'!$F51</f>
        <v>6.6918710481465291E-2</v>
      </c>
    </row>
    <row r="52" spans="1:16">
      <c r="A52" s="2" t="s">
        <v>49</v>
      </c>
      <c r="B52" s="1" t="s">
        <v>27</v>
      </c>
      <c r="C52" s="51">
        <f t="shared" ref="C52:N52" si="8">C40</f>
        <v>60554692.140979327</v>
      </c>
      <c r="D52" s="51">
        <f t="shared" si="8"/>
        <v>60555369.921987779</v>
      </c>
      <c r="E52" s="51">
        <f t="shared" si="8"/>
        <v>16876440.645526111</v>
      </c>
      <c r="F52" s="51">
        <f t="shared" si="8"/>
        <v>905.16453130756884</v>
      </c>
      <c r="G52" s="52">
        <f t="shared" si="8"/>
        <v>-677.78100845217705</v>
      </c>
      <c r="H52" s="51">
        <f t="shared" si="8"/>
        <v>-480325.58398466592</v>
      </c>
      <c r="J52" s="51">
        <f>J40</f>
        <v>78721.096388674297</v>
      </c>
      <c r="K52" s="51">
        <f>K40</f>
        <v>401604.48759599164</v>
      </c>
      <c r="L52" s="51">
        <f>L40</f>
        <v>401377.10407313623</v>
      </c>
      <c r="M52" s="51">
        <f t="shared" si="8"/>
        <v>44079855.983049206</v>
      </c>
      <c r="N52" s="51">
        <f t="shared" si="8"/>
        <v>44079628.599526353</v>
      </c>
      <c r="O52" s="222">
        <f>M52/'Test Year 2001 Sales and Revs.'!$F52</f>
        <v>5.6227655051451046E-2</v>
      </c>
      <c r="P52" s="222">
        <f>N52/'Test Year 2001 Sales and Revs.'!$F52</f>
        <v>5.6227365004172032E-2</v>
      </c>
    </row>
    <row r="53" spans="1:16">
      <c r="A53" s="2" t="s">
        <v>49</v>
      </c>
      <c r="B53" s="1" t="s">
        <v>28</v>
      </c>
      <c r="C53" s="226">
        <f t="shared" ref="C53:N53" si="9">C45+C47</f>
        <v>898912588.65773141</v>
      </c>
      <c r="D53" s="226">
        <f t="shared" si="9"/>
        <v>899984334.04584062</v>
      </c>
      <c r="E53" s="226">
        <f t="shared" si="9"/>
        <v>287498058.32868505</v>
      </c>
      <c r="F53" s="226">
        <f t="shared" si="9"/>
        <v>1213547.4161243076</v>
      </c>
      <c r="G53" s="226">
        <f t="shared" si="9"/>
        <v>-1071745.3881092072</v>
      </c>
      <c r="H53" s="226">
        <f t="shared" si="9"/>
        <v>-292061.86184078117</v>
      </c>
      <c r="I53" s="226"/>
      <c r="J53" s="226">
        <f>J45+J47</f>
        <v>194170.46969249487</v>
      </c>
      <c r="K53" s="226">
        <f>K45+K47</f>
        <v>97891.392148286337</v>
      </c>
      <c r="L53" s="226">
        <f>L45+L47</f>
        <v>-43910.635866814118</v>
      </c>
      <c r="M53" s="226">
        <f t="shared" si="9"/>
        <v>611512421.72119451</v>
      </c>
      <c r="N53" s="226">
        <f t="shared" si="9"/>
        <v>611370619.69317949</v>
      </c>
      <c r="O53" s="222">
        <f>M53/'Test Year 2001 Sales and Revs.'!$F53</f>
        <v>5.9831499350143313E-2</v>
      </c>
      <c r="P53" s="222">
        <f>N53/'Test Year 2001 Sales and Revs.'!$F53</f>
        <v>5.9817625179078814E-2</v>
      </c>
    </row>
    <row r="54" spans="1:16">
      <c r="A54" s="3" t="s">
        <v>50</v>
      </c>
      <c r="B54" s="15"/>
      <c r="C54" s="51">
        <f t="shared" ref="C54:N54" si="10">SUM(C51:C53)</f>
        <v>960383404.99291003</v>
      </c>
      <c r="D54" s="51">
        <f t="shared" si="10"/>
        <v>961455828.16202772</v>
      </c>
      <c r="E54" s="51">
        <f t="shared" si="10"/>
        <v>304558730.04737365</v>
      </c>
      <c r="F54" s="51">
        <f t="shared" si="10"/>
        <v>1214452.5806556151</v>
      </c>
      <c r="G54" s="52">
        <f t="shared" si="10"/>
        <v>-1072423.1691176593</v>
      </c>
      <c r="H54" s="51">
        <f t="shared" si="10"/>
        <v>-772387.4458254471</v>
      </c>
      <c r="J54" s="51">
        <f t="shared" si="10"/>
        <v>278832.43554270471</v>
      </c>
      <c r="K54" s="51">
        <f>SUM(K51:K53)</f>
        <v>493555.01028274244</v>
      </c>
      <c r="L54" s="51">
        <f>SUM(L51:L53)</f>
        <v>351525.59874478658</v>
      </c>
      <c r="M54" s="51">
        <f t="shared" si="10"/>
        <v>656318229.95581889</v>
      </c>
      <c r="N54" s="51">
        <f t="shared" si="10"/>
        <v>656176200.54428101</v>
      </c>
      <c r="O54" s="222">
        <f>M54/'Test Year 2001 Sales and Revs.'!$F54</f>
        <v>5.9581997097550909E-2</v>
      </c>
      <c r="P54" s="222">
        <f>N54/'Test Year 2001 Sales and Revs.'!$F54</f>
        <v>5.9569103358508207E-2</v>
      </c>
    </row>
    <row r="55" spans="1:16">
      <c r="A55" s="3"/>
      <c r="B55" s="1"/>
    </row>
    <row r="56" spans="1:16">
      <c r="A56" s="3" t="s">
        <v>51</v>
      </c>
      <c r="B56" s="1" t="s">
        <v>28</v>
      </c>
      <c r="C56" s="296">
        <f>'Test Year 2001 Sales and Revs.'!G56</f>
        <v>42969466.20211231</v>
      </c>
      <c r="D56" s="296">
        <f>'Test Year 2001 Sales and Revs.'!H56</f>
        <v>42969466.20211231</v>
      </c>
      <c r="E56" s="296">
        <f>SUM('Revenue Allocation'!E53:I53)</f>
        <v>28599898.098226305</v>
      </c>
      <c r="F56" s="296"/>
      <c r="H56" s="296"/>
      <c r="I56" s="296"/>
      <c r="J56" s="296"/>
      <c r="K56" s="52">
        <f>-H56+I56-J56</f>
        <v>0</v>
      </c>
      <c r="L56" s="52">
        <f>K56-G56-F56</f>
        <v>0</v>
      </c>
      <c r="M56" s="51">
        <f>$C56-$E56+K56</f>
        <v>14369568.103886005</v>
      </c>
      <c r="N56" s="51">
        <f>$C56-$E56+L56</f>
        <v>14369568.103886005</v>
      </c>
      <c r="O56" s="222">
        <f>M56/'Test Year 2001 Sales and Revs.'!$F56</f>
        <v>4.0904928213576101E-2</v>
      </c>
      <c r="P56" s="222">
        <f>N56/'Test Year 2001 Sales and Revs.'!$F56</f>
        <v>4.0904928213576101E-2</v>
      </c>
    </row>
    <row r="57" spans="1:16">
      <c r="A57" s="3"/>
      <c r="B57" s="1"/>
    </row>
    <row r="58" spans="1:16">
      <c r="A58" s="3" t="s">
        <v>52</v>
      </c>
      <c r="B58" s="1"/>
    </row>
    <row r="59" spans="1:16" ht="12.75" hidden="1" customHeight="1">
      <c r="A59" s="2"/>
      <c r="B59" s="1"/>
    </row>
    <row r="60" spans="1:16" ht="12.75" hidden="1" customHeight="1">
      <c r="A60" s="2"/>
      <c r="B60" s="1"/>
    </row>
    <row r="61" spans="1:16" ht="12.75" hidden="1" customHeight="1">
      <c r="A61" s="2"/>
      <c r="B61" s="1"/>
    </row>
    <row r="62" spans="1:16" ht="12.75" hidden="1" customHeight="1">
      <c r="A62" s="3"/>
      <c r="B62" s="1"/>
    </row>
    <row r="63" spans="1:16" ht="12.75" hidden="1" customHeight="1">
      <c r="A63" s="3"/>
      <c r="B63" s="1"/>
    </row>
    <row r="64" spans="1:16" ht="12.75" hidden="1" customHeight="1">
      <c r="A64" s="2"/>
      <c r="B64" s="1"/>
    </row>
    <row r="65" spans="1:16" ht="12.75" hidden="1" customHeight="1">
      <c r="A65" s="2"/>
      <c r="B65" s="1"/>
    </row>
    <row r="66" spans="1:16" ht="12.75" hidden="1" customHeight="1">
      <c r="A66" s="2"/>
      <c r="B66" s="1"/>
    </row>
    <row r="67" spans="1:16" ht="12.75" hidden="1" customHeight="1">
      <c r="A67" s="3"/>
      <c r="B67" s="1"/>
    </row>
    <row r="68" spans="1:16" ht="12.75" hidden="1" customHeight="1">
      <c r="A68" s="3"/>
      <c r="B68" s="1"/>
    </row>
    <row r="69" spans="1:16">
      <c r="A69" s="3" t="s">
        <v>18</v>
      </c>
      <c r="B69" s="1" t="s">
        <v>21</v>
      </c>
      <c r="C69" s="296">
        <f>'Test Year 2001 Sales and Revs.'!G69</f>
        <v>11949727.241950091</v>
      </c>
      <c r="D69" s="296">
        <f>'Test Year 2001 Sales and Revs.'!H69</f>
        <v>11949727.241950091</v>
      </c>
      <c r="E69" s="296">
        <f>SUM('Revenue Allocation'!E66:I66)</f>
        <v>7859139.6578507312</v>
      </c>
      <c r="F69" s="296"/>
      <c r="H69" s="296"/>
      <c r="I69" s="307"/>
      <c r="J69" s="380">
        <v>866596.15864067478</v>
      </c>
      <c r="K69" s="52">
        <f>-H69+I69-J69</f>
        <v>-866596.15864067478</v>
      </c>
      <c r="L69" s="52">
        <f>K69-G69-F69</f>
        <v>-866596.15864067478</v>
      </c>
      <c r="M69" s="51">
        <f t="shared" ref="M69:N71" si="11">$C69-$E69+K69</f>
        <v>3223991.425458685</v>
      </c>
      <c r="N69" s="51">
        <f t="shared" si="11"/>
        <v>3223991.425458685</v>
      </c>
      <c r="O69" s="222">
        <f>M69/'Test Year 2001 Sales and Revs.'!$F69</f>
        <v>2.4936892828426673E-2</v>
      </c>
      <c r="P69" s="222">
        <f>N69/'Test Year 2001 Sales and Revs.'!$F69</f>
        <v>2.4936892828426673E-2</v>
      </c>
    </row>
    <row r="70" spans="1:16">
      <c r="A70" s="3"/>
      <c r="B70" s="1" t="s">
        <v>27</v>
      </c>
      <c r="C70" s="296">
        <f>'Test Year 2001 Sales and Revs.'!G70</f>
        <v>4028603.7313990472</v>
      </c>
      <c r="D70" s="296">
        <f>'Test Year 2001 Sales and Revs.'!H70</f>
        <v>4028603.7313990472</v>
      </c>
      <c r="E70" s="296">
        <f>SUM('Revenue Allocation'!E67:I67)</f>
        <v>2822929.5144993286</v>
      </c>
      <c r="F70" s="296"/>
      <c r="H70" s="296"/>
      <c r="I70" s="307"/>
      <c r="J70" s="380">
        <v>29315.955635307335</v>
      </c>
      <c r="K70" s="52">
        <f>-H70+I70-J70</f>
        <v>-29315.955635307335</v>
      </c>
      <c r="L70" s="52">
        <f>K70-G70-F70</f>
        <v>-29315.955635307335</v>
      </c>
      <c r="M70" s="51">
        <f t="shared" si="11"/>
        <v>1176358.2612644113</v>
      </c>
      <c r="N70" s="51">
        <f t="shared" si="11"/>
        <v>1176358.2612644113</v>
      </c>
      <c r="O70" s="222">
        <f>M70/'Test Year 2001 Sales and Revs.'!$F70</f>
        <v>3.9570126873594132E-2</v>
      </c>
      <c r="P70" s="222">
        <f>N70/'Test Year 2001 Sales and Revs.'!$F70</f>
        <v>3.9570126873594132E-2</v>
      </c>
    </row>
    <row r="71" spans="1:16">
      <c r="A71" s="3"/>
      <c r="B71" s="1" t="s">
        <v>28</v>
      </c>
      <c r="C71" s="297">
        <f>'Test Year 2001 Sales and Revs.'!G71</f>
        <v>807648.60746656125</v>
      </c>
      <c r="D71" s="297">
        <f>'Test Year 2001 Sales and Revs.'!H71</f>
        <v>807648.60746656125</v>
      </c>
      <c r="E71" s="297">
        <f>SUM('Revenue Allocation'!E68:I68)</f>
        <v>595737.5442015701</v>
      </c>
      <c r="F71" s="297"/>
      <c r="G71" s="226"/>
      <c r="H71" s="297"/>
      <c r="I71" s="308"/>
      <c r="J71" s="379">
        <v>4695.1530854508183</v>
      </c>
      <c r="K71" s="226">
        <f>-H71+I71-J71</f>
        <v>-4695.1530854508183</v>
      </c>
      <c r="L71" s="226">
        <f>K71-G71-F71</f>
        <v>-4695.1530854508183</v>
      </c>
      <c r="M71" s="226">
        <f t="shared" si="11"/>
        <v>207215.91017954034</v>
      </c>
      <c r="N71" s="226">
        <f t="shared" si="11"/>
        <v>207215.91017954034</v>
      </c>
      <c r="O71" s="222">
        <f>M71/'Test Year 2001 Sales and Revs.'!$F71</f>
        <v>2.8184645604551681E-2</v>
      </c>
      <c r="P71" s="222">
        <f>N71/'Test Year 2001 Sales and Revs.'!$F71</f>
        <v>2.8184645604551681E-2</v>
      </c>
    </row>
    <row r="72" spans="1:16">
      <c r="A72" s="3"/>
      <c r="B72" s="1"/>
      <c r="J72" s="51">
        <f>SUM(J69:J71)</f>
        <v>900607.26736143301</v>
      </c>
      <c r="K72" s="51">
        <f>SUM(K69:K71)</f>
        <v>-900607.26736143301</v>
      </c>
      <c r="L72" s="51">
        <f>SUM(L69:L71)</f>
        <v>-900607.26736143301</v>
      </c>
      <c r="M72" s="51">
        <f>SUM(M69:M71)</f>
        <v>4607565.5969026368</v>
      </c>
      <c r="N72" s="51">
        <f>SUM(N69:N71)</f>
        <v>4607565.5969026368</v>
      </c>
    </row>
    <row r="73" spans="1:16">
      <c r="A73" s="3" t="s">
        <v>57</v>
      </c>
      <c r="B73" s="1"/>
      <c r="C73" s="51">
        <f>SUM(C69:C71)</f>
        <v>16785979.580815699</v>
      </c>
      <c r="D73" s="51">
        <f>SUM(D69:D71)</f>
        <v>16785979.580815699</v>
      </c>
      <c r="E73" s="51">
        <f>SUM(E69:E71)</f>
        <v>11277806.71655163</v>
      </c>
      <c r="M73" s="51">
        <f>SUM(M69:M71)</f>
        <v>4607565.5969026368</v>
      </c>
      <c r="N73" s="51">
        <f>SUM(N69:N71)</f>
        <v>4607565.5969026368</v>
      </c>
      <c r="O73" s="222">
        <f>M73/'Test Year 2001 Sales and Revs.'!$F73</f>
        <v>2.769526610881393E-2</v>
      </c>
      <c r="P73" s="222">
        <f>N73/'Test Year 2001 Sales and Revs.'!$F73</f>
        <v>2.769526610881393E-2</v>
      </c>
    </row>
    <row r="74" spans="1:16">
      <c r="A74" s="3"/>
      <c r="B74" s="1"/>
    </row>
    <row r="75" spans="1:16">
      <c r="A75" s="2" t="s">
        <v>58</v>
      </c>
      <c r="B75" s="15" t="s">
        <v>28</v>
      </c>
      <c r="C75" s="296">
        <f>'Test Year 2001 Sales and Revs.'!G75</f>
        <v>37890961.785726219</v>
      </c>
      <c r="D75" s="296">
        <f>'Test Year 2001 Sales and Revs.'!H75</f>
        <v>37890961.785726219</v>
      </c>
      <c r="E75" s="296">
        <f>SUM('Revenue Allocation'!E71:I71)</f>
        <v>22017163.454912376</v>
      </c>
      <c r="F75" s="296"/>
      <c r="H75" s="296"/>
      <c r="I75" s="296"/>
      <c r="J75" s="296"/>
      <c r="K75" s="52">
        <f t="shared" ref="K75:K90" si="12">-H75+I75-J75</f>
        <v>0</v>
      </c>
      <c r="L75" s="52">
        <f t="shared" ref="L75:L90" si="13">K75-G75-F75</f>
        <v>0</v>
      </c>
      <c r="M75" s="51">
        <f t="shared" ref="M75:N82" si="14">$C75-$E75+K75</f>
        <v>15873798.330813844</v>
      </c>
      <c r="N75" s="51">
        <f t="shared" si="14"/>
        <v>15873798.330813844</v>
      </c>
      <c r="O75" s="222">
        <f>M75/'Test Year 2001 Sales and Revs.'!$F75</f>
        <v>8.8322007590489957E-2</v>
      </c>
      <c r="P75" s="222">
        <f>N75/'Test Year 2001 Sales and Revs.'!$F75</f>
        <v>8.8322007590489957E-2</v>
      </c>
    </row>
    <row r="76" spans="1:16">
      <c r="A76" s="2" t="s">
        <v>59</v>
      </c>
      <c r="B76" s="15" t="s">
        <v>28</v>
      </c>
      <c r="C76" s="296">
        <f>'Test Year 2001 Sales and Revs.'!G76</f>
        <v>4320739.1507790247</v>
      </c>
      <c r="D76" s="296">
        <f>'Test Year 2001 Sales and Revs.'!H76</f>
        <v>4320739.1507790247</v>
      </c>
      <c r="E76" s="296">
        <f>SUM('Revenue Allocation'!E72:I72)</f>
        <v>2431632.1545610586</v>
      </c>
      <c r="F76" s="296"/>
      <c r="H76" s="296"/>
      <c r="I76" s="296"/>
      <c r="J76" s="296"/>
      <c r="K76" s="52">
        <f t="shared" si="12"/>
        <v>0</v>
      </c>
      <c r="L76" s="52">
        <f t="shared" si="13"/>
        <v>0</v>
      </c>
      <c r="M76" s="51">
        <f t="shared" si="14"/>
        <v>1889106.9962179661</v>
      </c>
      <c r="N76" s="51">
        <f t="shared" si="14"/>
        <v>1889106.9962179661</v>
      </c>
      <c r="O76" s="222">
        <f>M76/'Test Year 2001 Sales and Revs.'!$F76</f>
        <v>6.569283783516372E-2</v>
      </c>
      <c r="P76" s="222">
        <f>N76/'Test Year 2001 Sales and Revs.'!$F76</f>
        <v>6.569283783516372E-2</v>
      </c>
    </row>
    <row r="77" spans="1:16">
      <c r="A77" s="2" t="s">
        <v>60</v>
      </c>
      <c r="B77" s="15" t="s">
        <v>28</v>
      </c>
      <c r="C77" s="296">
        <f>'Test Year 2001 Sales and Revs.'!G77</f>
        <v>4615287.226467072</v>
      </c>
      <c r="D77" s="296">
        <f>'Test Year 2001 Sales and Revs.'!H77</f>
        <v>4615287.226467072</v>
      </c>
      <c r="E77" s="296">
        <f>SUM('Revenue Allocation'!E73:I73)</f>
        <v>2476153.6094811969</v>
      </c>
      <c r="F77" s="296"/>
      <c r="H77" s="296"/>
      <c r="I77" s="296"/>
      <c r="J77" s="296"/>
      <c r="K77" s="52">
        <f t="shared" si="12"/>
        <v>0</v>
      </c>
      <c r="L77" s="52">
        <f t="shared" si="13"/>
        <v>0</v>
      </c>
      <c r="M77" s="51">
        <f t="shared" si="14"/>
        <v>2139133.6169858752</v>
      </c>
      <c r="N77" s="51">
        <f t="shared" si="14"/>
        <v>2139133.6169858752</v>
      </c>
      <c r="O77" s="222">
        <f>M77/'Test Year 2001 Sales and Revs.'!$F77</f>
        <v>6.8611067001462051E-2</v>
      </c>
      <c r="P77" s="222">
        <f>N77/'Test Year 2001 Sales and Revs.'!$F77</f>
        <v>6.8611067001462051E-2</v>
      </c>
    </row>
    <row r="78" spans="1:16">
      <c r="A78" s="2" t="s">
        <v>61</v>
      </c>
      <c r="B78" s="15" t="s">
        <v>28</v>
      </c>
      <c r="C78" s="296">
        <f>'Test Year 2001 Sales and Revs.'!G78</f>
        <v>19414902.053558245</v>
      </c>
      <c r="D78" s="296">
        <f>'Test Year 2001 Sales and Revs.'!H78</f>
        <v>19414902.053558245</v>
      </c>
      <c r="E78" s="296">
        <f>SUM('Revenue Allocation'!E74:I74)</f>
        <v>10719650.878031828</v>
      </c>
      <c r="F78" s="296"/>
      <c r="H78" s="296"/>
      <c r="I78" s="296"/>
      <c r="J78" s="296"/>
      <c r="K78" s="52">
        <f t="shared" si="12"/>
        <v>0</v>
      </c>
      <c r="L78" s="52">
        <f t="shared" si="13"/>
        <v>0</v>
      </c>
      <c r="M78" s="51">
        <f t="shared" si="14"/>
        <v>8695251.1755264178</v>
      </c>
      <c r="N78" s="51">
        <f t="shared" si="14"/>
        <v>8695251.1755264178</v>
      </c>
      <c r="O78" s="222">
        <f>M78/'Test Year 2001 Sales and Revs.'!$F78</f>
        <v>6.3835987228549287E-2</v>
      </c>
      <c r="P78" s="222">
        <f>N78/'Test Year 2001 Sales and Revs.'!$F78</f>
        <v>6.3835987228549287E-2</v>
      </c>
    </row>
    <row r="79" spans="1:16">
      <c r="A79" s="2" t="s">
        <v>62</v>
      </c>
      <c r="B79" s="15" t="s">
        <v>28</v>
      </c>
      <c r="C79" s="296">
        <f>'Test Year 2001 Sales and Revs.'!G79</f>
        <v>9483825.3935847208</v>
      </c>
      <c r="D79" s="296">
        <f>'Test Year 2001 Sales and Revs.'!H79</f>
        <v>9483825.3935847208</v>
      </c>
      <c r="E79" s="296">
        <f>SUM('Revenue Allocation'!E75:I75)</f>
        <v>4556747.0829229886</v>
      </c>
      <c r="F79" s="296"/>
      <c r="H79" s="296"/>
      <c r="I79" s="296"/>
      <c r="J79" s="296"/>
      <c r="K79" s="52">
        <f t="shared" si="12"/>
        <v>0</v>
      </c>
      <c r="L79" s="52">
        <f t="shared" si="13"/>
        <v>0</v>
      </c>
      <c r="M79" s="51">
        <f t="shared" si="14"/>
        <v>4927078.3106617322</v>
      </c>
      <c r="N79" s="51">
        <f t="shared" si="14"/>
        <v>4927078.3106617322</v>
      </c>
      <c r="O79" s="222">
        <f>M79/'Test Year 2001 Sales and Revs.'!$F79</f>
        <v>5.8968908938392343E-2</v>
      </c>
      <c r="P79" s="222">
        <f>N79/'Test Year 2001 Sales and Revs.'!$F79</f>
        <v>5.8968908938392343E-2</v>
      </c>
    </row>
    <row r="80" spans="1:16">
      <c r="A80" s="2" t="s">
        <v>63</v>
      </c>
      <c r="B80" s="15"/>
      <c r="C80" s="296">
        <f>'Test Year 2001 Sales and Revs.'!G80</f>
        <v>40438630.76314076</v>
      </c>
      <c r="D80" s="296">
        <f>'Test Year 2001 Sales and Revs.'!H80</f>
        <v>40438630.76314076</v>
      </c>
      <c r="E80" s="296">
        <f>SUM('Revenue Allocation'!E76:I76)</f>
        <v>19671852.740278274</v>
      </c>
      <c r="F80" s="296"/>
      <c r="H80" s="296"/>
      <c r="I80" s="307"/>
      <c r="J80" s="380">
        <v>6534.3909740427052</v>
      </c>
      <c r="K80" s="52">
        <f t="shared" si="12"/>
        <v>-6534.3909740427052</v>
      </c>
      <c r="L80" s="52">
        <f t="shared" si="13"/>
        <v>-6534.3909740427052</v>
      </c>
      <c r="M80" s="51">
        <f t="shared" si="14"/>
        <v>20760243.631888445</v>
      </c>
      <c r="N80" s="51">
        <f t="shared" si="14"/>
        <v>20760243.631888445</v>
      </c>
      <c r="O80" s="222">
        <f>M80/'Test Year 2001 Sales and Revs.'!$F80</f>
        <v>8.3399163928727996E-2</v>
      </c>
      <c r="P80" s="222">
        <f>N80/'Test Year 2001 Sales and Revs.'!$F80</f>
        <v>8.3399163928727996E-2</v>
      </c>
    </row>
    <row r="81" spans="1:16">
      <c r="A81" s="2" t="s">
        <v>64</v>
      </c>
      <c r="B81" s="15" t="s">
        <v>28</v>
      </c>
      <c r="C81" s="296">
        <f>'Test Year 2001 Sales and Revs.'!G81</f>
        <v>3626446.40480184</v>
      </c>
      <c r="D81" s="296">
        <f>'Test Year 2001 Sales and Revs.'!H81</f>
        <v>3626446.40480184</v>
      </c>
      <c r="E81" s="296">
        <f>SUM('Revenue Allocation'!E77:I77)</f>
        <v>1661040.2365174603</v>
      </c>
      <c r="F81" s="296"/>
      <c r="H81" s="296"/>
      <c r="I81" s="307"/>
      <c r="J81" s="380">
        <v>775.5857070004846</v>
      </c>
      <c r="K81" s="52">
        <f t="shared" si="12"/>
        <v>-775.5857070004846</v>
      </c>
      <c r="L81" s="52">
        <f t="shared" si="13"/>
        <v>-775.5857070004846</v>
      </c>
      <c r="M81" s="51">
        <f t="shared" si="14"/>
        <v>1964630.5825773792</v>
      </c>
      <c r="N81" s="51">
        <f t="shared" si="14"/>
        <v>1964630.5825773792</v>
      </c>
      <c r="O81" s="222">
        <f>M81/'Test Year 2001 Sales and Revs.'!$F81</f>
        <v>7.622886705620073E-2</v>
      </c>
      <c r="P81" s="222">
        <f>N81/'Test Year 2001 Sales and Revs.'!$F81</f>
        <v>7.622886705620073E-2</v>
      </c>
    </row>
    <row r="82" spans="1:16">
      <c r="A82" s="2" t="s">
        <v>65</v>
      </c>
      <c r="B82" s="15" t="s">
        <v>28</v>
      </c>
      <c r="C82" s="296">
        <f>'Test Year 2001 Sales and Revs.'!G82</f>
        <v>2416368.2660997361</v>
      </c>
      <c r="D82" s="296">
        <f>'Test Year 2001 Sales and Revs.'!H82</f>
        <v>2416368.2660997361</v>
      </c>
      <c r="E82" s="296">
        <f>SUM('Revenue Allocation'!E78:I78)</f>
        <v>1148872.9930182719</v>
      </c>
      <c r="F82" s="296"/>
      <c r="H82" s="296"/>
      <c r="I82" s="307"/>
      <c r="J82" s="380">
        <v>273.88908098895502</v>
      </c>
      <c r="K82" s="52">
        <f t="shared" si="12"/>
        <v>-273.88908098895502</v>
      </c>
      <c r="L82" s="52">
        <f t="shared" si="13"/>
        <v>-273.88908098895502</v>
      </c>
      <c r="M82" s="51">
        <f t="shared" si="14"/>
        <v>1267221.3840004753</v>
      </c>
      <c r="N82" s="51">
        <f t="shared" si="14"/>
        <v>1267221.3840004753</v>
      </c>
      <c r="O82" s="222">
        <f>M82/'Test Year 2001 Sales and Revs.'!$F82</f>
        <v>6.9467582287187871E-2</v>
      </c>
      <c r="P82" s="222">
        <f>N82/'Test Year 2001 Sales and Revs.'!$F82</f>
        <v>6.9467582287187871E-2</v>
      </c>
    </row>
    <row r="83" spans="1:16">
      <c r="A83" s="2" t="s">
        <v>66</v>
      </c>
      <c r="B83" s="15" t="s">
        <v>28</v>
      </c>
      <c r="C83" s="296">
        <f>'Test Year 2001 Sales and Revs.'!G83</f>
        <v>48324506.124914974</v>
      </c>
      <c r="D83" s="296">
        <f>'Test Year 2001 Sales and Revs.'!H83</f>
        <v>48324506.124914974</v>
      </c>
      <c r="E83" s="296"/>
      <c r="F83" s="296"/>
      <c r="H83" s="296"/>
      <c r="I83" s="307"/>
      <c r="J83" s="380">
        <v>8885.4158053442516</v>
      </c>
      <c r="K83" s="307">
        <f t="shared" si="12"/>
        <v>-8885.4158053442516</v>
      </c>
      <c r="L83" s="307">
        <f t="shared" si="13"/>
        <v>-8885.4158053442516</v>
      </c>
    </row>
    <row r="84" spans="1:16">
      <c r="A84" s="2" t="s">
        <v>66</v>
      </c>
      <c r="B84" s="15" t="s">
        <v>27</v>
      </c>
      <c r="C84" s="296">
        <f>'Test Year 2001 Sales and Revs.'!G84</f>
        <v>35055</v>
      </c>
      <c r="D84" s="296">
        <f>'Test Year 2001 Sales and Revs.'!H84</f>
        <v>35055</v>
      </c>
      <c r="E84" s="296"/>
      <c r="F84" s="296"/>
      <c r="H84" s="296"/>
      <c r="I84" s="307"/>
      <c r="J84" s="307"/>
      <c r="K84" s="307">
        <f t="shared" si="12"/>
        <v>0</v>
      </c>
      <c r="L84" s="307">
        <f t="shared" si="13"/>
        <v>0</v>
      </c>
    </row>
    <row r="85" spans="1:16">
      <c r="A85" s="2" t="s">
        <v>67</v>
      </c>
      <c r="B85" s="15"/>
      <c r="C85" s="296">
        <f>'Test Year 2001 Sales and Revs.'!G85</f>
        <v>48359561.124914974</v>
      </c>
      <c r="D85" s="296">
        <f>'Test Year 2001 Sales and Revs.'!H85</f>
        <v>48359561.124914974</v>
      </c>
      <c r="E85" s="296">
        <f>SUM('Revenue Allocation'!E81:I81)</f>
        <v>21296789.508201394</v>
      </c>
      <c r="F85" s="296"/>
      <c r="H85" s="296"/>
      <c r="I85" s="307"/>
      <c r="J85" s="380">
        <f>J83</f>
        <v>8885.4158053442516</v>
      </c>
      <c r="K85" s="52">
        <f t="shared" si="12"/>
        <v>-8885.4158053442516</v>
      </c>
      <c r="L85" s="52">
        <f t="shared" si="13"/>
        <v>-8885.4158053442516</v>
      </c>
      <c r="M85" s="51">
        <f>$C85-$E85+K85</f>
        <v>27053886.200908236</v>
      </c>
      <c r="N85" s="51">
        <f>$C85-$E85+L85</f>
        <v>27053886.200908236</v>
      </c>
      <c r="O85" s="222">
        <f>M85/'Test Year 2001 Sales and Revs.'!$F85</f>
        <v>7.2100486810143943E-2</v>
      </c>
      <c r="P85" s="222">
        <f>N85/'Test Year 2001 Sales and Revs.'!$F85</f>
        <v>7.2100486810143943E-2</v>
      </c>
    </row>
    <row r="86" spans="1:16">
      <c r="A86" s="2" t="s">
        <v>68</v>
      </c>
      <c r="B86" s="15" t="s">
        <v>28</v>
      </c>
      <c r="C86" s="296">
        <f>'Test Year 2001 Sales and Revs.'!G86</f>
        <v>5123187.2002304737</v>
      </c>
      <c r="D86" s="296">
        <f>'Test Year 2001 Sales and Revs.'!H86</f>
        <v>5123187.2002304737</v>
      </c>
      <c r="E86" s="296">
        <f>SUM('Revenue Allocation'!E82:I82)</f>
        <v>2859738.073112377</v>
      </c>
      <c r="F86" s="296"/>
      <c r="H86" s="296"/>
      <c r="I86" s="307"/>
      <c r="J86" s="380">
        <v>2437.2316891944224</v>
      </c>
      <c r="K86" s="52">
        <f t="shared" si="12"/>
        <v>-2437.2316891944224</v>
      </c>
      <c r="L86" s="52">
        <f t="shared" si="13"/>
        <v>-2437.2316891944224</v>
      </c>
      <c r="M86" s="51">
        <f>$C86-$E86+K86</f>
        <v>2261011.8954289025</v>
      </c>
      <c r="N86" s="51">
        <f>$C86-$E86+L86</f>
        <v>2261011.8954289025</v>
      </c>
      <c r="O86" s="222">
        <f>M86/'Test Year 2001 Sales and Revs.'!$F86</f>
        <v>6.0369453650478466E-2</v>
      </c>
      <c r="P86" s="222">
        <f>N86/'Test Year 2001 Sales and Revs.'!$F86</f>
        <v>6.0369453650478466E-2</v>
      </c>
    </row>
    <row r="87" spans="1:16">
      <c r="A87" s="2" t="s">
        <v>69</v>
      </c>
      <c r="B87" s="15" t="s">
        <v>28</v>
      </c>
      <c r="C87" s="296">
        <f>'Test Year 2001 Sales and Revs.'!G87</f>
        <v>0</v>
      </c>
      <c r="D87" s="296">
        <f>'Test Year 2001 Sales and Revs.'!H87</f>
        <v>0</v>
      </c>
      <c r="E87" s="296"/>
      <c r="F87" s="296"/>
      <c r="H87" s="296"/>
      <c r="I87" s="307"/>
      <c r="J87" s="380">
        <v>171079.18441672498</v>
      </c>
      <c r="K87" s="307">
        <f t="shared" si="12"/>
        <v>-171079.18441672498</v>
      </c>
      <c r="L87" s="307">
        <f t="shared" si="13"/>
        <v>-171079.18441672498</v>
      </c>
    </row>
    <row r="88" spans="1:16">
      <c r="A88" s="2" t="s">
        <v>69</v>
      </c>
      <c r="B88" s="41" t="s">
        <v>27</v>
      </c>
      <c r="C88" s="296">
        <f>'Test Year 2001 Sales and Revs.'!G88</f>
        <v>0</v>
      </c>
      <c r="D88" s="296">
        <f>'Test Year 2001 Sales and Revs.'!H88</f>
        <v>0</v>
      </c>
      <c r="E88" s="296"/>
      <c r="F88" s="296"/>
      <c r="H88" s="296"/>
      <c r="I88" s="307"/>
      <c r="J88" s="380"/>
      <c r="K88" s="307">
        <f t="shared" si="12"/>
        <v>0</v>
      </c>
      <c r="L88" s="307">
        <f t="shared" si="13"/>
        <v>0</v>
      </c>
    </row>
    <row r="89" spans="1:16">
      <c r="A89" s="2" t="s">
        <v>70</v>
      </c>
      <c r="B89" s="41"/>
      <c r="C89" s="296">
        <f>'Test Year 2001 Sales and Revs.'!G89</f>
        <v>184183076.65318903</v>
      </c>
      <c r="D89" s="296">
        <f>'Test Year 2001 Sales and Revs.'!H89</f>
        <v>184183076.65318903</v>
      </c>
      <c r="E89" s="296">
        <f>SUM('Revenue Allocation'!E86:I86)</f>
        <v>82384350.281669289</v>
      </c>
      <c r="F89" s="296"/>
      <c r="H89" s="296"/>
      <c r="I89" s="307"/>
      <c r="J89" s="380">
        <f>J87</f>
        <v>171079.18441672498</v>
      </c>
      <c r="K89" s="52">
        <f t="shared" si="12"/>
        <v>-171079.18441672498</v>
      </c>
      <c r="L89" s="52">
        <f t="shared" si="13"/>
        <v>-171079.18441672498</v>
      </c>
      <c r="M89" s="51">
        <f>$C89-$E89+K89</f>
        <v>101627647.18710302</v>
      </c>
      <c r="N89" s="51">
        <f>$C89-$E89+L89</f>
        <v>101627647.18710302</v>
      </c>
      <c r="O89" s="222">
        <f>M89/'Test Year 2001 Sales and Revs.'!$F89</f>
        <v>4.8359284101297986E-2</v>
      </c>
      <c r="P89" s="222">
        <f>N89/'Test Year 2001 Sales and Revs.'!$F89</f>
        <v>4.8359284101297986E-2</v>
      </c>
    </row>
    <row r="90" spans="1:16">
      <c r="A90" s="2" t="s">
        <v>71</v>
      </c>
      <c r="B90" s="7"/>
      <c r="C90" s="297">
        <f>'Test Year 2001 Sales and Revs.'!G90</f>
        <v>13473184.515866976</v>
      </c>
      <c r="D90" s="297">
        <f>'Test Year 2001 Sales and Revs.'!H90</f>
        <v>13473184.515866976</v>
      </c>
      <c r="E90" s="297">
        <f>SUM('Revenue Allocation'!E87:I87)</f>
        <v>6039435.2954160012</v>
      </c>
      <c r="F90" s="297"/>
      <c r="G90" s="226"/>
      <c r="H90" s="297"/>
      <c r="I90" s="308"/>
      <c r="J90" s="379">
        <v>5502.3546971431033</v>
      </c>
      <c r="K90" s="226">
        <f t="shared" si="12"/>
        <v>-5502.3546971431033</v>
      </c>
      <c r="L90" s="226">
        <f t="shared" si="13"/>
        <v>-5502.3546971431033</v>
      </c>
      <c r="M90" s="226">
        <f>$C90-$E90+K90</f>
        <v>7428246.8657538323</v>
      </c>
      <c r="N90" s="226">
        <f>$C90-$E90+L90</f>
        <v>7428246.8657538323</v>
      </c>
      <c r="O90" s="222">
        <f>M90/'Test Year 2001 Sales and Revs.'!$F90</f>
        <v>4.7520719658277706E-2</v>
      </c>
      <c r="P90" s="222">
        <f>N90/'Test Year 2001 Sales and Revs.'!$F90</f>
        <v>4.7520719658277706E-2</v>
      </c>
    </row>
    <row r="91" spans="1:16">
      <c r="A91" s="3"/>
      <c r="B91" s="15"/>
    </row>
    <row r="92" spans="1:16">
      <c r="A92" s="2" t="s">
        <v>72</v>
      </c>
      <c r="B92" s="15"/>
      <c r="C92" s="23">
        <f>SUM(C75:C79)</f>
        <v>75725715.61011529</v>
      </c>
      <c r="D92" s="23">
        <f>SUM(D75:D79)</f>
        <v>75725715.61011529</v>
      </c>
      <c r="E92" s="23">
        <f>SUM(E75:E79)</f>
        <v>42201347.179909445</v>
      </c>
      <c r="F92" s="23"/>
      <c r="G92" s="366"/>
      <c r="H92" s="23"/>
      <c r="I92" s="23"/>
      <c r="J92" s="23">
        <f>SUM(J75:J79)</f>
        <v>0</v>
      </c>
      <c r="K92" s="23">
        <f>-H92+I92-J92</f>
        <v>0</v>
      </c>
      <c r="L92" s="23">
        <f>K92-G92-F92</f>
        <v>0</v>
      </c>
      <c r="M92" s="226">
        <f>$C92-$E92+K92</f>
        <v>33524368.430205844</v>
      </c>
      <c r="N92" s="23">
        <f>$C92-$E92+L92</f>
        <v>33524368.430205844</v>
      </c>
      <c r="O92" s="222">
        <f>M92/'Test Year 2001 Sales and Revs.'!$F92</f>
        <v>7.296996237065588E-2</v>
      </c>
      <c r="P92" s="222">
        <f>N92/'Test Year 2001 Sales and Revs.'!$F92</f>
        <v>7.296996237065588E-2</v>
      </c>
    </row>
    <row r="93" spans="1:16">
      <c r="A93" s="2" t="s">
        <v>73</v>
      </c>
      <c r="B93" s="15"/>
      <c r="C93" s="298">
        <f>SUM(C80:C84,C86:C86,C89,C90)</f>
        <v>297620454.92824382</v>
      </c>
      <c r="D93" s="298">
        <f>SUM(D80:D84,D86:D86,D89,D90)</f>
        <v>297620454.92824382</v>
      </c>
      <c r="E93" s="298">
        <f>SUM(E80:E90)</f>
        <v>135062079.12821308</v>
      </c>
      <c r="F93" s="298"/>
      <c r="G93" s="367"/>
      <c r="H93" s="298"/>
      <c r="I93" s="298"/>
      <c r="J93" s="298">
        <f>SUM(J80:J84,,J86:J88,J90)</f>
        <v>195488.05237043891</v>
      </c>
      <c r="K93" s="298">
        <f>-H93+I93-J93</f>
        <v>-195488.05237043891</v>
      </c>
      <c r="L93" s="298">
        <f>K93-G93-F93</f>
        <v>-195488.05237043891</v>
      </c>
      <c r="M93" s="226">
        <f>$C93-$E93+K93</f>
        <v>162362887.74766031</v>
      </c>
      <c r="N93" s="298">
        <f>$C93-$E93+L93</f>
        <v>162362887.74766031</v>
      </c>
      <c r="O93" s="222">
        <f>M93/'Test Year 2001 Sales and Revs.'!$F93</f>
        <v>5.4788519842865792E-2</v>
      </c>
      <c r="P93" s="222">
        <f>N93/'Test Year 2001 Sales and Revs.'!$F93</f>
        <v>5.4788519842865792E-2</v>
      </c>
    </row>
    <row r="94" spans="1:16">
      <c r="A94" s="3" t="s">
        <v>74</v>
      </c>
      <c r="B94" s="1"/>
      <c r="C94" s="18">
        <f>SUM(C92:C93)</f>
        <v>373346170.53835911</v>
      </c>
      <c r="D94" s="18">
        <f>SUM(D92:D93)</f>
        <v>373346170.53835911</v>
      </c>
      <c r="E94" s="18">
        <f>SUM(E92:E93)</f>
        <v>177263426.30812252</v>
      </c>
      <c r="F94" s="18"/>
      <c r="G94" s="26"/>
      <c r="H94" s="18"/>
      <c r="I94" s="18"/>
      <c r="J94" s="18">
        <f>SUM(J92:J93)</f>
        <v>195488.05237043891</v>
      </c>
      <c r="K94" s="18">
        <f>SUM(K92:K93)</f>
        <v>-195488.05237043891</v>
      </c>
      <c r="L94" s="18">
        <f>SUM(L92:L93)</f>
        <v>-195488.05237043891</v>
      </c>
      <c r="M94" s="18">
        <f>SUM(M92:M93)</f>
        <v>195887256.17786616</v>
      </c>
      <c r="N94" s="18">
        <f>SUM(N92:N93)</f>
        <v>195887256.17786616</v>
      </c>
      <c r="O94" s="222">
        <f>M94/'Test Year 2001 Sales and Revs.'!$F94</f>
        <v>5.7228879752292947E-2</v>
      </c>
      <c r="P94" s="222">
        <f>N94/'Test Year 2001 Sales and Revs.'!$F94</f>
        <v>5.7228879752292947E-2</v>
      </c>
    </row>
    <row r="95" spans="1:16">
      <c r="A95" s="3"/>
      <c r="B95" s="15"/>
    </row>
    <row r="96" spans="1:16">
      <c r="A96" s="3" t="s">
        <v>75</v>
      </c>
      <c r="B96" s="1"/>
    </row>
    <row r="97" spans="1:16">
      <c r="A97" s="2" t="s">
        <v>76</v>
      </c>
      <c r="B97" s="1" t="s">
        <v>21</v>
      </c>
      <c r="C97" s="296">
        <f>'Test Year 2001 Sales and Revs.'!G97</f>
        <v>210910807.63365865</v>
      </c>
      <c r="D97" s="296">
        <f>'Test Year 2001 Sales and Revs.'!H97</f>
        <v>210910807.63365865</v>
      </c>
      <c r="E97" s="296">
        <f>SUM('Revenue Allocation'!E93:I93)</f>
        <v>36706668.076845191</v>
      </c>
      <c r="F97" s="296"/>
      <c r="H97" s="296"/>
      <c r="I97" s="380">
        <v>17613687.713337954</v>
      </c>
      <c r="J97" s="380">
        <v>-249967.77885359005</v>
      </c>
      <c r="K97" s="52">
        <f>-H97+I97-J97</f>
        <v>17863655.492191546</v>
      </c>
      <c r="L97" s="52">
        <f>K97-G97-F97</f>
        <v>17863655.492191546</v>
      </c>
      <c r="M97" s="52">
        <f>$C97-$E97+K97</f>
        <v>192067795.049005</v>
      </c>
      <c r="N97" s="51">
        <f>$C97-$E97+L97</f>
        <v>192067795.049005</v>
      </c>
      <c r="O97" s="222">
        <f>M97/'Test Year 2001 Sales and Revs.'!$F97</f>
        <v>4.7107277483033103E-2</v>
      </c>
      <c r="P97" s="222">
        <f>N97/'Test Year 2001 Sales and Revs.'!$F97</f>
        <v>4.7107277483033103E-2</v>
      </c>
    </row>
    <row r="98" spans="1:16">
      <c r="A98" s="2" t="s">
        <v>44</v>
      </c>
      <c r="B98" s="1" t="s">
        <v>21</v>
      </c>
      <c r="C98" s="297">
        <f>'Test Year 2001 Sales and Revs.'!G98</f>
        <v>119756012.11419216</v>
      </c>
      <c r="D98" s="297">
        <f>'Test Year 2001 Sales and Revs.'!H98</f>
        <v>119756012.11419216</v>
      </c>
      <c r="E98" s="297">
        <f>SUM('Revenue Allocation'!E94:I94)</f>
        <v>25318790.000564344</v>
      </c>
      <c r="F98" s="297"/>
      <c r="G98" s="226"/>
      <c r="H98" s="297">
        <f>'Test Year 2001 Sales and Revs.'!L98</f>
        <v>-31857082.911334433</v>
      </c>
      <c r="I98" s="379">
        <v>12808317.066248972</v>
      </c>
      <c r="J98" s="379">
        <v>222680.45521403884</v>
      </c>
      <c r="K98" s="226">
        <f>-H98+I98-J98</f>
        <v>44442719.52236937</v>
      </c>
      <c r="L98" s="226">
        <f>K98-G98-F98</f>
        <v>44442719.52236937</v>
      </c>
      <c r="M98" s="226">
        <f>$C98-$E98+K98</f>
        <v>138879941.63599718</v>
      </c>
      <c r="N98" s="226">
        <f>$C98-$E98+L98</f>
        <v>138879941.63599718</v>
      </c>
      <c r="O98" s="222">
        <f>M98/'Test Year 2001 Sales and Revs.'!$F98</f>
        <v>4.6841544034575647E-2</v>
      </c>
      <c r="P98" s="222">
        <f>N98/'Test Year 2001 Sales and Revs.'!$F98</f>
        <v>4.6841544034575647E-2</v>
      </c>
    </row>
    <row r="99" spans="1:16">
      <c r="A99" s="3" t="s">
        <v>77</v>
      </c>
      <c r="B99" s="1"/>
      <c r="C99" s="51">
        <f>SUM(C97:C98)</f>
        <v>330666819.74785078</v>
      </c>
      <c r="D99" s="51">
        <f>SUM(D97:D98)</f>
        <v>330666819.74785078</v>
      </c>
      <c r="E99" s="51">
        <f>SUM(E97:E98)</f>
        <v>62025458.077409536</v>
      </c>
      <c r="H99" s="51">
        <f>H98</f>
        <v>-31857082.911334433</v>
      </c>
      <c r="I99" s="51">
        <f t="shared" ref="I99:N99" si="15">SUM(I97:I98)</f>
        <v>30422004.779586926</v>
      </c>
      <c r="J99" s="51">
        <f t="shared" si="15"/>
        <v>-27287.323639551207</v>
      </c>
      <c r="K99" s="51">
        <f>SUM(K97:K98)</f>
        <v>62306375.014560916</v>
      </c>
      <c r="L99" s="51">
        <f>SUM(L97:L98)</f>
        <v>62306375.014560916</v>
      </c>
      <c r="M99" s="51">
        <f t="shared" si="15"/>
        <v>330947736.68500221</v>
      </c>
      <c r="N99" s="51">
        <f t="shared" si="15"/>
        <v>330947736.68500221</v>
      </c>
      <c r="O99" s="222">
        <f>M99/'Test Year 2001 Sales and Revs.'!$F99</f>
        <v>4.6995397996864773E-2</v>
      </c>
      <c r="P99" s="222">
        <f>N99/'Test Year 2001 Sales and Revs.'!$F99</f>
        <v>4.6995397996864773E-2</v>
      </c>
    </row>
    <row r="100" spans="1:16">
      <c r="A100" s="3"/>
      <c r="B100" s="15"/>
    </row>
    <row r="101" spans="1:16">
      <c r="A101" s="3" t="s">
        <v>78</v>
      </c>
      <c r="B101" s="1" t="s">
        <v>27</v>
      </c>
      <c r="C101" s="296">
        <f>'Test Year 2001 Sales and Revs.'!G101</f>
        <v>362915721.76694965</v>
      </c>
      <c r="D101" s="296">
        <f>'Test Year 2001 Sales and Revs.'!H101</f>
        <v>362915721.76694965</v>
      </c>
      <c r="E101" s="296">
        <f>SUM('Revenue Allocation'!E97:I97)</f>
        <v>95187701.994124711</v>
      </c>
      <c r="F101" s="296"/>
      <c r="H101" s="296"/>
      <c r="I101" s="380">
        <v>22512800.4652205</v>
      </c>
      <c r="J101" s="380">
        <v>281835.02451205836</v>
      </c>
      <c r="K101" s="52">
        <f>-H101+I101-J101</f>
        <v>22230965.44070844</v>
      </c>
      <c r="L101" s="52">
        <f>K101-G101-F101</f>
        <v>22230965.44070844</v>
      </c>
      <c r="M101" s="52">
        <f>$C101-$E101+K101</f>
        <v>289958985.2135334</v>
      </c>
      <c r="N101" s="51">
        <f>$C101-$E101+L101</f>
        <v>289958985.2135334</v>
      </c>
      <c r="O101" s="222">
        <f>M101/'Test Year 2001 Sales and Revs.'!$F101</f>
        <v>5.564047076495935E-2</v>
      </c>
      <c r="P101" s="222">
        <f>N101/'Test Year 2001 Sales and Revs.'!$F101</f>
        <v>5.564047076495935E-2</v>
      </c>
    </row>
    <row r="102" spans="1:16">
      <c r="A102" s="2" t="s">
        <v>44</v>
      </c>
      <c r="B102" s="1" t="s">
        <v>27</v>
      </c>
      <c r="C102" s="297">
        <f>'Test Year 2001 Sales and Revs.'!G102</f>
        <v>62043108.647790752</v>
      </c>
      <c r="D102" s="297">
        <f>'Test Year 2001 Sales and Revs.'!H102</f>
        <v>62043108.647790752</v>
      </c>
      <c r="E102" s="297">
        <f>SUM('Revenue Allocation'!E98:I98)</f>
        <v>19553482.973028414</v>
      </c>
      <c r="F102" s="297"/>
      <c r="G102" s="226"/>
      <c r="H102" s="297">
        <f>'Test Year 2001 Sales and Revs.'!L102</f>
        <v>-12572660.410334589</v>
      </c>
      <c r="I102" s="379">
        <v>4534486.9962828914</v>
      </c>
      <c r="J102" s="379">
        <v>129007.67533646016</v>
      </c>
      <c r="K102" s="226">
        <f>-H102+I102-J102</f>
        <v>16978139.73128102</v>
      </c>
      <c r="L102" s="226">
        <f>K102-G102-F102</f>
        <v>16978139.73128102</v>
      </c>
      <c r="M102" s="226">
        <f>$C102-$E102+K102</f>
        <v>59467765.406043358</v>
      </c>
      <c r="N102" s="226">
        <f>$C102-$E102+L102</f>
        <v>59467765.406043358</v>
      </c>
      <c r="O102" s="222">
        <f>M102/'Test Year 2001 Sales and Revs.'!$F102</f>
        <v>5.6654864544699243E-2</v>
      </c>
      <c r="P102" s="222">
        <f>N102/'Test Year 2001 Sales and Revs.'!$F102</f>
        <v>5.6654864544699243E-2</v>
      </c>
    </row>
    <row r="103" spans="1:16">
      <c r="A103" s="3" t="s">
        <v>79</v>
      </c>
      <c r="B103" s="1"/>
      <c r="C103" s="51">
        <f>SUM(C101:C102)</f>
        <v>424958830.41474038</v>
      </c>
      <c r="D103" s="51">
        <f>SUM(D101:D102)</f>
        <v>424958830.41474038</v>
      </c>
      <c r="E103" s="51">
        <f>SUM(E101:E102)</f>
        <v>114741184.96715313</v>
      </c>
      <c r="H103" s="51">
        <f>H102</f>
        <v>-12572660.410334589</v>
      </c>
      <c r="I103" s="51">
        <f t="shared" ref="I103:N103" si="16">SUM(I101:I102)</f>
        <v>27047287.46150339</v>
      </c>
      <c r="J103" s="51">
        <f t="shared" si="16"/>
        <v>410842.69984851853</v>
      </c>
      <c r="K103" s="51">
        <f>SUM(K101:K102)</f>
        <v>39209105.171989456</v>
      </c>
      <c r="L103" s="51">
        <f>SUM(L101:L102)</f>
        <v>39209105.171989456</v>
      </c>
      <c r="M103" s="51">
        <f t="shared" si="16"/>
        <v>349426750.61957675</v>
      </c>
      <c r="N103" s="51">
        <f t="shared" si="16"/>
        <v>349426750.61957675</v>
      </c>
      <c r="O103" s="222">
        <f>M103/'Test Year 2001 Sales and Revs.'!$F103</f>
        <v>5.5810534229175035E-2</v>
      </c>
      <c r="P103" s="222">
        <f>N103/'Test Year 2001 Sales and Revs.'!$F103</f>
        <v>5.5810534229175035E-2</v>
      </c>
    </row>
    <row r="104" spans="1:16">
      <c r="B104" s="15"/>
      <c r="M104" s="51"/>
      <c r="N104" s="51"/>
    </row>
    <row r="105" spans="1:16">
      <c r="A105" s="3" t="s">
        <v>78</v>
      </c>
      <c r="B105" s="1" t="s">
        <v>28</v>
      </c>
      <c r="C105" s="296">
        <f>'Test Year 2001 Sales and Revs.'!G105</f>
        <v>250994553.9026736</v>
      </c>
      <c r="D105" s="296">
        <f>'Test Year 2001 Sales and Revs.'!H105</f>
        <v>250994553.9026736</v>
      </c>
      <c r="E105" s="296">
        <f>SUM('Revenue Allocation'!E101:I101)</f>
        <v>83126725.081667125</v>
      </c>
      <c r="F105" s="296"/>
      <c r="H105" s="296"/>
      <c r="I105" s="380">
        <v>13069454.882106993</v>
      </c>
      <c r="J105" s="380">
        <v>49786.693798148423</v>
      </c>
      <c r="K105" s="52">
        <f>-H105+I105-J105</f>
        <v>13019668.188308844</v>
      </c>
      <c r="L105" s="52">
        <f>K105-G105-F105</f>
        <v>13019668.188308844</v>
      </c>
      <c r="M105" s="52">
        <f>$C105-$E105+K105</f>
        <v>180887497.00931531</v>
      </c>
      <c r="N105" s="51">
        <f>$C105-$E105+L105</f>
        <v>180887497.00931531</v>
      </c>
      <c r="O105" s="222">
        <f>M105/'Test Year 2001 Sales and Revs.'!$F105</f>
        <v>5.9790863056582447E-2</v>
      </c>
      <c r="P105" s="222">
        <f>N105/'Test Year 2001 Sales and Revs.'!$F105</f>
        <v>5.9790863056582447E-2</v>
      </c>
    </row>
    <row r="106" spans="1:16">
      <c r="A106" s="2" t="s">
        <v>44</v>
      </c>
      <c r="B106" s="1" t="s">
        <v>28</v>
      </c>
      <c r="C106" s="297">
        <f>'Test Year 2001 Sales and Revs.'!G106</f>
        <v>11798288.744451225</v>
      </c>
      <c r="D106" s="297">
        <f>'Test Year 2001 Sales and Revs.'!H106</f>
        <v>11798288.744451225</v>
      </c>
      <c r="E106" s="297">
        <f>SUM('Revenue Allocation'!E102:I102)</f>
        <v>4607478.9984662496</v>
      </c>
      <c r="F106" s="297"/>
      <c r="G106" s="226"/>
      <c r="H106" s="297">
        <f>'Test Year 2001 Sales and Revs.'!L106</f>
        <v>-2049114.6382029529</v>
      </c>
      <c r="I106" s="379">
        <v>700947.41260689881</v>
      </c>
      <c r="J106" s="379">
        <v>44867.422228143485</v>
      </c>
      <c r="K106" s="226">
        <f>-H106+I106-J106</f>
        <v>2705194.6285817083</v>
      </c>
      <c r="L106" s="226">
        <f>K106-G106-F106</f>
        <v>2705194.6285817083</v>
      </c>
      <c r="M106" s="226">
        <f>$C106-$E106+K106</f>
        <v>9896004.3745666835</v>
      </c>
      <c r="N106" s="226">
        <f>$C106-$E106+L106</f>
        <v>9896004.3745666835</v>
      </c>
      <c r="O106" s="222">
        <f>M106/'Test Year 2001 Sales and Revs.'!$F106</f>
        <v>6.0989937517756825E-2</v>
      </c>
      <c r="P106" s="222">
        <f>N106/'Test Year 2001 Sales and Revs.'!$F106</f>
        <v>6.0989937517756825E-2</v>
      </c>
    </row>
    <row r="107" spans="1:16">
      <c r="A107" s="3" t="s">
        <v>80</v>
      </c>
      <c r="B107" s="1"/>
      <c r="C107" s="51">
        <f>SUM(C105:C106)</f>
        <v>262792842.64712483</v>
      </c>
      <c r="D107" s="51">
        <f>SUM(D105:D106)</f>
        <v>262792842.64712483</v>
      </c>
      <c r="E107" s="51">
        <f>SUM(E105:E106)</f>
        <v>87734204.080133379</v>
      </c>
      <c r="H107" s="51">
        <f>H106</f>
        <v>-2049114.6382029529</v>
      </c>
      <c r="I107" s="51">
        <f t="shared" ref="I107:N107" si="17">SUM(I105:I106)</f>
        <v>13770402.294713892</v>
      </c>
      <c r="J107" s="51">
        <f t="shared" si="17"/>
        <v>94654.116026291915</v>
      </c>
      <c r="K107" s="51">
        <f>SUM(K105:K106)</f>
        <v>15724862.816890553</v>
      </c>
      <c r="L107" s="51">
        <f>SUM(L105:L106)</f>
        <v>15724862.816890553</v>
      </c>
      <c r="M107" s="51">
        <f t="shared" si="17"/>
        <v>190783501.38388199</v>
      </c>
      <c r="N107" s="51">
        <f t="shared" si="17"/>
        <v>190783501.38388199</v>
      </c>
      <c r="O107" s="222">
        <f>M107/'Test Year 2001 Sales and Revs.'!$F107</f>
        <v>5.9851898901657638E-2</v>
      </c>
      <c r="P107" s="222">
        <f>N107/'Test Year 2001 Sales and Revs.'!$F107</f>
        <v>5.9851898901657638E-2</v>
      </c>
    </row>
    <row r="108" spans="1:16">
      <c r="A108" s="3"/>
      <c r="B108" s="15"/>
      <c r="M108" s="51"/>
      <c r="N108" s="51"/>
    </row>
    <row r="109" spans="1:16">
      <c r="A109" s="2" t="s">
        <v>81</v>
      </c>
      <c r="B109" s="1" t="s">
        <v>21</v>
      </c>
      <c r="C109" s="296">
        <f>'Test Year 2001 Sales and Revs.'!G109</f>
        <v>224444.92674049229</v>
      </c>
      <c r="D109" s="296">
        <f>'Test Year 2001 Sales and Revs.'!H109</f>
        <v>224444.92674049229</v>
      </c>
      <c r="E109" s="296">
        <f>SUM('Revenue Allocation'!E107:I107)</f>
        <v>45553.586932061444</v>
      </c>
      <c r="F109" s="296"/>
      <c r="H109" s="296"/>
      <c r="I109" s="380">
        <v>15033.6</v>
      </c>
      <c r="J109" s="296"/>
      <c r="K109" s="52">
        <f>-H109+I109-J109</f>
        <v>15033.6</v>
      </c>
      <c r="L109" s="52">
        <f>K109-G109-F109</f>
        <v>15033.6</v>
      </c>
      <c r="M109" s="51">
        <f>$C109-$E109+K109</f>
        <v>193924.93980843085</v>
      </c>
      <c r="N109" s="51">
        <f>$C109-$E109+L109</f>
        <v>193924.93980843085</v>
      </c>
      <c r="O109" s="222">
        <f>M109/'Test Year 2001 Sales and Revs.'!$F109</f>
        <v>5.5725557416215758E-2</v>
      </c>
      <c r="P109" s="222">
        <f>N109/'Test Year 2001 Sales and Revs.'!$F109</f>
        <v>5.5725557416215758E-2</v>
      </c>
    </row>
    <row r="110" spans="1:16">
      <c r="A110" s="2" t="s">
        <v>82</v>
      </c>
      <c r="B110" s="1" t="s">
        <v>28</v>
      </c>
      <c r="C110" s="297">
        <f>'Test Year 2001 Sales and Revs.'!G110</f>
        <v>25462163.43918119</v>
      </c>
      <c r="D110" s="297">
        <f>'Test Year 2001 Sales and Revs.'!H110</f>
        <v>25462163.43918119</v>
      </c>
      <c r="E110" s="297">
        <f>SUM('Revenue Allocation'!E108:I108)</f>
        <v>8243706.0328444997</v>
      </c>
      <c r="F110" s="297"/>
      <c r="G110" s="226"/>
      <c r="H110" s="297"/>
      <c r="I110" s="379">
        <v>1524587.5987200001</v>
      </c>
      <c r="J110" s="297"/>
      <c r="K110" s="226">
        <f>-H110+I110-J110</f>
        <v>1524587.5987200001</v>
      </c>
      <c r="L110" s="226">
        <f>K110-G110-F110</f>
        <v>1524587.5987200001</v>
      </c>
      <c r="M110" s="226">
        <f>$C110-$E110+K110</f>
        <v>18743045.00505669</v>
      </c>
      <c r="N110" s="226">
        <f>$C110-$E110+L110</f>
        <v>18743045.00505669</v>
      </c>
      <c r="O110" s="222">
        <f>M110/'Test Year 2001 Sales and Revs.'!$F110</f>
        <v>5.3109414303136766E-2</v>
      </c>
      <c r="P110" s="222">
        <f>N110/'Test Year 2001 Sales and Revs.'!$F110</f>
        <v>5.3109414303136766E-2</v>
      </c>
    </row>
    <row r="111" spans="1:16">
      <c r="A111" s="3" t="s">
        <v>83</v>
      </c>
      <c r="B111" s="15"/>
      <c r="C111" s="51">
        <f>SUM(C109:C110)</f>
        <v>25686608.365921684</v>
      </c>
      <c r="D111" s="51">
        <f>SUM(D109:D110)</f>
        <v>25686608.365921684</v>
      </c>
      <c r="E111" s="51">
        <f>SUM(E109:E110)</f>
        <v>8289259.6197765609</v>
      </c>
      <c r="I111" s="51">
        <f>SUM(I109:I110)</f>
        <v>1539621.1987200002</v>
      </c>
      <c r="K111" s="51">
        <f>SUM(K109:K110)</f>
        <v>1539621.1987200002</v>
      </c>
      <c r="L111" s="51">
        <f>SUM(L109:L110)</f>
        <v>1539621.1987200002</v>
      </c>
      <c r="M111" s="51">
        <f>SUM(M109:M110)</f>
        <v>18936969.944865122</v>
      </c>
      <c r="N111" s="51">
        <f>SUM(N109:N110)</f>
        <v>18936969.944865122</v>
      </c>
      <c r="O111" s="222">
        <f>M111/'Test Year 2001 Sales and Revs.'!$F111</f>
        <v>5.3134959579557668E-2</v>
      </c>
      <c r="P111" s="222">
        <f>N111/'Test Year 2001 Sales and Revs.'!$F111</f>
        <v>5.3134959579557668E-2</v>
      </c>
    </row>
    <row r="112" spans="1:16">
      <c r="A112" s="3"/>
      <c r="B112" s="15"/>
    </row>
    <row r="113" spans="1:16">
      <c r="A113" s="3" t="s">
        <v>84</v>
      </c>
      <c r="B113" s="15" t="s">
        <v>21</v>
      </c>
      <c r="C113" s="51">
        <f>C99+C109</f>
        <v>330891264.67459124</v>
      </c>
      <c r="D113" s="51">
        <f>D99+D109</f>
        <v>330891264.67459124</v>
      </c>
      <c r="E113" s="51">
        <f>E99+E109</f>
        <v>62071011.664341599</v>
      </c>
      <c r="H113" s="51">
        <f t="shared" ref="H113:N113" si="18">H99+H109</f>
        <v>-31857082.911334433</v>
      </c>
      <c r="I113" s="51">
        <f t="shared" si="18"/>
        <v>30437038.379586928</v>
      </c>
      <c r="J113" s="51">
        <f t="shared" si="18"/>
        <v>-27287.323639551207</v>
      </c>
      <c r="K113" s="51">
        <f>K99+K109</f>
        <v>62321408.614560917</v>
      </c>
      <c r="L113" s="51">
        <f>L99+L109</f>
        <v>62321408.614560917</v>
      </c>
      <c r="M113" s="51">
        <f t="shared" si="18"/>
        <v>331141661.62481064</v>
      </c>
      <c r="N113" s="51">
        <f t="shared" si="18"/>
        <v>331141661.62481064</v>
      </c>
      <c r="O113" s="222">
        <f>M113/'Test Year 2001 Sales and Revs.'!$F113</f>
        <v>4.6999710036788295E-2</v>
      </c>
      <c r="P113" s="222">
        <f>N113/'Test Year 2001 Sales and Revs.'!$F113</f>
        <v>4.6999710036788295E-2</v>
      </c>
    </row>
    <row r="114" spans="1:16">
      <c r="A114" s="3"/>
      <c r="B114" s="15" t="s">
        <v>27</v>
      </c>
      <c r="C114" s="51">
        <f>C103</f>
        <v>424958830.41474038</v>
      </c>
      <c r="D114" s="51">
        <f>D103</f>
        <v>424958830.41474038</v>
      </c>
      <c r="E114" s="51">
        <f>E103</f>
        <v>114741184.96715313</v>
      </c>
      <c r="H114" s="51">
        <f t="shared" ref="H114:N114" si="19">H103</f>
        <v>-12572660.410334589</v>
      </c>
      <c r="I114" s="51">
        <f t="shared" si="19"/>
        <v>27047287.46150339</v>
      </c>
      <c r="J114" s="51">
        <f t="shared" si="19"/>
        <v>410842.69984851853</v>
      </c>
      <c r="K114" s="51">
        <f>K103</f>
        <v>39209105.171989456</v>
      </c>
      <c r="L114" s="51">
        <f>L103</f>
        <v>39209105.171989456</v>
      </c>
      <c r="M114" s="51">
        <f t="shared" si="19"/>
        <v>349426750.61957675</v>
      </c>
      <c r="N114" s="51">
        <f t="shared" si="19"/>
        <v>349426750.61957675</v>
      </c>
      <c r="O114" s="222">
        <f>M114/'Test Year 2001 Sales and Revs.'!$F114</f>
        <v>5.5810534229175035E-2</v>
      </c>
      <c r="P114" s="222">
        <f>N114/'Test Year 2001 Sales and Revs.'!$F114</f>
        <v>5.5810534229175035E-2</v>
      </c>
    </row>
    <row r="115" spans="1:16">
      <c r="A115" s="3"/>
      <c r="B115" s="15" t="s">
        <v>28</v>
      </c>
      <c r="C115" s="226">
        <f>C107+C110</f>
        <v>288255006.08630604</v>
      </c>
      <c r="D115" s="226">
        <f>D107+D110</f>
        <v>288255006.08630604</v>
      </c>
      <c r="E115" s="226">
        <f>E107+E110</f>
        <v>95977910.112977877</v>
      </c>
      <c r="F115" s="226"/>
      <c r="G115" s="226"/>
      <c r="H115" s="226">
        <f t="shared" ref="H115:N115" si="20">H107+H110</f>
        <v>-2049114.6382029529</v>
      </c>
      <c r="I115" s="226">
        <f t="shared" si="20"/>
        <v>15294989.893433891</v>
      </c>
      <c r="J115" s="226">
        <f t="shared" si="20"/>
        <v>94654.116026291915</v>
      </c>
      <c r="K115" s="226">
        <f>K107+K110</f>
        <v>17249450.415610552</v>
      </c>
      <c r="L115" s="226">
        <f>L107+L110</f>
        <v>17249450.415610552</v>
      </c>
      <c r="M115" s="226">
        <f t="shared" si="20"/>
        <v>209526546.38893867</v>
      </c>
      <c r="N115" s="226">
        <f t="shared" si="20"/>
        <v>209526546.38893867</v>
      </c>
      <c r="O115" s="222">
        <f>M115/'Test Year 2001 Sales and Revs.'!$F115</f>
        <v>5.9179815528272832E-2</v>
      </c>
      <c r="P115" s="222">
        <f>N115/'Test Year 2001 Sales and Revs.'!$F115</f>
        <v>5.9179815528272832E-2</v>
      </c>
    </row>
    <row r="116" spans="1:16">
      <c r="A116" s="3" t="s">
        <v>84</v>
      </c>
      <c r="B116" s="15"/>
      <c r="C116" s="51">
        <f>SUM(C113:C115)</f>
        <v>1044105101.1756377</v>
      </c>
      <c r="D116" s="51">
        <f>SUM(D113:D115)</f>
        <v>1044105101.1756377</v>
      </c>
      <c r="E116" s="51">
        <f>SUM(E113:E115)</f>
        <v>272790106.74447262</v>
      </c>
      <c r="H116" s="51">
        <f t="shared" ref="H116:N116" si="21">SUM(H113:H115)</f>
        <v>-46478857.95987197</v>
      </c>
      <c r="I116" s="51">
        <f t="shared" si="21"/>
        <v>72779315.73452422</v>
      </c>
      <c r="J116" s="51">
        <f t="shared" si="21"/>
        <v>478209.49223525921</v>
      </c>
      <c r="K116" s="51">
        <f>SUM(K113:K115)</f>
        <v>118779964.20216092</v>
      </c>
      <c r="L116" s="51">
        <f>SUM(L113:L115)</f>
        <v>118779964.20216092</v>
      </c>
      <c r="M116" s="51">
        <f t="shared" si="21"/>
        <v>890094958.63332605</v>
      </c>
      <c r="N116" s="51">
        <f t="shared" si="21"/>
        <v>890094958.63332605</v>
      </c>
      <c r="O116" s="222">
        <f>M116/'Test Year 2001 Sales and Revs.'!$F116</f>
        <v>5.2833833108874954E-2</v>
      </c>
      <c r="P116" s="222">
        <f>N116/'Test Year 2001 Sales and Revs.'!$F116</f>
        <v>5.2833833108874954E-2</v>
      </c>
    </row>
    <row r="117" spans="1:16">
      <c r="A117" s="3"/>
      <c r="B117" s="15"/>
    </row>
    <row r="118" spans="1:16">
      <c r="A118" s="3" t="s">
        <v>85</v>
      </c>
      <c r="B118" s="1" t="s">
        <v>21</v>
      </c>
      <c r="C118" s="296">
        <f>'Test Year 2001 Sales and Revs.'!G118</f>
        <v>17626446.149999999</v>
      </c>
      <c r="D118" s="296">
        <f>'Test Year 2001 Sales and Revs.'!H118</f>
        <v>17626446.149999999</v>
      </c>
      <c r="E118" s="296">
        <f>SUM('Revenue Allocation'!E116:I116)</f>
        <v>3151700.038726652</v>
      </c>
      <c r="F118" s="296"/>
      <c r="H118" s="296"/>
      <c r="I118" s="296"/>
      <c r="J118" s="296"/>
      <c r="K118" s="52">
        <f>-H118+I118-J118</f>
        <v>0</v>
      </c>
      <c r="L118" s="52">
        <f>K118-G118-F118</f>
        <v>0</v>
      </c>
      <c r="M118" s="51">
        <f>$C118-$E118+K118</f>
        <v>14474746.111273346</v>
      </c>
      <c r="N118" s="51">
        <f>$C118-$E118+L118</f>
        <v>14474746.111273346</v>
      </c>
      <c r="O118" s="222">
        <f>M118/'Test Year 2001 Sales and Revs.'!$F118</f>
        <v>4.0336705544613168E-2</v>
      </c>
      <c r="P118" s="222">
        <f>N118/'Test Year 2001 Sales and Revs.'!$F118</f>
        <v>4.0336705544613168E-2</v>
      </c>
    </row>
    <row r="119" spans="1:16">
      <c r="A119" s="3"/>
      <c r="B119" s="1" t="s">
        <v>27</v>
      </c>
      <c r="E119" s="296">
        <f>SUM('Revenue Allocation'!E117:I117)</f>
        <v>0</v>
      </c>
      <c r="K119" s="51">
        <f>-H119+I119-J119</f>
        <v>0</v>
      </c>
      <c r="L119" s="51">
        <f>K119-G119-F119</f>
        <v>0</v>
      </c>
      <c r="M119" s="51">
        <f>D119-E119-H119</f>
        <v>0</v>
      </c>
      <c r="N119" s="51">
        <f>C119+F119-E119-H119</f>
        <v>0</v>
      </c>
    </row>
    <row r="120" spans="1:16">
      <c r="A120" s="3"/>
      <c r="B120" s="1" t="s">
        <v>28</v>
      </c>
      <c r="C120" s="297">
        <f>'Test Year 2001 Sales and Revs.'!G120</f>
        <v>1782797.25</v>
      </c>
      <c r="D120" s="297">
        <f>'Test Year 2001 Sales and Revs.'!H120</f>
        <v>1782797.25</v>
      </c>
      <c r="E120" s="297">
        <f>SUM('Revenue Allocation'!E118:I118)</f>
        <v>787360.94210424274</v>
      </c>
      <c r="F120" s="297"/>
      <c r="G120" s="226"/>
      <c r="H120" s="297"/>
      <c r="I120" s="297"/>
      <c r="J120" s="297"/>
      <c r="K120" s="226">
        <f>-H120+I120-J120</f>
        <v>0</v>
      </c>
      <c r="L120" s="226">
        <f>K120-G120-F120</f>
        <v>0</v>
      </c>
      <c r="M120" s="226">
        <f>$C120-$E120+K120</f>
        <v>995436.30789575726</v>
      </c>
      <c r="N120" s="226">
        <f>$C120-$E120+L120</f>
        <v>995436.30789575726</v>
      </c>
      <c r="O120" s="222">
        <f>M120/'Test Year 2001 Sales and Revs.'!$F120</f>
        <v>3.4885147378791052E-2</v>
      </c>
      <c r="P120" s="222">
        <f>N120/'Test Year 2001 Sales and Revs.'!$F120</f>
        <v>3.4885147378791052E-2</v>
      </c>
    </row>
    <row r="121" spans="1:16">
      <c r="A121" s="3" t="s">
        <v>86</v>
      </c>
      <c r="B121" s="15"/>
      <c r="C121" s="51">
        <f>SUM(C118:C120)</f>
        <v>19409243.399999999</v>
      </c>
      <c r="D121" s="51">
        <f>SUM(D118:D120)</f>
        <v>19409243.399999999</v>
      </c>
      <c r="E121" s="51">
        <f>SUM(E118:E120)</f>
        <v>3939060.9808308948</v>
      </c>
      <c r="K121" s="51">
        <f>SUM(K118:K120)</f>
        <v>0</v>
      </c>
      <c r="L121" s="51">
        <f>SUM(L118:L120)</f>
        <v>0</v>
      </c>
      <c r="M121" s="51">
        <f>SUM(M118:M120)</f>
        <v>15470182.419169104</v>
      </c>
      <c r="N121" s="51">
        <f>SUM(N118:N120)</f>
        <v>15470182.419169104</v>
      </c>
      <c r="O121" s="222">
        <f>M121/'Test Year 2001 Sales and Revs.'!$F121</f>
        <v>3.9935142838032824E-2</v>
      </c>
      <c r="P121" s="222">
        <f>N121/'Test Year 2001 Sales and Revs.'!$F121</f>
        <v>3.9935142838032824E-2</v>
      </c>
    </row>
    <row r="122" spans="1:16">
      <c r="A122" s="3"/>
      <c r="B122" s="15"/>
    </row>
    <row r="123" spans="1:16">
      <c r="A123" s="3" t="s">
        <v>87</v>
      </c>
      <c r="B123" s="15" t="s">
        <v>21</v>
      </c>
      <c r="C123" s="23">
        <f t="shared" ref="C123:D125" si="22">C118+C113</f>
        <v>348517710.82459122</v>
      </c>
      <c r="D123" s="23">
        <f t="shared" si="22"/>
        <v>348517710.82459122</v>
      </c>
      <c r="E123" s="23">
        <f>E118+E113</f>
        <v>65222711.703068249</v>
      </c>
      <c r="F123" s="23"/>
      <c r="G123" s="366"/>
      <c r="H123" s="23">
        <f t="shared" ref="H123:N125" si="23">H118+H113</f>
        <v>-31857082.911334433</v>
      </c>
      <c r="I123" s="23">
        <f t="shared" si="23"/>
        <v>30437038.379586928</v>
      </c>
      <c r="J123" s="23">
        <f t="shared" si="23"/>
        <v>-27287.323639551207</v>
      </c>
      <c r="K123" s="23">
        <f t="shared" ref="K123:L125" si="24">K118+K113</f>
        <v>62321408.614560917</v>
      </c>
      <c r="L123" s="23">
        <f t="shared" si="24"/>
        <v>62321408.614560917</v>
      </c>
      <c r="M123" s="23">
        <f t="shared" si="23"/>
        <v>345616407.73608398</v>
      </c>
      <c r="N123" s="23">
        <f t="shared" si="23"/>
        <v>345616407.73608398</v>
      </c>
      <c r="O123" s="222">
        <f>M123/'Test Year 2001 Sales and Revs.'!$F123</f>
        <v>4.667679570621365E-2</v>
      </c>
      <c r="P123" s="222">
        <f>N123/'Test Year 2001 Sales and Revs.'!$F123</f>
        <v>4.667679570621365E-2</v>
      </c>
    </row>
    <row r="124" spans="1:16">
      <c r="A124" s="3"/>
      <c r="B124" s="15" t="s">
        <v>27</v>
      </c>
      <c r="C124" s="23">
        <f t="shared" si="22"/>
        <v>424958830.41474038</v>
      </c>
      <c r="D124" s="23">
        <f t="shared" si="22"/>
        <v>424958830.41474038</v>
      </c>
      <c r="E124" s="23">
        <f>E119+E114</f>
        <v>114741184.96715313</v>
      </c>
      <c r="F124" s="23"/>
      <c r="G124" s="366"/>
      <c r="H124" s="23">
        <f t="shared" si="23"/>
        <v>-12572660.410334589</v>
      </c>
      <c r="I124" s="23">
        <f t="shared" si="23"/>
        <v>27047287.46150339</v>
      </c>
      <c r="J124" s="23">
        <f t="shared" si="23"/>
        <v>410842.69984851853</v>
      </c>
      <c r="K124" s="23">
        <f t="shared" si="24"/>
        <v>39209105.171989456</v>
      </c>
      <c r="L124" s="23">
        <f t="shared" si="24"/>
        <v>39209105.171989456</v>
      </c>
      <c r="M124" s="23">
        <f t="shared" si="23"/>
        <v>349426750.61957675</v>
      </c>
      <c r="N124" s="23">
        <f t="shared" si="23"/>
        <v>349426750.61957675</v>
      </c>
      <c r="O124" s="222">
        <f>M124/'Test Year 2001 Sales and Revs.'!$F124</f>
        <v>5.5810534229175035E-2</v>
      </c>
      <c r="P124" s="222">
        <f>N124/'Test Year 2001 Sales and Revs.'!$F124</f>
        <v>5.5810534229175035E-2</v>
      </c>
    </row>
    <row r="125" spans="1:16">
      <c r="A125" s="3"/>
      <c r="B125" s="15" t="s">
        <v>28</v>
      </c>
      <c r="C125" s="299">
        <f t="shared" si="22"/>
        <v>290037803.33630604</v>
      </c>
      <c r="D125" s="299">
        <f t="shared" si="22"/>
        <v>290037803.33630604</v>
      </c>
      <c r="E125" s="299">
        <f>E120+E115</f>
        <v>96765271.055082113</v>
      </c>
      <c r="F125" s="23"/>
      <c r="G125" s="366"/>
      <c r="H125" s="299">
        <f t="shared" si="23"/>
        <v>-2049114.6382029529</v>
      </c>
      <c r="I125" s="299">
        <f t="shared" si="23"/>
        <v>15294989.893433891</v>
      </c>
      <c r="J125" s="299">
        <f t="shared" si="23"/>
        <v>94654.116026291915</v>
      </c>
      <c r="K125" s="299">
        <f t="shared" si="24"/>
        <v>17249450.415610552</v>
      </c>
      <c r="L125" s="299">
        <f t="shared" si="24"/>
        <v>17249450.415610552</v>
      </c>
      <c r="M125" s="299">
        <f t="shared" si="23"/>
        <v>210521982.69683442</v>
      </c>
      <c r="N125" s="299">
        <f t="shared" si="23"/>
        <v>210521982.69683442</v>
      </c>
      <c r="O125" s="222">
        <f>M125/'Test Year 2001 Sales and Revs.'!$F125</f>
        <v>5.8985578387189208E-2</v>
      </c>
      <c r="P125" s="222">
        <f>N125/'Test Year 2001 Sales and Revs.'!$F125</f>
        <v>5.8985578387189208E-2</v>
      </c>
    </row>
    <row r="126" spans="1:16">
      <c r="A126" s="3" t="s">
        <v>87</v>
      </c>
      <c r="B126" s="15"/>
      <c r="C126" s="23">
        <f>C123+C124+C125</f>
        <v>1063514344.5756376</v>
      </c>
      <c r="D126" s="23">
        <f>D123+D124+D125</f>
        <v>1063514344.5756376</v>
      </c>
      <c r="E126" s="23">
        <f>E123+E124+E125</f>
        <v>276729167.72530353</v>
      </c>
      <c r="F126" s="23"/>
      <c r="G126" s="366"/>
      <c r="H126" s="23">
        <f t="shared" ref="H126:N126" si="25">H123+H124+H125</f>
        <v>-46478857.95987197</v>
      </c>
      <c r="I126" s="23">
        <f t="shared" si="25"/>
        <v>72779315.73452422</v>
      </c>
      <c r="J126" s="23">
        <f t="shared" si="25"/>
        <v>478209.49223525921</v>
      </c>
      <c r="K126" s="23">
        <f>K123+K124+K125</f>
        <v>118779964.20216092</v>
      </c>
      <c r="L126" s="23">
        <f>L123+L124+L125</f>
        <v>118779964.20216092</v>
      </c>
      <c r="M126" s="23">
        <f t="shared" si="25"/>
        <v>905565141.05249512</v>
      </c>
      <c r="N126" s="23">
        <f t="shared" si="25"/>
        <v>905565141.05249512</v>
      </c>
      <c r="O126" s="222">
        <f>M126/'Test Year 2001 Sales and Revs.'!$F126</f>
        <v>5.2543906238998378E-2</v>
      </c>
      <c r="P126" s="222">
        <f>N126/'Test Year 2001 Sales and Revs.'!$F126</f>
        <v>5.2543906238998378E-2</v>
      </c>
    </row>
    <row r="127" spans="1:16" ht="13.5" customHeight="1">
      <c r="A127" s="3"/>
      <c r="B127" s="15"/>
      <c r="M127" s="51"/>
      <c r="N127" s="51"/>
    </row>
    <row r="128" spans="1:16">
      <c r="A128" s="3"/>
      <c r="B128" s="15"/>
      <c r="M128" s="51"/>
      <c r="N128" s="51"/>
    </row>
    <row r="129" spans="1:16">
      <c r="A129" s="3"/>
      <c r="B129" s="15"/>
      <c r="M129" s="51"/>
      <c r="N129" s="51"/>
    </row>
    <row r="130" spans="1:16">
      <c r="A130" s="3" t="s">
        <v>90</v>
      </c>
      <c r="B130" s="15"/>
      <c r="C130" s="23">
        <f t="shared" ref="C130:N130" si="26">ROUND(C13+C22+C29+C54+C56+C73+C94+C126,0)</f>
        <v>7717960462</v>
      </c>
      <c r="D130" s="23">
        <f t="shared" si="26"/>
        <v>8167947241</v>
      </c>
      <c r="E130" s="23">
        <f t="shared" si="26"/>
        <v>3071548987</v>
      </c>
      <c r="F130" s="23">
        <f t="shared" si="26"/>
        <v>383967030</v>
      </c>
      <c r="G130" s="366">
        <f t="shared" si="26"/>
        <v>-449986779</v>
      </c>
      <c r="H130" s="23">
        <f t="shared" si="26"/>
        <v>-47251245</v>
      </c>
      <c r="I130" s="23">
        <f>I13+I22+I29+I54+I56+I72+I94+I126</f>
        <v>72779315.73452422</v>
      </c>
      <c r="J130" s="23">
        <f>J13+J22+J29+J54+J56+J72+J94+J126</f>
        <v>2818414.8490322395</v>
      </c>
      <c r="K130" s="23">
        <f>K13+K22+K29+K54+K56+K72+K94+K126</f>
        <v>117212146.29118939</v>
      </c>
      <c r="L130" s="23">
        <f>L13+L22+L29+L54+L56+L72+L94+L126</f>
        <v>183231894.75211984</v>
      </c>
      <c r="M130" s="23">
        <f t="shared" si="26"/>
        <v>4763623622</v>
      </c>
      <c r="N130" s="23">
        <f t="shared" si="26"/>
        <v>4829643370</v>
      </c>
      <c r="O130" s="222">
        <f>M130/'Test Year 2001 Sales and Revs.'!$F132</f>
        <v>5.8099368359002042E-2</v>
      </c>
      <c r="P130" s="222">
        <f>N130/'Test Year 2001 Sales and Revs.'!$F132</f>
        <v>5.8904575898973487E-2</v>
      </c>
    </row>
    <row r="131" spans="1:16">
      <c r="A131" s="3" t="s">
        <v>91</v>
      </c>
      <c r="B131" s="15"/>
      <c r="E131" s="296">
        <f>SUM('Revenue Allocation'!E130:I130)</f>
        <v>3071549086.9475641</v>
      </c>
      <c r="F131" s="296">
        <f>'Revenue Allocation'!K131</f>
        <v>383967030.49814355</v>
      </c>
      <c r="H131" s="296">
        <f>'Test Year 2001 Sales and Revs.'!L133</f>
        <v>-47251245</v>
      </c>
      <c r="M131" s="296"/>
      <c r="N131" s="296"/>
    </row>
    <row r="132" spans="1:16">
      <c r="B132" s="7"/>
    </row>
    <row r="133" spans="1:16">
      <c r="B133" s="7"/>
    </row>
    <row r="134" spans="1:16">
      <c r="B134" s="7"/>
    </row>
    <row r="135" spans="1:16">
      <c r="B135" s="7"/>
    </row>
    <row r="136" spans="1:16">
      <c r="B136" s="7"/>
    </row>
    <row r="137" spans="1:16">
      <c r="B137" s="7"/>
    </row>
    <row r="138" spans="1:16">
      <c r="B138" s="7"/>
    </row>
    <row r="139" spans="1:16">
      <c r="B139" s="7"/>
    </row>
    <row r="140" spans="1:16">
      <c r="B140" s="7"/>
    </row>
    <row r="141" spans="1:16">
      <c r="B141" s="7"/>
    </row>
    <row r="142" spans="1:16">
      <c r="B142" s="7"/>
    </row>
    <row r="143" spans="1:16">
      <c r="B143" s="7"/>
    </row>
    <row r="144" spans="1:16">
      <c r="B144" s="7"/>
    </row>
    <row r="145" spans="1:2">
      <c r="B145" s="7"/>
    </row>
    <row r="146" spans="1:2">
      <c r="B146" s="7"/>
    </row>
    <row r="147" spans="1:2">
      <c r="B147" s="7"/>
    </row>
    <row r="148" spans="1:2">
      <c r="A148" s="8"/>
      <c r="B148" s="53"/>
    </row>
    <row r="149" spans="1:2">
      <c r="A149" s="11"/>
      <c r="B149" s="53"/>
    </row>
    <row r="150" spans="1:2">
      <c r="A150" s="13"/>
      <c r="B150" s="53"/>
    </row>
    <row r="151" spans="1:2">
      <c r="A151" s="19"/>
      <c r="B151" s="56"/>
    </row>
    <row r="152" spans="1:2">
      <c r="A152" s="19"/>
      <c r="B152" s="56"/>
    </row>
    <row r="153" spans="1:2">
      <c r="A153" s="19"/>
      <c r="B153" s="56"/>
    </row>
    <row r="154" spans="1:2">
      <c r="A154" s="11"/>
      <c r="B154" s="56"/>
    </row>
    <row r="155" spans="1:2">
      <c r="A155" s="13"/>
      <c r="B155" s="56"/>
    </row>
    <row r="156" spans="1:2">
      <c r="A156" s="19"/>
      <c r="B156" s="56"/>
    </row>
    <row r="157" spans="1:2">
      <c r="A157" s="19"/>
      <c r="B157" s="56"/>
    </row>
    <row r="158" spans="1:2">
      <c r="A158" s="19"/>
      <c r="B158" s="56"/>
    </row>
    <row r="159" spans="1:2">
      <c r="A159" s="19"/>
      <c r="B159" s="56"/>
    </row>
    <row r="160" spans="1:2">
      <c r="A160" s="11"/>
      <c r="B160" s="11"/>
    </row>
    <row r="161" spans="1:2">
      <c r="A161" s="13"/>
      <c r="B161" s="62"/>
    </row>
    <row r="162" spans="1:2">
      <c r="A162" s="19"/>
      <c r="B162" s="56"/>
    </row>
    <row r="163" spans="1:2">
      <c r="A163" s="19"/>
      <c r="B163" s="53"/>
    </row>
    <row r="164" spans="1:2">
      <c r="A164" s="19"/>
      <c r="B164" s="56"/>
    </row>
    <row r="165" spans="1:2">
      <c r="A165" s="11"/>
      <c r="B165" s="53"/>
    </row>
    <row r="166" spans="1:2">
      <c r="A166" s="13"/>
      <c r="B166" s="53"/>
    </row>
    <row r="167" spans="1:2">
      <c r="A167" s="19"/>
      <c r="B167" s="53"/>
    </row>
    <row r="168" spans="1:2">
      <c r="A168" s="19"/>
      <c r="B168" s="53"/>
    </row>
    <row r="169" spans="1:2">
      <c r="A169" s="19"/>
      <c r="B169" s="53"/>
    </row>
    <row r="170" spans="1:2">
      <c r="A170" s="19"/>
      <c r="B170" s="53"/>
    </row>
    <row r="171" spans="1:2">
      <c r="A171" s="19"/>
      <c r="B171" s="53"/>
    </row>
    <row r="172" spans="1:2">
      <c r="A172" s="19"/>
      <c r="B172" s="53"/>
    </row>
    <row r="173" spans="1:2">
      <c r="A173" s="19"/>
      <c r="B173" s="53"/>
    </row>
    <row r="174" spans="1:2">
      <c r="A174" s="19"/>
      <c r="B174" s="53"/>
    </row>
    <row r="175" spans="1:2">
      <c r="A175" s="19"/>
      <c r="B175" s="53"/>
    </row>
    <row r="176" spans="1:2">
      <c r="A176" s="34"/>
      <c r="B176" s="53"/>
    </row>
    <row r="177" spans="1:2">
      <c r="A177" s="34"/>
      <c r="B177" s="53"/>
    </row>
    <row r="178" spans="1:2">
      <c r="A178" s="13"/>
      <c r="B178" s="56"/>
    </row>
    <row r="179" spans="1:2">
      <c r="A179" s="11"/>
      <c r="B179" s="53"/>
    </row>
    <row r="180" spans="1:2">
      <c r="A180" s="13"/>
      <c r="B180" s="53"/>
    </row>
    <row r="181" spans="1:2">
      <c r="A181" s="19"/>
      <c r="B181" s="53"/>
    </row>
    <row r="182" spans="1:2">
      <c r="A182" s="19"/>
      <c r="B182" s="53"/>
    </row>
    <row r="183" spans="1:2">
      <c r="A183" s="19"/>
      <c r="B183" s="53"/>
    </row>
    <row r="184" spans="1:2">
      <c r="A184" s="11"/>
      <c r="B184" s="53"/>
    </row>
    <row r="185" spans="1:2">
      <c r="A185" s="37"/>
      <c r="B185" s="53"/>
    </row>
    <row r="186" spans="1:2">
      <c r="A186" s="19"/>
      <c r="B186" s="62"/>
    </row>
    <row r="187" spans="1:2">
      <c r="A187" s="19"/>
      <c r="B187" s="62"/>
    </row>
    <row r="188" spans="1:2">
      <c r="A188" s="19"/>
      <c r="B188" s="62"/>
    </row>
    <row r="189" spans="1:2">
      <c r="A189" s="19"/>
      <c r="B189" s="62"/>
    </row>
    <row r="190" spans="1:2">
      <c r="A190" s="19"/>
      <c r="B190" s="62"/>
    </row>
    <row r="191" spans="1:2">
      <c r="A191" s="19"/>
      <c r="B191" s="62"/>
    </row>
    <row r="192" spans="1:2">
      <c r="A192" s="19"/>
      <c r="B192" s="62"/>
    </row>
    <row r="193" spans="1:2">
      <c r="A193" s="19"/>
      <c r="B193" s="62"/>
    </row>
    <row r="194" spans="1:2">
      <c r="A194" s="19"/>
      <c r="B194" s="62"/>
    </row>
    <row r="195" spans="1:2">
      <c r="A195" s="19"/>
      <c r="B195" s="62"/>
    </row>
    <row r="196" spans="1:2">
      <c r="A196" s="19"/>
      <c r="B196" s="62"/>
    </row>
    <row r="197" spans="1:2">
      <c r="A197" s="19"/>
      <c r="B197" s="62"/>
    </row>
    <row r="198" spans="1:2">
      <c r="A198" s="19"/>
      <c r="B198" s="64"/>
    </row>
    <row r="199" spans="1:2">
      <c r="A199" s="19"/>
      <c r="B199" s="62"/>
    </row>
    <row r="200" spans="1:2">
      <c r="A200" s="11"/>
      <c r="B200" s="53"/>
    </row>
    <row r="201" spans="1:2">
      <c r="A201" s="13"/>
      <c r="B201" s="53"/>
    </row>
    <row r="202" spans="1:2">
      <c r="A202" s="19"/>
      <c r="B202" s="53"/>
    </row>
    <row r="203" spans="1:2">
      <c r="A203" s="19"/>
      <c r="B203" s="53"/>
    </row>
    <row r="204" spans="1:2">
      <c r="A204" s="19"/>
      <c r="B204" s="53"/>
    </row>
    <row r="205" spans="1:2">
      <c r="A205" s="19"/>
      <c r="B205" s="53"/>
    </row>
    <row r="206" spans="1:2">
      <c r="A206" s="19"/>
      <c r="B206" s="53"/>
    </row>
    <row r="207" spans="1:2">
      <c r="A207" s="19"/>
      <c r="B207" s="53"/>
    </row>
    <row r="208" spans="1:2">
      <c r="A208" s="19"/>
      <c r="B208" s="53"/>
    </row>
    <row r="209" spans="1:2">
      <c r="A209" s="19"/>
      <c r="B209" s="53"/>
    </row>
    <row r="210" spans="1:2">
      <c r="A210" s="34"/>
      <c r="B210" s="53"/>
    </row>
    <row r="211" spans="1:2">
      <c r="A211" s="37"/>
      <c r="B211" s="53"/>
    </row>
    <row r="212" spans="1:2">
      <c r="A212" s="34"/>
      <c r="B212" s="53"/>
    </row>
    <row r="213" spans="1:2">
      <c r="A213" s="34"/>
      <c r="B213" s="53"/>
    </row>
    <row r="214" spans="1:2">
      <c r="A214" s="34"/>
      <c r="B214" s="53"/>
    </row>
    <row r="215" spans="1:2">
      <c r="A215" s="11"/>
      <c r="B215" s="53"/>
    </row>
    <row r="216" spans="1:2">
      <c r="A216" s="45"/>
      <c r="B216" s="53"/>
    </row>
    <row r="217" spans="1:2">
      <c r="A217" s="38"/>
      <c r="B217" s="67"/>
    </row>
    <row r="218" spans="1:2">
      <c r="A218" s="38"/>
      <c r="B218" s="67"/>
    </row>
    <row r="219" spans="1:2">
      <c r="B219" s="7"/>
    </row>
    <row r="220" spans="1:2">
      <c r="B220" s="7"/>
    </row>
    <row r="221" spans="1:2">
      <c r="B221" s="7"/>
    </row>
    <row r="222" spans="1:2">
      <c r="B222" s="7"/>
    </row>
    <row r="223" spans="1:2">
      <c r="B223" s="7"/>
    </row>
    <row r="224" spans="1:2">
      <c r="B224" s="7"/>
    </row>
    <row r="225" spans="2:2">
      <c r="B225" s="7"/>
    </row>
    <row r="226" spans="2:2">
      <c r="B226" s="7"/>
    </row>
    <row r="227" spans="2:2">
      <c r="B227" s="7"/>
    </row>
    <row r="228" spans="2:2">
      <c r="B228" s="7"/>
    </row>
    <row r="229" spans="2:2">
      <c r="B229" s="7"/>
    </row>
    <row r="230" spans="2:2">
      <c r="B230" s="7"/>
    </row>
    <row r="231" spans="2:2">
      <c r="B231" s="7"/>
    </row>
    <row r="232" spans="2:2">
      <c r="B232" s="7"/>
    </row>
    <row r="233" spans="2:2">
      <c r="B233" s="7"/>
    </row>
    <row r="234" spans="2:2">
      <c r="B234" s="7"/>
    </row>
    <row r="235" spans="2:2">
      <c r="B235" s="7"/>
    </row>
    <row r="236" spans="2:2">
      <c r="B236" s="7"/>
    </row>
    <row r="237" spans="2:2">
      <c r="B237" s="7"/>
    </row>
    <row r="238" spans="2:2">
      <c r="B238" s="7"/>
    </row>
    <row r="239" spans="2:2">
      <c r="B239" s="7"/>
    </row>
    <row r="240" spans="2:2">
      <c r="B240" s="7"/>
    </row>
    <row r="241" spans="2:2">
      <c r="B241" s="7"/>
    </row>
    <row r="242" spans="2:2">
      <c r="B242" s="7"/>
    </row>
    <row r="243" spans="2:2">
      <c r="B243" s="7"/>
    </row>
    <row r="244" spans="2:2">
      <c r="B244" s="7"/>
    </row>
    <row r="245" spans="2:2">
      <c r="B245" s="7"/>
    </row>
    <row r="246" spans="2:2">
      <c r="B246" s="7"/>
    </row>
    <row r="247" spans="2:2">
      <c r="B247" s="7"/>
    </row>
    <row r="248" spans="2:2">
      <c r="B248" s="7"/>
    </row>
    <row r="249" spans="2:2">
      <c r="B249" s="7"/>
    </row>
    <row r="250" spans="2:2">
      <c r="B250" s="7"/>
    </row>
    <row r="251" spans="2:2">
      <c r="B251" s="7"/>
    </row>
    <row r="252" spans="2:2">
      <c r="B252" s="7"/>
    </row>
    <row r="253" spans="2:2">
      <c r="B253" s="7"/>
    </row>
    <row r="254" spans="2:2">
      <c r="B254" s="7"/>
    </row>
    <row r="255" spans="2:2">
      <c r="B255" s="7"/>
    </row>
    <row r="256" spans="2:2">
      <c r="B256" s="7"/>
    </row>
    <row r="257" spans="2:2">
      <c r="B257" s="7"/>
    </row>
    <row r="258" spans="2:2">
      <c r="B258" s="7"/>
    </row>
    <row r="259" spans="2:2">
      <c r="B259" s="7"/>
    </row>
    <row r="260" spans="2:2">
      <c r="B260" s="7"/>
    </row>
    <row r="261" spans="2:2">
      <c r="B261" s="7"/>
    </row>
    <row r="262" spans="2:2">
      <c r="B262" s="7"/>
    </row>
    <row r="263" spans="2:2">
      <c r="B263" s="7"/>
    </row>
    <row r="264" spans="2:2">
      <c r="B264" s="7"/>
    </row>
    <row r="265" spans="2:2">
      <c r="B265" s="7"/>
    </row>
    <row r="266" spans="2:2">
      <c r="B266" s="7"/>
    </row>
    <row r="267" spans="2:2">
      <c r="B267" s="7"/>
    </row>
    <row r="268" spans="2:2">
      <c r="B268" s="7"/>
    </row>
    <row r="269" spans="2:2">
      <c r="B269" s="7"/>
    </row>
    <row r="270" spans="2:2">
      <c r="B270" s="7"/>
    </row>
    <row r="271" spans="2:2">
      <c r="B271" s="7"/>
    </row>
    <row r="272" spans="2:2">
      <c r="B272" s="7"/>
    </row>
    <row r="273" spans="2:2">
      <c r="B273" s="7"/>
    </row>
    <row r="274" spans="2:2">
      <c r="B274" s="7"/>
    </row>
    <row r="275" spans="2:2">
      <c r="B275" s="7"/>
    </row>
    <row r="276" spans="2:2">
      <c r="B276" s="7"/>
    </row>
    <row r="277" spans="2:2">
      <c r="B277" s="7"/>
    </row>
    <row r="278" spans="2:2">
      <c r="B278" s="7"/>
    </row>
    <row r="279" spans="2:2">
      <c r="B279" s="7"/>
    </row>
    <row r="280" spans="2:2">
      <c r="B280" s="7"/>
    </row>
    <row r="281" spans="2:2">
      <c r="B281" s="7"/>
    </row>
    <row r="282" spans="2:2">
      <c r="B282" s="7"/>
    </row>
    <row r="283" spans="2:2">
      <c r="B283" s="7"/>
    </row>
    <row r="284" spans="2:2">
      <c r="B284" s="7"/>
    </row>
    <row r="285" spans="2:2">
      <c r="B285" s="7"/>
    </row>
    <row r="286" spans="2:2">
      <c r="B286" s="7"/>
    </row>
    <row r="287" spans="2:2">
      <c r="B287" s="7"/>
    </row>
    <row r="288" spans="2:2">
      <c r="B288" s="7"/>
    </row>
    <row r="289" spans="2:2">
      <c r="B289" s="7"/>
    </row>
    <row r="290" spans="2:2">
      <c r="B290" s="7"/>
    </row>
    <row r="291" spans="2:2">
      <c r="B291" s="7"/>
    </row>
    <row r="292" spans="2:2">
      <c r="B292" s="7"/>
    </row>
    <row r="293" spans="2:2">
      <c r="B293" s="7"/>
    </row>
    <row r="294" spans="2:2">
      <c r="B294" s="7"/>
    </row>
    <row r="295" spans="2:2">
      <c r="B295" s="7"/>
    </row>
    <row r="296" spans="2:2">
      <c r="B296" s="7"/>
    </row>
    <row r="297" spans="2:2">
      <c r="B297" s="7"/>
    </row>
    <row r="298" spans="2:2">
      <c r="B298" s="7"/>
    </row>
    <row r="299" spans="2:2">
      <c r="B299" s="7"/>
    </row>
    <row r="300" spans="2:2">
      <c r="B300" s="7"/>
    </row>
    <row r="301" spans="2:2">
      <c r="B301" s="7"/>
    </row>
    <row r="302" spans="2:2">
      <c r="B302" s="7"/>
    </row>
    <row r="303" spans="2:2">
      <c r="B303" s="7"/>
    </row>
    <row r="304" spans="2:2">
      <c r="B304" s="7"/>
    </row>
    <row r="305" spans="2:2">
      <c r="B305" s="7"/>
    </row>
    <row r="306" spans="2:2">
      <c r="B306" s="7"/>
    </row>
    <row r="307" spans="2:2">
      <c r="B307" s="7"/>
    </row>
    <row r="308" spans="2:2">
      <c r="B308" s="7"/>
    </row>
    <row r="309" spans="2:2">
      <c r="B309" s="7"/>
    </row>
    <row r="310" spans="2:2">
      <c r="B310" s="7"/>
    </row>
    <row r="311" spans="2:2">
      <c r="B311" s="7"/>
    </row>
    <row r="312" spans="2:2">
      <c r="B312" s="7"/>
    </row>
    <row r="313" spans="2:2">
      <c r="B313" s="7"/>
    </row>
    <row r="314" spans="2:2">
      <c r="B314" s="7"/>
    </row>
    <row r="315" spans="2:2">
      <c r="B315" s="7"/>
    </row>
    <row r="316" spans="2:2">
      <c r="B316" s="7"/>
    </row>
    <row r="317" spans="2:2">
      <c r="B317" s="7"/>
    </row>
    <row r="318" spans="2:2">
      <c r="B318" s="7"/>
    </row>
    <row r="319" spans="2:2">
      <c r="B319" s="7"/>
    </row>
    <row r="320" spans="2:2">
      <c r="B320" s="7"/>
    </row>
    <row r="321" spans="2:2">
      <c r="B321" s="7"/>
    </row>
    <row r="322" spans="2:2">
      <c r="B322" s="7"/>
    </row>
    <row r="323" spans="2:2">
      <c r="B323" s="7"/>
    </row>
    <row r="324" spans="2:2">
      <c r="B324" s="7"/>
    </row>
    <row r="325" spans="2:2">
      <c r="B325" s="7"/>
    </row>
    <row r="326" spans="2:2">
      <c r="B326" s="7"/>
    </row>
    <row r="327" spans="2:2">
      <c r="B327" s="7"/>
    </row>
    <row r="328" spans="2:2">
      <c r="B328" s="7"/>
    </row>
    <row r="329" spans="2:2">
      <c r="B329" s="7"/>
    </row>
    <row r="330" spans="2:2">
      <c r="B330" s="7"/>
    </row>
    <row r="331" spans="2:2">
      <c r="B331" s="7"/>
    </row>
    <row r="332" spans="2:2">
      <c r="B332" s="7"/>
    </row>
    <row r="333" spans="2:2">
      <c r="B333" s="7"/>
    </row>
    <row r="334" spans="2:2">
      <c r="B334" s="7"/>
    </row>
    <row r="335" spans="2:2">
      <c r="B335" s="7"/>
    </row>
    <row r="336" spans="2:2">
      <c r="B336" s="7"/>
    </row>
    <row r="337" spans="2:2">
      <c r="B337" s="7"/>
    </row>
    <row r="338" spans="2:2">
      <c r="B338" s="7"/>
    </row>
    <row r="339" spans="2:2">
      <c r="B339" s="7"/>
    </row>
    <row r="340" spans="2:2">
      <c r="B340" s="7"/>
    </row>
    <row r="341" spans="2:2">
      <c r="B341" s="7"/>
    </row>
    <row r="342" spans="2:2">
      <c r="B342" s="7"/>
    </row>
    <row r="343" spans="2:2">
      <c r="B343" s="7"/>
    </row>
    <row r="344" spans="2:2">
      <c r="B344" s="7"/>
    </row>
    <row r="345" spans="2:2">
      <c r="B345" s="7"/>
    </row>
    <row r="346" spans="2:2">
      <c r="B346" s="7"/>
    </row>
    <row r="347" spans="2:2">
      <c r="B347" s="7"/>
    </row>
    <row r="348" spans="2:2">
      <c r="B348" s="7"/>
    </row>
    <row r="349" spans="2:2">
      <c r="B349" s="7"/>
    </row>
    <row r="350" spans="2:2">
      <c r="B350" s="7"/>
    </row>
    <row r="351" spans="2:2">
      <c r="B351" s="7"/>
    </row>
    <row r="352" spans="2:2">
      <c r="B352" s="7"/>
    </row>
    <row r="353" spans="2:2">
      <c r="B353" s="7"/>
    </row>
    <row r="354" spans="2:2">
      <c r="B354" s="7"/>
    </row>
    <row r="355" spans="2:2">
      <c r="B355" s="7"/>
    </row>
    <row r="356" spans="2:2">
      <c r="B356" s="7"/>
    </row>
    <row r="357" spans="2:2">
      <c r="B357" s="7"/>
    </row>
    <row r="358" spans="2:2">
      <c r="B358" s="7"/>
    </row>
    <row r="359" spans="2:2">
      <c r="B359" s="7"/>
    </row>
    <row r="360" spans="2:2">
      <c r="B360" s="7"/>
    </row>
    <row r="361" spans="2:2">
      <c r="B361" s="7"/>
    </row>
    <row r="362" spans="2:2">
      <c r="B362" s="7"/>
    </row>
    <row r="363" spans="2:2">
      <c r="B363" s="7"/>
    </row>
    <row r="364" spans="2:2">
      <c r="B364" s="7"/>
    </row>
    <row r="365" spans="2:2">
      <c r="B365" s="7"/>
    </row>
    <row r="366" spans="2:2">
      <c r="B366" s="7"/>
    </row>
    <row r="367" spans="2:2">
      <c r="B367" s="7"/>
    </row>
    <row r="368" spans="2:2">
      <c r="B368" s="7"/>
    </row>
    <row r="369" spans="2:2">
      <c r="B369" s="7"/>
    </row>
    <row r="370" spans="2:2">
      <c r="B370" s="7"/>
    </row>
    <row r="371" spans="2:2">
      <c r="B371" s="7"/>
    </row>
    <row r="372" spans="2:2">
      <c r="B372" s="7"/>
    </row>
    <row r="373" spans="2:2">
      <c r="B373" s="7"/>
    </row>
    <row r="374" spans="2:2">
      <c r="B374" s="7"/>
    </row>
    <row r="375" spans="2:2">
      <c r="B375" s="7"/>
    </row>
    <row r="376" spans="2:2">
      <c r="B376" s="7"/>
    </row>
    <row r="377" spans="2:2">
      <c r="B377" s="7"/>
    </row>
    <row r="378" spans="2:2">
      <c r="B378" s="7"/>
    </row>
    <row r="379" spans="2:2">
      <c r="B379" s="7"/>
    </row>
    <row r="380" spans="2:2">
      <c r="B380" s="7"/>
    </row>
    <row r="381" spans="2:2">
      <c r="B381" s="7"/>
    </row>
    <row r="382" spans="2:2">
      <c r="B382" s="7"/>
    </row>
    <row r="383" spans="2:2">
      <c r="B383" s="7"/>
    </row>
    <row r="384" spans="2:2">
      <c r="B384" s="7"/>
    </row>
    <row r="385" spans="2:2">
      <c r="B385" s="7"/>
    </row>
    <row r="386" spans="2:2">
      <c r="B386" s="7"/>
    </row>
    <row r="387" spans="2:2">
      <c r="B387" s="7"/>
    </row>
    <row r="388" spans="2:2">
      <c r="B388" s="7"/>
    </row>
    <row r="389" spans="2:2">
      <c r="B389" s="7"/>
    </row>
    <row r="390" spans="2:2">
      <c r="B390" s="7"/>
    </row>
    <row r="391" spans="2:2">
      <c r="B391" s="7"/>
    </row>
    <row r="392" spans="2:2">
      <c r="B392" s="7"/>
    </row>
    <row r="393" spans="2:2">
      <c r="B393" s="7"/>
    </row>
    <row r="394" spans="2:2">
      <c r="B394" s="7"/>
    </row>
    <row r="395" spans="2:2">
      <c r="B395" s="7"/>
    </row>
    <row r="396" spans="2:2">
      <c r="B396" s="7"/>
    </row>
    <row r="397" spans="2:2">
      <c r="B397" s="7"/>
    </row>
    <row r="398" spans="2:2">
      <c r="B398" s="7"/>
    </row>
    <row r="399" spans="2:2">
      <c r="B399" s="7"/>
    </row>
    <row r="400" spans="2:2">
      <c r="B400" s="7"/>
    </row>
    <row r="401" spans="2:2">
      <c r="B401" s="7"/>
    </row>
    <row r="402" spans="2:2">
      <c r="B402" s="7"/>
    </row>
    <row r="403" spans="2:2">
      <c r="B403" s="7"/>
    </row>
    <row r="404" spans="2:2">
      <c r="B404" s="7"/>
    </row>
    <row r="405" spans="2:2">
      <c r="B405" s="7"/>
    </row>
    <row r="406" spans="2:2">
      <c r="B406" s="7"/>
    </row>
    <row r="407" spans="2:2">
      <c r="B407" s="7"/>
    </row>
    <row r="408" spans="2:2">
      <c r="B408" s="7"/>
    </row>
    <row r="409" spans="2:2">
      <c r="B409" s="7"/>
    </row>
    <row r="410" spans="2:2">
      <c r="B410" s="7"/>
    </row>
    <row r="411" spans="2:2">
      <c r="B411" s="7"/>
    </row>
    <row r="412" spans="2:2">
      <c r="B412" s="7"/>
    </row>
    <row r="413" spans="2:2">
      <c r="B413" s="7"/>
    </row>
    <row r="414" spans="2:2">
      <c r="B414" s="7"/>
    </row>
    <row r="415" spans="2:2">
      <c r="B415" s="7"/>
    </row>
    <row r="416" spans="2:2">
      <c r="B416" s="7"/>
    </row>
    <row r="417" spans="2:2">
      <c r="B417" s="7"/>
    </row>
    <row r="418" spans="2:2">
      <c r="B418" s="7"/>
    </row>
    <row r="419" spans="2:2">
      <c r="B419" s="7"/>
    </row>
    <row r="420" spans="2:2">
      <c r="B420" s="7"/>
    </row>
    <row r="421" spans="2:2">
      <c r="B421" s="7"/>
    </row>
    <row r="422" spans="2:2">
      <c r="B422" s="7"/>
    </row>
    <row r="423" spans="2:2">
      <c r="B423" s="7"/>
    </row>
    <row r="424" spans="2:2">
      <c r="B424" s="7"/>
    </row>
    <row r="425" spans="2:2">
      <c r="B425" s="7"/>
    </row>
    <row r="426" spans="2:2">
      <c r="B426" s="7"/>
    </row>
    <row r="427" spans="2:2">
      <c r="B427" s="7"/>
    </row>
    <row r="428" spans="2:2">
      <c r="B428" s="7"/>
    </row>
    <row r="429" spans="2:2">
      <c r="B429" s="7"/>
    </row>
    <row r="430" spans="2:2">
      <c r="B430" s="7"/>
    </row>
    <row r="431" spans="2:2">
      <c r="B431" s="7"/>
    </row>
    <row r="432" spans="2:2">
      <c r="B432" s="7"/>
    </row>
    <row r="433" spans="2:2">
      <c r="B433" s="7"/>
    </row>
    <row r="434" spans="2:2">
      <c r="B434" s="7"/>
    </row>
    <row r="435" spans="2:2">
      <c r="B435" s="7"/>
    </row>
    <row r="436" spans="2:2">
      <c r="B436" s="7"/>
    </row>
    <row r="437" spans="2:2">
      <c r="B437" s="7"/>
    </row>
    <row r="438" spans="2:2">
      <c r="B438" s="7"/>
    </row>
    <row r="439" spans="2:2">
      <c r="B439" s="7"/>
    </row>
    <row r="440" spans="2:2">
      <c r="B440" s="7"/>
    </row>
    <row r="441" spans="2:2">
      <c r="B441" s="7"/>
    </row>
    <row r="442" spans="2:2">
      <c r="B442" s="7"/>
    </row>
    <row r="443" spans="2:2">
      <c r="B443" s="7"/>
    </row>
    <row r="444" spans="2:2">
      <c r="B444" s="7"/>
    </row>
    <row r="445" spans="2:2">
      <c r="B445" s="7"/>
    </row>
    <row r="446" spans="2:2">
      <c r="B446" s="7"/>
    </row>
    <row r="447" spans="2:2">
      <c r="B447" s="7"/>
    </row>
    <row r="448" spans="2:2">
      <c r="B448" s="7"/>
    </row>
    <row r="449" spans="2:2">
      <c r="B449" s="7"/>
    </row>
    <row r="450" spans="2:2">
      <c r="B450" s="7"/>
    </row>
    <row r="451" spans="2:2">
      <c r="B451" s="7"/>
    </row>
    <row r="452" spans="2:2">
      <c r="B452" s="7"/>
    </row>
    <row r="453" spans="2:2">
      <c r="B453" s="7"/>
    </row>
    <row r="454" spans="2:2">
      <c r="B454" s="7"/>
    </row>
    <row r="455" spans="2:2">
      <c r="B455" s="7"/>
    </row>
    <row r="456" spans="2:2">
      <c r="B456" s="7"/>
    </row>
    <row r="457" spans="2:2">
      <c r="B457" s="7"/>
    </row>
    <row r="458" spans="2:2">
      <c r="B458" s="7"/>
    </row>
    <row r="459" spans="2:2">
      <c r="B459" s="7"/>
    </row>
    <row r="460" spans="2:2">
      <c r="B460" s="7"/>
    </row>
    <row r="461" spans="2:2">
      <c r="B461" s="7"/>
    </row>
    <row r="462" spans="2:2">
      <c r="B462" s="7"/>
    </row>
    <row r="463" spans="2:2">
      <c r="B463" s="7"/>
    </row>
    <row r="464" spans="2:2">
      <c r="B464" s="7"/>
    </row>
    <row r="465" spans="2:2">
      <c r="B465" s="7"/>
    </row>
    <row r="466" spans="2:2">
      <c r="B466" s="7"/>
    </row>
    <row r="467" spans="2:2">
      <c r="B467" s="7"/>
    </row>
    <row r="468" spans="2:2">
      <c r="B468" s="7"/>
    </row>
    <row r="469" spans="2:2">
      <c r="B469" s="7"/>
    </row>
    <row r="470" spans="2:2">
      <c r="B470" s="7"/>
    </row>
    <row r="471" spans="2:2">
      <c r="B471" s="7"/>
    </row>
    <row r="472" spans="2:2">
      <c r="B472" s="7"/>
    </row>
    <row r="473" spans="2:2">
      <c r="B473" s="7"/>
    </row>
    <row r="474" spans="2:2">
      <c r="B474" s="7"/>
    </row>
    <row r="475" spans="2:2">
      <c r="B475" s="7"/>
    </row>
    <row r="476" spans="2:2">
      <c r="B476" s="7"/>
    </row>
    <row r="477" spans="2:2">
      <c r="B477" s="7"/>
    </row>
    <row r="478" spans="2:2">
      <c r="B478" s="7"/>
    </row>
    <row r="479" spans="2:2">
      <c r="B479" s="7"/>
    </row>
    <row r="480" spans="2:2">
      <c r="B480" s="7"/>
    </row>
    <row r="481" spans="2:2">
      <c r="B481" s="7"/>
    </row>
    <row r="482" spans="2:2">
      <c r="B482" s="7"/>
    </row>
    <row r="483" spans="2:2">
      <c r="B483" s="7"/>
    </row>
    <row r="484" spans="2:2">
      <c r="B484" s="7"/>
    </row>
    <row r="485" spans="2:2">
      <c r="B485" s="7"/>
    </row>
    <row r="486" spans="2:2">
      <c r="B486" s="7"/>
    </row>
    <row r="487" spans="2:2">
      <c r="B487" s="7"/>
    </row>
    <row r="488" spans="2:2">
      <c r="B488" s="7"/>
    </row>
    <row r="489" spans="2:2">
      <c r="B489" s="7"/>
    </row>
    <row r="490" spans="2:2">
      <c r="B490" s="7"/>
    </row>
    <row r="491" spans="2:2">
      <c r="B491" s="7"/>
    </row>
    <row r="492" spans="2:2">
      <c r="B492" s="7"/>
    </row>
    <row r="493" spans="2:2">
      <c r="B493" s="7"/>
    </row>
    <row r="494" spans="2:2">
      <c r="B494" s="7"/>
    </row>
    <row r="495" spans="2:2">
      <c r="B495" s="7"/>
    </row>
    <row r="496" spans="2:2">
      <c r="B496" s="7"/>
    </row>
    <row r="497" spans="2:2">
      <c r="B497" s="7"/>
    </row>
    <row r="498" spans="2:2">
      <c r="B498" s="7"/>
    </row>
    <row r="499" spans="2:2">
      <c r="B499" s="7"/>
    </row>
    <row r="500" spans="2:2">
      <c r="B500" s="7"/>
    </row>
    <row r="501" spans="2:2">
      <c r="B501" s="7"/>
    </row>
    <row r="502" spans="2:2">
      <c r="B502" s="7"/>
    </row>
    <row r="503" spans="2:2">
      <c r="B503" s="7"/>
    </row>
    <row r="504" spans="2:2">
      <c r="B504" s="7"/>
    </row>
    <row r="505" spans="2:2">
      <c r="B505" s="7"/>
    </row>
    <row r="506" spans="2:2">
      <c r="B506" s="7"/>
    </row>
    <row r="507" spans="2:2">
      <c r="B507" s="7"/>
    </row>
    <row r="508" spans="2:2">
      <c r="B508" s="7"/>
    </row>
    <row r="509" spans="2:2">
      <c r="B509" s="7"/>
    </row>
    <row r="510" spans="2:2">
      <c r="B510" s="7"/>
    </row>
    <row r="511" spans="2:2">
      <c r="B511" s="7"/>
    </row>
    <row r="512" spans="2:2">
      <c r="B512" s="7"/>
    </row>
    <row r="513" spans="2:2">
      <c r="B513" s="7"/>
    </row>
    <row r="514" spans="2:2">
      <c r="B514" s="7"/>
    </row>
    <row r="515" spans="2:2">
      <c r="B515" s="7"/>
    </row>
    <row r="516" spans="2:2">
      <c r="B516" s="7"/>
    </row>
    <row r="517" spans="2:2">
      <c r="B517" s="7"/>
    </row>
    <row r="518" spans="2:2">
      <c r="B518" s="7"/>
    </row>
    <row r="519" spans="2:2">
      <c r="B519" s="7"/>
    </row>
    <row r="520" spans="2:2">
      <c r="B520" s="7"/>
    </row>
    <row r="521" spans="2:2">
      <c r="B521" s="7"/>
    </row>
    <row r="522" spans="2:2">
      <c r="B522" s="7"/>
    </row>
    <row r="523" spans="2:2">
      <c r="B523" s="7"/>
    </row>
    <row r="524" spans="2:2">
      <c r="B524" s="7"/>
    </row>
    <row r="525" spans="2:2">
      <c r="B525" s="7"/>
    </row>
    <row r="526" spans="2:2">
      <c r="B526" s="7"/>
    </row>
  </sheetData>
  <mergeCells count="5">
    <mergeCell ref="K2:L2"/>
    <mergeCell ref="C3:D3"/>
    <mergeCell ref="O3:P3"/>
    <mergeCell ref="M3:N3"/>
    <mergeCell ref="K3:L3"/>
  </mergeCells>
  <phoneticPr fontId="0" type="noConversion"/>
  <printOptions horizontalCentered="1"/>
  <pageMargins left="0.75" right="0.75" top="1" bottom="1" header="0.5" footer="0.5"/>
  <pageSetup scale="81" fitToWidth="2" fitToHeight="3" orientation="landscape" horizontalDpi="300" verticalDpi="300" r:id="rId1"/>
  <headerFooter alignWithMargins="0">
    <oddHeader xml:space="preserve">&amp;CPacific Gas and Electric Company
Derivation of Total Generation Revenues
</oddHeader>
    <oddFooter>&amp;L&amp;D
&amp;T&amp;Cpage &amp;P&amp;R&amp;F
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P534"/>
  <sheetViews>
    <sheetView topLeftCell="D1" workbookViewId="0">
      <selection activeCell="D2" sqref="D2"/>
    </sheetView>
  </sheetViews>
  <sheetFormatPr defaultRowHeight="12.75"/>
  <cols>
    <col min="1" max="1" width="33" bestFit="1" customWidth="1"/>
    <col min="2" max="2" width="2.5" bestFit="1" customWidth="1"/>
    <col min="3" max="4" width="13.83203125" bestFit="1" customWidth="1"/>
    <col min="5" max="5" width="18.1640625" bestFit="1" customWidth="1"/>
    <col min="6" max="7" width="13.83203125" bestFit="1" customWidth="1"/>
    <col min="8" max="8" width="14.5" bestFit="1" customWidth="1"/>
    <col min="9" max="10" width="13.83203125" customWidth="1"/>
    <col min="11" max="11" width="17.5" bestFit="1" customWidth="1"/>
    <col min="12" max="12" width="17.5" customWidth="1"/>
    <col min="13" max="13" width="13.83203125" bestFit="1" customWidth="1"/>
    <col min="14" max="14" width="12.1640625" style="51" bestFit="1" customWidth="1"/>
    <col min="15" max="16" width="18.33203125" customWidth="1"/>
  </cols>
  <sheetData>
    <row r="1" spans="1:16">
      <c r="A1" s="368" t="s">
        <v>469</v>
      </c>
      <c r="B1" s="305" t="s">
        <v>0</v>
      </c>
      <c r="C1" s="1"/>
      <c r="D1" s="305" t="s">
        <v>1</v>
      </c>
      <c r="E1" s="305" t="s">
        <v>2</v>
      </c>
      <c r="F1" s="305" t="s">
        <v>3</v>
      </c>
      <c r="G1" s="4"/>
      <c r="H1" s="4"/>
      <c r="I1" s="318"/>
      <c r="J1" s="319"/>
      <c r="K1" s="7"/>
      <c r="L1" s="7"/>
      <c r="O1" s="327" t="s">
        <v>366</v>
      </c>
      <c r="P1" s="328">
        <v>1.0098299999999999E-2</v>
      </c>
    </row>
    <row r="2" spans="1:16" ht="15">
      <c r="A2" s="316"/>
      <c r="B2" s="305" t="s">
        <v>5</v>
      </c>
      <c r="C2" s="1"/>
      <c r="D2" s="305" t="s">
        <v>6</v>
      </c>
      <c r="E2" s="305" t="s">
        <v>6</v>
      </c>
      <c r="F2" s="305" t="s">
        <v>6</v>
      </c>
      <c r="G2" s="315" t="s">
        <v>7</v>
      </c>
      <c r="H2" s="315" t="s">
        <v>7</v>
      </c>
      <c r="I2" s="318" t="s">
        <v>8</v>
      </c>
      <c r="J2" s="320" t="s">
        <v>9</v>
      </c>
      <c r="K2" s="321">
        <f>EPS</f>
        <v>0.01</v>
      </c>
      <c r="L2" s="7"/>
      <c r="M2" s="7" t="s">
        <v>126</v>
      </c>
      <c r="N2" s="364"/>
      <c r="O2" s="327" t="s">
        <v>367</v>
      </c>
      <c r="P2" s="155">
        <v>1.0555800000000001E-2</v>
      </c>
    </row>
    <row r="3" spans="1:16">
      <c r="A3" s="316"/>
      <c r="B3" s="305" t="s">
        <v>11</v>
      </c>
      <c r="C3" s="305" t="s">
        <v>12</v>
      </c>
      <c r="D3" s="305" t="s">
        <v>13</v>
      </c>
      <c r="E3" s="305" t="s">
        <v>13</v>
      </c>
      <c r="F3" s="305" t="s">
        <v>13</v>
      </c>
      <c r="G3" s="315" t="s">
        <v>14</v>
      </c>
      <c r="H3" s="315" t="s">
        <v>15</v>
      </c>
      <c r="I3" s="318" t="s">
        <v>16</v>
      </c>
      <c r="J3" s="320" t="s">
        <v>17</v>
      </c>
      <c r="K3" s="153" t="s">
        <v>517</v>
      </c>
      <c r="L3" s="1"/>
      <c r="M3" s="7" t="s">
        <v>143</v>
      </c>
      <c r="N3" s="364" t="s">
        <v>125</v>
      </c>
    </row>
    <row r="4" spans="1:16">
      <c r="A4" s="317" t="s">
        <v>20</v>
      </c>
      <c r="B4" s="317" t="s">
        <v>21</v>
      </c>
      <c r="C4" s="317" t="s">
        <v>22</v>
      </c>
      <c r="D4" s="317" t="s">
        <v>23</v>
      </c>
      <c r="E4" s="317" t="s">
        <v>23</v>
      </c>
      <c r="F4" s="305" t="s">
        <v>23</v>
      </c>
      <c r="G4" s="304" t="s">
        <v>24</v>
      </c>
      <c r="H4" s="304" t="s">
        <v>24</v>
      </c>
      <c r="I4" s="322" t="s">
        <v>9</v>
      </c>
      <c r="J4" s="323" t="s">
        <v>25</v>
      </c>
      <c r="K4" s="203" t="s">
        <v>113</v>
      </c>
      <c r="L4" s="317" t="s">
        <v>159</v>
      </c>
      <c r="M4" s="7" t="s">
        <v>9</v>
      </c>
      <c r="N4" s="364" t="s">
        <v>19</v>
      </c>
    </row>
    <row r="5" spans="1:16">
      <c r="A5" s="3"/>
      <c r="B5" s="1"/>
      <c r="C5" s="2"/>
      <c r="D5" s="2"/>
      <c r="E5" s="2"/>
      <c r="F5" s="2"/>
      <c r="G5" s="10"/>
      <c r="H5" s="10"/>
      <c r="I5" s="5"/>
      <c r="J5" s="6"/>
    </row>
    <row r="6" spans="1:16">
      <c r="A6" s="3" t="s">
        <v>26</v>
      </c>
      <c r="B6" s="1"/>
      <c r="C6" s="2"/>
      <c r="D6" s="2"/>
      <c r="E6" s="2"/>
      <c r="F6" s="2"/>
      <c r="G6" s="10"/>
      <c r="H6" s="10"/>
      <c r="I6" s="5"/>
      <c r="J6" s="6"/>
    </row>
    <row r="7" spans="1:16">
      <c r="A7" s="2" t="s">
        <v>130</v>
      </c>
      <c r="B7" s="15" t="s">
        <v>28</v>
      </c>
      <c r="C7" s="369">
        <v>43357524.945844099</v>
      </c>
      <c r="D7" s="369">
        <v>11529762079</v>
      </c>
      <c r="E7" s="369">
        <v>11837688306.910563</v>
      </c>
      <c r="F7" s="16">
        <f>D7+E7</f>
        <v>23367450385.910561</v>
      </c>
      <c r="G7" s="370">
        <v>2581981586.0153246</v>
      </c>
      <c r="H7" s="370">
        <v>2868868428.9059162</v>
      </c>
      <c r="I7" s="371">
        <v>0</v>
      </c>
      <c r="J7" s="17">
        <f>F7-I7</f>
        <v>23367450385.910561</v>
      </c>
      <c r="K7" s="18">
        <f>$K$2*J7</f>
        <v>233674503.85910562</v>
      </c>
      <c r="L7" s="18"/>
      <c r="M7" s="326">
        <f>F7</f>
        <v>23367450385.910561</v>
      </c>
      <c r="N7" s="51">
        <f>M7*$P$1</f>
        <v>235971524.23204058</v>
      </c>
    </row>
    <row r="8" spans="1:16">
      <c r="A8" s="2" t="s">
        <v>131</v>
      </c>
      <c r="B8" s="15"/>
      <c r="C8" s="369">
        <v>3666381.3935986031</v>
      </c>
      <c r="D8" s="369">
        <v>989322076</v>
      </c>
      <c r="E8" s="369">
        <v>933073324.48178327</v>
      </c>
      <c r="F8" s="16">
        <f>D8+E8</f>
        <v>1922395400.4817834</v>
      </c>
      <c r="G8" s="370">
        <v>168120011.16367021</v>
      </c>
      <c r="H8" s="370">
        <v>186800012.40407801</v>
      </c>
      <c r="I8" s="371">
        <v>1922395400.4817834</v>
      </c>
      <c r="J8" s="17">
        <f>F8-I8</f>
        <v>0</v>
      </c>
      <c r="K8" s="18">
        <f>$K$2*J8</f>
        <v>0</v>
      </c>
      <c r="L8" s="18"/>
      <c r="M8" s="326">
        <f>F8</f>
        <v>1922395400.4817834</v>
      </c>
      <c r="N8" s="51">
        <f>M8*$P$1</f>
        <v>19412925.472685192</v>
      </c>
    </row>
    <row r="9" spans="1:16">
      <c r="A9" s="2" t="s">
        <v>29</v>
      </c>
      <c r="B9" s="15" t="s">
        <v>28</v>
      </c>
      <c r="C9" s="369">
        <v>1153339.8400000001</v>
      </c>
      <c r="D9" s="369">
        <v>573047232</v>
      </c>
      <c r="E9" s="369">
        <v>639809674.46662593</v>
      </c>
      <c r="F9" s="16">
        <f>D9+E9</f>
        <v>1212856906.4666259</v>
      </c>
      <c r="G9" s="370">
        <v>110620380.01585585</v>
      </c>
      <c r="H9" s="370">
        <v>122911533.35095094</v>
      </c>
      <c r="I9" s="371">
        <v>13845847</v>
      </c>
      <c r="J9" s="17">
        <f>F9-I9</f>
        <v>1199011059.4666259</v>
      </c>
      <c r="K9" s="18">
        <f>$K$2*J9</f>
        <v>11990110.594666259</v>
      </c>
      <c r="L9" s="18"/>
      <c r="M9" s="326">
        <f>F9</f>
        <v>1212856906.4666259</v>
      </c>
      <c r="N9" s="51">
        <f>M9*$P$1</f>
        <v>12247792.898571927</v>
      </c>
    </row>
    <row r="10" spans="1:16">
      <c r="A10" s="2" t="s">
        <v>132</v>
      </c>
      <c r="B10" s="15" t="s">
        <v>28</v>
      </c>
      <c r="C10" s="369">
        <v>1367271.0953559962</v>
      </c>
      <c r="D10" s="369">
        <v>1108352630</v>
      </c>
      <c r="E10" s="369">
        <v>1139758621.3579295</v>
      </c>
      <c r="F10" s="16">
        <f>D10+E10</f>
        <v>2248111251.3579292</v>
      </c>
      <c r="G10" s="370">
        <v>211472700.49981663</v>
      </c>
      <c r="H10" s="370">
        <v>234969667.22201848</v>
      </c>
      <c r="I10" s="371">
        <v>0</v>
      </c>
      <c r="J10" s="17">
        <f>F10-I10</f>
        <v>2248111251.3579292</v>
      </c>
      <c r="K10" s="18">
        <f>$K$2*J10</f>
        <v>22481112.513579294</v>
      </c>
      <c r="L10" s="18"/>
      <c r="M10" s="326">
        <f>F10</f>
        <v>2248111251.3579292</v>
      </c>
      <c r="N10" s="51">
        <f>M10*$P$1</f>
        <v>22702101.849587776</v>
      </c>
    </row>
    <row r="11" spans="1:16">
      <c r="A11" s="2" t="s">
        <v>133</v>
      </c>
      <c r="B11" s="15"/>
      <c r="C11" s="369">
        <v>69215.887310670543</v>
      </c>
      <c r="D11" s="369">
        <v>48130908</v>
      </c>
      <c r="E11" s="369">
        <v>48681464.189345956</v>
      </c>
      <c r="F11" s="16">
        <f>D11+E11</f>
        <v>96812372.189345956</v>
      </c>
      <c r="G11" s="370">
        <v>7831339.5977828437</v>
      </c>
      <c r="H11" s="370">
        <v>8701488.4419809375</v>
      </c>
      <c r="I11" s="371">
        <v>96812372.189345941</v>
      </c>
      <c r="J11" s="17">
        <f>F11-I11</f>
        <v>0</v>
      </c>
      <c r="K11" s="18">
        <f>$K$2*J11</f>
        <v>0</v>
      </c>
      <c r="L11" s="18"/>
      <c r="M11" s="326">
        <f>F11</f>
        <v>96812372.189345956</v>
      </c>
      <c r="N11" s="51">
        <f>M11*$P$1</f>
        <v>977640.37807967223</v>
      </c>
    </row>
    <row r="12" spans="1:16">
      <c r="A12" s="3"/>
      <c r="B12" s="15"/>
      <c r="C12" s="21"/>
      <c r="D12" s="21"/>
      <c r="E12" s="21"/>
      <c r="F12" s="21"/>
      <c r="G12" s="23"/>
      <c r="H12" s="23"/>
      <c r="I12" s="21"/>
      <c r="J12" s="22"/>
    </row>
    <row r="13" spans="1:16">
      <c r="A13" s="3" t="s">
        <v>30</v>
      </c>
      <c r="B13" s="15"/>
      <c r="C13" s="16">
        <f>SUM(C7:C11)</f>
        <v>49613733.162109368</v>
      </c>
      <c r="D13" s="16">
        <f t="shared" ref="D13:J13" si="0">SUM(D7:D11)</f>
        <v>14248614925</v>
      </c>
      <c r="E13" s="16">
        <f t="shared" si="0"/>
        <v>14599011391.406246</v>
      </c>
      <c r="F13" s="16">
        <f t="shared" si="0"/>
        <v>28847626316.406246</v>
      </c>
      <c r="G13" s="16">
        <f t="shared" si="0"/>
        <v>3080026017.2924495</v>
      </c>
      <c r="H13" s="16">
        <f t="shared" si="0"/>
        <v>3422251130.324944</v>
      </c>
      <c r="I13" s="16">
        <f t="shared" si="0"/>
        <v>2033053619.6711292</v>
      </c>
      <c r="J13" s="16">
        <f t="shared" si="0"/>
        <v>26814572696.735115</v>
      </c>
      <c r="K13" s="51">
        <f>SUM(K7:K10)</f>
        <v>268145726.9673512</v>
      </c>
      <c r="L13" s="51"/>
      <c r="M13" s="326">
        <f>SUM(M7:M11)</f>
        <v>28847626316.406246</v>
      </c>
      <c r="N13" s="51">
        <f>SUM(N7:N11)</f>
        <v>291311984.83096516</v>
      </c>
    </row>
    <row r="14" spans="1:16">
      <c r="A14" s="3"/>
      <c r="B14" s="15"/>
      <c r="C14" s="21"/>
      <c r="D14" s="21"/>
      <c r="E14" s="21"/>
      <c r="F14" s="21"/>
      <c r="G14" s="23"/>
      <c r="H14" s="397"/>
      <c r="I14" s="21"/>
      <c r="J14" s="22"/>
    </row>
    <row r="15" spans="1:16">
      <c r="A15" s="3" t="s">
        <v>31</v>
      </c>
      <c r="B15" s="15"/>
      <c r="C15" s="21"/>
      <c r="D15" s="21"/>
      <c r="E15" s="21"/>
      <c r="F15" s="21"/>
      <c r="G15" s="23"/>
      <c r="H15" s="23"/>
      <c r="I15" s="21"/>
      <c r="J15" s="22"/>
    </row>
    <row r="16" spans="1:16">
      <c r="A16" s="2" t="s">
        <v>32</v>
      </c>
      <c r="B16" s="1" t="s">
        <v>28</v>
      </c>
      <c r="C16" s="372">
        <v>4548946.1456867931</v>
      </c>
      <c r="D16" s="372">
        <v>3064293997.9495692</v>
      </c>
      <c r="E16" s="372">
        <v>2842096343.7118268</v>
      </c>
      <c r="F16" s="16">
        <f>D16+E16</f>
        <v>5906390341.661396</v>
      </c>
      <c r="G16" s="370">
        <v>710376092.78349268</v>
      </c>
      <c r="H16" s="370">
        <v>789311522.53721404</v>
      </c>
      <c r="I16" s="374">
        <v>4588709</v>
      </c>
      <c r="J16" s="22">
        <f>F16-I16</f>
        <v>5901801632.661396</v>
      </c>
      <c r="K16" s="18">
        <f>$K$2*J16</f>
        <v>59018016.326613963</v>
      </c>
      <c r="L16" s="18"/>
      <c r="M16" s="326">
        <f>F16</f>
        <v>5906390341.661396</v>
      </c>
      <c r="N16" s="51">
        <f>M16*$P$2</f>
        <v>62346675.168509364</v>
      </c>
    </row>
    <row r="17" spans="1:14" ht="12" customHeight="1">
      <c r="A17" s="2" t="s">
        <v>33</v>
      </c>
      <c r="B17" s="1" t="s">
        <v>28</v>
      </c>
      <c r="C17" s="372">
        <v>341737.75</v>
      </c>
      <c r="D17" s="372">
        <v>1087030635.5512626</v>
      </c>
      <c r="E17" s="372">
        <v>886409912.5483948</v>
      </c>
      <c r="F17" s="16">
        <f>D17+E17</f>
        <v>1973440548.0996575</v>
      </c>
      <c r="G17" s="370">
        <v>175710435.72964513</v>
      </c>
      <c r="H17" s="370">
        <v>195230150.92182791</v>
      </c>
      <c r="I17" s="374">
        <v>569261</v>
      </c>
      <c r="J17" s="22">
        <f>F17-I17</f>
        <v>1972871287.0996575</v>
      </c>
      <c r="K17" s="18">
        <f>$K$2*J17</f>
        <v>19728712.870996576</v>
      </c>
      <c r="L17" s="18"/>
      <c r="M17" s="326">
        <f>F17</f>
        <v>1973440548.0996575</v>
      </c>
      <c r="N17" s="51">
        <f>M17*$P$2</f>
        <v>20831243.737630367</v>
      </c>
    </row>
    <row r="18" spans="1:14">
      <c r="A18" s="2" t="s">
        <v>34</v>
      </c>
      <c r="B18" s="1"/>
      <c r="C18" s="373"/>
      <c r="D18" s="373"/>
      <c r="E18" s="373"/>
      <c r="F18" s="16"/>
      <c r="G18" s="370"/>
      <c r="H18" s="370"/>
      <c r="I18" s="374"/>
      <c r="J18" s="22"/>
      <c r="K18" s="18"/>
      <c r="L18" s="18"/>
    </row>
    <row r="19" spans="1:14">
      <c r="A19" s="2" t="s">
        <v>35</v>
      </c>
      <c r="B19" s="1" t="s">
        <v>28</v>
      </c>
      <c r="C19" s="369">
        <v>10272</v>
      </c>
      <c r="D19" s="369">
        <v>661848</v>
      </c>
      <c r="E19" s="369">
        <v>661848</v>
      </c>
      <c r="F19" s="16">
        <f>D19+E19</f>
        <v>1323696</v>
      </c>
      <c r="G19" s="375">
        <v>378012.21337516094</v>
      </c>
      <c r="H19" s="370">
        <v>378012.21337516094</v>
      </c>
      <c r="I19" s="374">
        <v>0</v>
      </c>
      <c r="J19" s="22">
        <f>F19-I19</f>
        <v>1323696</v>
      </c>
      <c r="K19" s="18">
        <f>$K$2*F19</f>
        <v>13236.960000000001</v>
      </c>
      <c r="L19" s="18"/>
    </row>
    <row r="20" spans="1:14">
      <c r="A20" s="2" t="s">
        <v>36</v>
      </c>
      <c r="B20" s="1" t="s">
        <v>28</v>
      </c>
      <c r="C20" s="369">
        <v>133157.96279956918</v>
      </c>
      <c r="D20" s="369">
        <v>60667065.230171323</v>
      </c>
      <c r="E20" s="369">
        <v>60667065.230171323</v>
      </c>
      <c r="F20" s="16">
        <f>D20+E20</f>
        <v>121334130.46034265</v>
      </c>
      <c r="G20" s="375">
        <v>13370632.61537138</v>
      </c>
      <c r="H20" s="375">
        <v>13370632.61537138</v>
      </c>
      <c r="I20" s="374">
        <v>121334130.46034265</v>
      </c>
      <c r="J20" s="22">
        <f>F20-I20</f>
        <v>0</v>
      </c>
      <c r="K20" s="18">
        <f>$K$2*F20</f>
        <v>1213341.3046034265</v>
      </c>
      <c r="L20" s="18"/>
    </row>
    <row r="21" spans="1:14">
      <c r="A21" s="3"/>
      <c r="B21" s="15"/>
      <c r="C21" s="21"/>
      <c r="D21" s="21"/>
      <c r="E21" s="21"/>
      <c r="F21" s="21"/>
      <c r="G21" s="23"/>
      <c r="H21" s="23"/>
      <c r="I21" s="21"/>
      <c r="J21" s="22"/>
    </row>
    <row r="22" spans="1:14">
      <c r="A22" s="3" t="s">
        <v>37</v>
      </c>
      <c r="B22" s="15"/>
      <c r="C22" s="16">
        <f t="shared" ref="C22:J22" si="1">SUM(C16:C20)</f>
        <v>5034113.8584863627</v>
      </c>
      <c r="D22" s="16">
        <f t="shared" si="1"/>
        <v>4212653546.7310028</v>
      </c>
      <c r="E22" s="16">
        <f t="shared" si="1"/>
        <v>3789835169.4903927</v>
      </c>
      <c r="F22" s="16">
        <f t="shared" si="1"/>
        <v>8002488716.2213955</v>
      </c>
      <c r="G22" s="18">
        <f t="shared" si="1"/>
        <v>899835173.34188437</v>
      </c>
      <c r="H22" s="18">
        <f t="shared" si="1"/>
        <v>998290318.28778851</v>
      </c>
      <c r="I22" s="21">
        <f t="shared" si="1"/>
        <v>126492100.46034265</v>
      </c>
      <c r="J22" s="21">
        <f t="shared" si="1"/>
        <v>7875996615.7610531</v>
      </c>
      <c r="K22" s="51">
        <f>SUM(K16:K20)</f>
        <v>79973307.462213963</v>
      </c>
      <c r="L22" s="51"/>
      <c r="M22" s="326">
        <f>SUM(M16:M17)</f>
        <v>7879830889.7610531</v>
      </c>
      <c r="N22" s="51">
        <f>SUM(N16:N17)</f>
        <v>83177918.906139731</v>
      </c>
    </row>
    <row r="23" spans="1:14">
      <c r="A23" s="3"/>
      <c r="B23" s="15"/>
      <c r="C23" s="21"/>
      <c r="D23" s="21"/>
      <c r="E23" s="21"/>
      <c r="F23" s="21"/>
      <c r="G23" s="23"/>
      <c r="H23" s="23"/>
      <c r="I23" s="21"/>
      <c r="J23" s="22"/>
    </row>
    <row r="24" spans="1:14">
      <c r="A24" s="3" t="s">
        <v>38</v>
      </c>
      <c r="B24" s="15"/>
      <c r="C24" s="21"/>
      <c r="D24" s="21"/>
      <c r="E24" s="21"/>
      <c r="F24" s="21"/>
      <c r="G24" s="23"/>
      <c r="H24" s="23"/>
      <c r="I24" s="21"/>
      <c r="J24" s="22"/>
    </row>
    <row r="25" spans="1:14">
      <c r="A25" s="2" t="s">
        <v>39</v>
      </c>
      <c r="B25" s="1" t="s">
        <v>21</v>
      </c>
      <c r="C25" s="369">
        <v>36</v>
      </c>
      <c r="D25" s="369">
        <v>319326.69084448915</v>
      </c>
      <c r="E25" s="369">
        <v>171622.09664925927</v>
      </c>
      <c r="F25" s="16">
        <f>ROUND(D25+E25,0)</f>
        <v>490949</v>
      </c>
      <c r="G25" s="375">
        <v>48697.440093069978</v>
      </c>
      <c r="H25" s="375">
        <v>48697.440093069978</v>
      </c>
      <c r="I25" s="372">
        <v>0</v>
      </c>
      <c r="J25" s="22">
        <f>F25-I25</f>
        <v>490949</v>
      </c>
      <c r="K25" s="18">
        <f>$K$2*F25</f>
        <v>4909.49</v>
      </c>
      <c r="L25" s="18"/>
    </row>
    <row r="26" spans="1:14" ht="15">
      <c r="A26" s="2" t="s">
        <v>39</v>
      </c>
      <c r="B26" t="s">
        <v>27</v>
      </c>
      <c r="C26" s="369">
        <v>1694</v>
      </c>
      <c r="D26" s="369">
        <v>45315928.094696276</v>
      </c>
      <c r="E26" s="369">
        <v>44840499.220962852</v>
      </c>
      <c r="F26" s="16">
        <f>ROUND(D26+E26,0)</f>
        <v>90156427</v>
      </c>
      <c r="G26" s="375">
        <v>8432291.2903225031</v>
      </c>
      <c r="H26" s="375">
        <v>8442848.9402436316</v>
      </c>
      <c r="I26" s="372">
        <v>0</v>
      </c>
      <c r="J26" s="22">
        <f>F26-I26</f>
        <v>90156427</v>
      </c>
      <c r="K26" s="18">
        <f>$K$2*F26</f>
        <v>901564.27</v>
      </c>
      <c r="L26" s="18"/>
      <c r="M26" s="377">
        <v>1069441.2860038916</v>
      </c>
      <c r="N26" s="51">
        <f>M26*$P$2</f>
        <v>11288.808326799879</v>
      </c>
    </row>
    <row r="27" spans="1:14" ht="15">
      <c r="A27" s="2" t="s">
        <v>39</v>
      </c>
      <c r="B27" s="1" t="s">
        <v>28</v>
      </c>
      <c r="C27" s="369">
        <v>648449.87199999997</v>
      </c>
      <c r="D27" s="369">
        <v>6780013777.4104662</v>
      </c>
      <c r="E27" s="369">
        <v>6079837475.1719093</v>
      </c>
      <c r="F27" s="16">
        <f>D27+E27</f>
        <v>12859851252.582375</v>
      </c>
      <c r="G27" s="375">
        <v>1272618916.9840841</v>
      </c>
      <c r="H27" s="375">
        <v>1280842457.1457207</v>
      </c>
      <c r="I27" s="372">
        <v>0</v>
      </c>
      <c r="J27" s="22">
        <f>F27-I27</f>
        <v>12859851252.582375</v>
      </c>
      <c r="K27" s="18">
        <f>$K$2*F27</f>
        <v>128598512.52582374</v>
      </c>
      <c r="L27" s="18"/>
      <c r="M27" s="377">
        <v>781692090.79901493</v>
      </c>
      <c r="N27" s="51">
        <f>M27*$P$2</f>
        <v>8251385.3720562421</v>
      </c>
    </row>
    <row r="28" spans="1:14">
      <c r="A28" s="27"/>
      <c r="B28" s="1"/>
      <c r="C28" s="21"/>
      <c r="D28" s="21"/>
      <c r="E28" s="21"/>
      <c r="F28" s="21"/>
      <c r="G28" s="23"/>
      <c r="H28" s="23"/>
      <c r="I28" s="21"/>
      <c r="J28" s="22"/>
    </row>
    <row r="29" spans="1:14">
      <c r="A29" s="3" t="s">
        <v>40</v>
      </c>
      <c r="B29" s="15"/>
      <c r="C29" s="16">
        <f t="shared" ref="C29:J29" si="2">SUM(C25:C27)</f>
        <v>650179.87199999997</v>
      </c>
      <c r="D29" s="16">
        <f t="shared" si="2"/>
        <v>6825649032.1960068</v>
      </c>
      <c r="E29" s="16">
        <f t="shared" si="2"/>
        <v>6124849596.489521</v>
      </c>
      <c r="F29" s="16">
        <f t="shared" si="2"/>
        <v>12950498628.582375</v>
      </c>
      <c r="G29" s="16">
        <f t="shared" si="2"/>
        <v>1281099905.7144997</v>
      </c>
      <c r="H29" s="16">
        <f t="shared" si="2"/>
        <v>1289334003.5260575</v>
      </c>
      <c r="I29" s="16">
        <f t="shared" si="2"/>
        <v>0</v>
      </c>
      <c r="J29" s="16">
        <f t="shared" si="2"/>
        <v>12950498628.582375</v>
      </c>
      <c r="K29" s="51">
        <f>SUM(K25:K27)</f>
        <v>129504986.28582375</v>
      </c>
      <c r="L29" s="51"/>
      <c r="M29" s="326">
        <f>SUM(M25:M27)</f>
        <v>782761532.08501887</v>
      </c>
      <c r="N29" s="51">
        <f>SUM(N25:N27)</f>
        <v>8262674.1803830415</v>
      </c>
    </row>
    <row r="30" spans="1:14">
      <c r="A30" s="3"/>
      <c r="B30" s="15"/>
      <c r="C30" s="28"/>
      <c r="D30" s="28"/>
      <c r="E30" s="28"/>
      <c r="F30" s="28"/>
      <c r="G30" s="29"/>
      <c r="H30" s="29"/>
      <c r="I30" s="21"/>
      <c r="J30" s="22"/>
    </row>
    <row r="31" spans="1:14">
      <c r="A31" s="3" t="s">
        <v>41</v>
      </c>
      <c r="B31" s="15"/>
      <c r="C31" s="21"/>
      <c r="D31" s="21"/>
      <c r="E31" s="21"/>
      <c r="F31" s="21"/>
      <c r="G31" s="23"/>
      <c r="H31" s="23"/>
      <c r="I31" s="25"/>
      <c r="J31" s="22"/>
    </row>
    <row r="32" spans="1:14">
      <c r="A32" s="2" t="s">
        <v>42</v>
      </c>
      <c r="B32" s="1" t="s">
        <v>21</v>
      </c>
      <c r="C32" s="369">
        <v>24</v>
      </c>
      <c r="D32" s="369">
        <v>5057084.4928427804</v>
      </c>
      <c r="E32" s="369">
        <v>3652907.2758159037</v>
      </c>
      <c r="F32" s="16">
        <f>D32+E32</f>
        <v>8709991.7686586846</v>
      </c>
      <c r="G32" s="375">
        <v>740267.47738546343</v>
      </c>
      <c r="H32" s="370">
        <v>740267.47738546343</v>
      </c>
      <c r="I32" s="25"/>
      <c r="J32" s="22">
        <f>F32-I32</f>
        <v>8709991.7686586846</v>
      </c>
      <c r="K32" s="18">
        <f>$K$2*F32</f>
        <v>87099.91768658685</v>
      </c>
      <c r="L32" s="18"/>
    </row>
    <row r="33" spans="1:14">
      <c r="A33" s="2" t="s">
        <v>43</v>
      </c>
      <c r="B33" s="1" t="s">
        <v>21</v>
      </c>
      <c r="C33" s="369">
        <v>24</v>
      </c>
      <c r="D33" s="369">
        <v>982017.42910745996</v>
      </c>
      <c r="E33" s="369">
        <v>1156260.9848503391</v>
      </c>
      <c r="F33" s="16">
        <f>D33+E33</f>
        <v>2138278.4139577989</v>
      </c>
      <c r="G33" s="375">
        <v>175856.7168138049</v>
      </c>
      <c r="H33" s="375">
        <v>175856.7168138049</v>
      </c>
      <c r="I33" s="374">
        <v>0</v>
      </c>
      <c r="J33" s="22">
        <f>F33-I33</f>
        <v>2138278.4139577989</v>
      </c>
      <c r="K33" s="18">
        <f>$K$2*F33</f>
        <v>21382.784139577991</v>
      </c>
      <c r="L33" s="18"/>
    </row>
    <row r="34" spans="1:14">
      <c r="A34" s="2" t="s">
        <v>44</v>
      </c>
      <c r="B34" s="1" t="s">
        <v>21</v>
      </c>
      <c r="C34" s="369">
        <v>0</v>
      </c>
      <c r="D34" s="369">
        <v>0</v>
      </c>
      <c r="E34" s="369">
        <v>0</v>
      </c>
      <c r="F34" s="16">
        <f>D34+E34</f>
        <v>0</v>
      </c>
      <c r="G34" s="375">
        <v>0</v>
      </c>
      <c r="H34" s="370">
        <v>0</v>
      </c>
      <c r="I34" s="25"/>
      <c r="J34" s="22">
        <f>F34-I34</f>
        <v>0</v>
      </c>
    </row>
    <row r="35" spans="1:14">
      <c r="A35" s="3" t="s">
        <v>45</v>
      </c>
      <c r="B35" s="1" t="s">
        <v>21</v>
      </c>
      <c r="C35" s="16">
        <f t="shared" ref="C35:I35" si="3">SUM(C32:C34)</f>
        <v>48</v>
      </c>
      <c r="D35" s="16">
        <f t="shared" si="3"/>
        <v>6039101.9219502406</v>
      </c>
      <c r="E35" s="16">
        <f t="shared" si="3"/>
        <v>4809168.2606662428</v>
      </c>
      <c r="F35" s="16">
        <f t="shared" si="3"/>
        <v>10848270.182616483</v>
      </c>
      <c r="G35" s="18">
        <f t="shared" si="3"/>
        <v>916124.19419926836</v>
      </c>
      <c r="H35" s="18">
        <f t="shared" si="3"/>
        <v>916124.19419926836</v>
      </c>
      <c r="I35" s="21">
        <f t="shared" si="3"/>
        <v>0</v>
      </c>
      <c r="J35" s="22">
        <f>F35-I35</f>
        <v>10848270.182616483</v>
      </c>
      <c r="K35" s="51">
        <f>SUM(K32:K34)</f>
        <v>108482.70182616485</v>
      </c>
      <c r="L35" s="51">
        <f>L34</f>
        <v>0</v>
      </c>
    </row>
    <row r="36" spans="1:14">
      <c r="A36" s="3"/>
      <c r="B36" s="15"/>
      <c r="C36" s="21"/>
      <c r="D36" s="21"/>
      <c r="E36" s="21"/>
      <c r="F36" s="21"/>
      <c r="G36" s="23"/>
      <c r="H36" s="23"/>
      <c r="I36" s="30"/>
      <c r="J36" s="31"/>
    </row>
    <row r="37" spans="1:14">
      <c r="A37" s="3" t="s">
        <v>42</v>
      </c>
      <c r="B37" s="1" t="s">
        <v>27</v>
      </c>
      <c r="C37" s="369">
        <v>2088</v>
      </c>
      <c r="D37" s="369">
        <v>334380023.60137427</v>
      </c>
      <c r="E37" s="369">
        <v>297625187.38617575</v>
      </c>
      <c r="F37" s="16">
        <f>D37+E37</f>
        <v>632005210.98755002</v>
      </c>
      <c r="G37" s="375">
        <v>49241569.412864253</v>
      </c>
      <c r="H37" s="370">
        <v>49241569.412864253</v>
      </c>
      <c r="I37" s="25"/>
      <c r="J37" s="22">
        <f>F37-I37</f>
        <v>632005210.98755002</v>
      </c>
      <c r="K37" s="18">
        <f>$K$2*F37</f>
        <v>6320052.1098755002</v>
      </c>
      <c r="L37" s="18"/>
    </row>
    <row r="38" spans="1:14" ht="12.75" customHeight="1">
      <c r="A38" s="2" t="s">
        <v>43</v>
      </c>
      <c r="B38" s="1" t="s">
        <v>27</v>
      </c>
      <c r="C38" s="369">
        <v>1296</v>
      </c>
      <c r="D38" s="369">
        <v>57222127.868178263</v>
      </c>
      <c r="E38" s="369">
        <v>52139496.080445625</v>
      </c>
      <c r="F38" s="16">
        <f>D38+E38</f>
        <v>109361623.9486239</v>
      </c>
      <c r="G38" s="375">
        <v>8600971.5348572433</v>
      </c>
      <c r="H38" s="375">
        <v>8601649.3158656955</v>
      </c>
      <c r="I38" s="374">
        <v>0</v>
      </c>
      <c r="J38" s="22">
        <f>F38-I38</f>
        <v>109361623.9486239</v>
      </c>
      <c r="K38" s="18">
        <f>$K$2*F38</f>
        <v>1093616.2394862389</v>
      </c>
      <c r="L38" s="370"/>
      <c r="M38" s="377">
        <v>85750.443482025876</v>
      </c>
      <c r="N38" s="51">
        <f>M38*$P$2</f>
        <v>905.16453130756884</v>
      </c>
    </row>
    <row r="39" spans="1:14">
      <c r="A39" s="2" t="s">
        <v>44</v>
      </c>
      <c r="B39" s="1" t="s">
        <v>27</v>
      </c>
      <c r="C39" s="369">
        <v>108</v>
      </c>
      <c r="D39" s="369">
        <v>22002080.614858419</v>
      </c>
      <c r="E39" s="369">
        <v>20584388.969918992</v>
      </c>
      <c r="F39" s="16">
        <f>D39+E39</f>
        <v>42586469.584777415</v>
      </c>
      <c r="G39" s="375">
        <v>2712151.1932578329</v>
      </c>
      <c r="H39" s="370">
        <v>2712151.1932578329</v>
      </c>
      <c r="I39" s="25"/>
      <c r="J39" s="22">
        <f>F39-I39</f>
        <v>42586469.584777415</v>
      </c>
      <c r="K39" s="18">
        <f>$K$2*F39</f>
        <v>425864.69584777416</v>
      </c>
      <c r="L39" s="370">
        <v>-480325.58398466592</v>
      </c>
      <c r="M39" s="378"/>
    </row>
    <row r="40" spans="1:14">
      <c r="A40" s="3" t="s">
        <v>45</v>
      </c>
      <c r="B40" s="1" t="s">
        <v>27</v>
      </c>
      <c r="C40" s="16">
        <f t="shared" ref="C40:H40" si="4">SUM(C37:C39)</f>
        <v>3492</v>
      </c>
      <c r="D40" s="16">
        <f t="shared" si="4"/>
        <v>413604232.08441091</v>
      </c>
      <c r="E40" s="16">
        <f t="shared" si="4"/>
        <v>370349072.43654037</v>
      </c>
      <c r="F40" s="16">
        <f t="shared" si="4"/>
        <v>783953304.52095127</v>
      </c>
      <c r="G40" s="18">
        <f t="shared" si="4"/>
        <v>60554692.140979327</v>
      </c>
      <c r="H40" s="18">
        <f t="shared" si="4"/>
        <v>60555369.921987779</v>
      </c>
      <c r="I40" s="21">
        <f>SUM(I38:I39)</f>
        <v>0</v>
      </c>
      <c r="J40" s="22">
        <f>F40-I40</f>
        <v>783953304.52095127</v>
      </c>
      <c r="K40" s="51">
        <f>SUM(K37:K39)</f>
        <v>7839533.045209513</v>
      </c>
      <c r="L40" s="51">
        <f>L39</f>
        <v>-480325.58398466592</v>
      </c>
      <c r="M40" s="16">
        <f>SUM(M37:M39)</f>
        <v>85750.443482025876</v>
      </c>
      <c r="N40" s="18">
        <f>SUM(N37:N39)</f>
        <v>905.16453130756884</v>
      </c>
    </row>
    <row r="41" spans="1:14">
      <c r="A41" s="3"/>
      <c r="B41" s="15"/>
      <c r="C41" s="21"/>
      <c r="D41" s="5" t="s">
        <v>46</v>
      </c>
      <c r="E41" s="5" t="s">
        <v>46</v>
      </c>
      <c r="F41" s="21"/>
      <c r="G41" s="23"/>
      <c r="H41" s="23"/>
      <c r="I41" s="30"/>
      <c r="J41" s="31"/>
    </row>
    <row r="42" spans="1:14">
      <c r="A42" s="3" t="s">
        <v>42</v>
      </c>
      <c r="B42" s="1" t="s">
        <v>28</v>
      </c>
      <c r="C42" s="369">
        <v>21817</v>
      </c>
      <c r="D42" s="369">
        <v>2530313923.0840964</v>
      </c>
      <c r="E42" s="369">
        <v>2224295112.0593281</v>
      </c>
      <c r="F42" s="16">
        <f>D42+E42</f>
        <v>4754609035.143425</v>
      </c>
      <c r="G42" s="375">
        <v>431805371.23850113</v>
      </c>
      <c r="H42" s="370">
        <v>431805371.23850113</v>
      </c>
      <c r="I42" s="25"/>
      <c r="J42" s="22">
        <f>F42-I42</f>
        <v>4754609035.143425</v>
      </c>
      <c r="K42" s="18">
        <f>$K$2*F42</f>
        <v>47546090.351434253</v>
      </c>
      <c r="L42" s="18"/>
    </row>
    <row r="43" spans="1:14" ht="15">
      <c r="A43" s="2" t="s">
        <v>43</v>
      </c>
      <c r="B43" s="1" t="s">
        <v>28</v>
      </c>
      <c r="C43" s="369">
        <v>104219</v>
      </c>
      <c r="D43" s="369">
        <v>2811649562.6162834</v>
      </c>
      <c r="E43" s="369">
        <v>2583682066.960371</v>
      </c>
      <c r="F43" s="16">
        <f>D43+E43</f>
        <v>5395331629.5766544</v>
      </c>
      <c r="G43" s="375">
        <v>462134549.10820448</v>
      </c>
      <c r="H43" s="375">
        <v>463206294.49631369</v>
      </c>
      <c r="I43" s="374">
        <v>0</v>
      </c>
      <c r="J43" s="22">
        <f>F43-I43</f>
        <v>5395331629.5766544</v>
      </c>
      <c r="K43" s="18">
        <f>$K$2*F43</f>
        <v>53953316.295766547</v>
      </c>
      <c r="L43" s="370"/>
      <c r="M43" s="377">
        <v>114964987.6015373</v>
      </c>
      <c r="N43" s="51">
        <f>M43*$P$2</f>
        <v>1213547.4161243076</v>
      </c>
    </row>
    <row r="44" spans="1:14">
      <c r="A44" s="2" t="s">
        <v>44</v>
      </c>
      <c r="B44" s="1" t="s">
        <v>28</v>
      </c>
      <c r="C44" s="369">
        <v>84</v>
      </c>
      <c r="D44" s="369">
        <v>12706578.568318069</v>
      </c>
      <c r="E44" s="369">
        <v>11802404.692490786</v>
      </c>
      <c r="F44" s="16">
        <f>D44+E44</f>
        <v>24508983.260808855</v>
      </c>
      <c r="G44" s="375">
        <v>1868731.8864174981</v>
      </c>
      <c r="H44" s="370">
        <v>1868731.8864174981</v>
      </c>
      <c r="I44" s="25"/>
      <c r="J44" s="22">
        <f>F44-I44</f>
        <v>24508983.260808855</v>
      </c>
      <c r="K44" s="18">
        <f>$K$2*F44</f>
        <v>245089.83260808856</v>
      </c>
      <c r="L44" s="370">
        <v>-292061.86184078117</v>
      </c>
      <c r="M44" s="378"/>
    </row>
    <row r="45" spans="1:14">
      <c r="A45" s="3" t="s">
        <v>45</v>
      </c>
      <c r="B45" s="1" t="s">
        <v>28</v>
      </c>
      <c r="C45" s="16">
        <f t="shared" ref="C45:H45" si="5">SUM(C42:C44)</f>
        <v>126120</v>
      </c>
      <c r="D45" s="16">
        <f t="shared" si="5"/>
        <v>5354670064.2686987</v>
      </c>
      <c r="E45" s="16">
        <f t="shared" si="5"/>
        <v>4819779583.7121897</v>
      </c>
      <c r="F45" s="16">
        <f t="shared" si="5"/>
        <v>10174449647.980888</v>
      </c>
      <c r="G45" s="18">
        <f t="shared" si="5"/>
        <v>895808652.23312318</v>
      </c>
      <c r="H45" s="18">
        <f t="shared" si="5"/>
        <v>896880397.62123239</v>
      </c>
      <c r="I45" s="21">
        <f>SUM(I43:I44)</f>
        <v>0</v>
      </c>
      <c r="J45" s="22">
        <f>F45-I45</f>
        <v>10174449647.980888</v>
      </c>
      <c r="K45" s="51">
        <f>SUM(K42:K44)</f>
        <v>101744496.47980888</v>
      </c>
      <c r="L45" s="51">
        <f>L44</f>
        <v>-292061.86184078117</v>
      </c>
      <c r="M45" s="16">
        <f>SUM(M42:M44)</f>
        <v>114964987.6015373</v>
      </c>
      <c r="N45" s="18">
        <f>SUM(N42:N44)</f>
        <v>1213547.4161243076</v>
      </c>
    </row>
    <row r="46" spans="1:14">
      <c r="A46" s="3"/>
      <c r="B46" s="15"/>
      <c r="C46" s="16"/>
      <c r="D46" s="16"/>
      <c r="E46" s="16"/>
      <c r="F46" s="16"/>
      <c r="G46" s="18"/>
      <c r="H46" s="18"/>
      <c r="I46" s="32"/>
      <c r="J46" s="33"/>
    </row>
    <row r="47" spans="1:14">
      <c r="A47" s="2" t="s">
        <v>47</v>
      </c>
      <c r="B47" s="1" t="s">
        <v>28</v>
      </c>
      <c r="C47" s="369">
        <v>192</v>
      </c>
      <c r="D47" s="369">
        <v>20178472</v>
      </c>
      <c r="E47" s="369">
        <v>25948472</v>
      </c>
      <c r="F47" s="16">
        <f>D47+E47</f>
        <v>46126944</v>
      </c>
      <c r="G47" s="375">
        <v>3103936.4246082092</v>
      </c>
      <c r="H47" s="370">
        <v>3103936.4246082092</v>
      </c>
      <c r="I47" s="21"/>
      <c r="J47" s="22">
        <f>F47-I47</f>
        <v>46126944</v>
      </c>
      <c r="K47" s="18">
        <f>$K$2*F47</f>
        <v>461269.44</v>
      </c>
      <c r="L47" s="18"/>
    </row>
    <row r="48" spans="1:14">
      <c r="A48" s="3" t="s">
        <v>48</v>
      </c>
      <c r="B48" s="15"/>
      <c r="C48" s="16">
        <f>SUM(C47:C47)</f>
        <v>192</v>
      </c>
      <c r="D48" s="16">
        <f>SUM(D47:D47)</f>
        <v>20178472</v>
      </c>
      <c r="E48" s="16">
        <f>SUM(E47:E47)</f>
        <v>25948472</v>
      </c>
      <c r="F48" s="16">
        <f>SUM(F47:F47)</f>
        <v>46126944</v>
      </c>
      <c r="G48" s="18">
        <f>G47</f>
        <v>3103936.4246082092</v>
      </c>
      <c r="H48" s="18">
        <f>H47</f>
        <v>3103936.4246082092</v>
      </c>
      <c r="I48" s="21"/>
      <c r="J48" s="22">
        <f>F48-I48</f>
        <v>46126944</v>
      </c>
      <c r="K48" s="18">
        <f>$K$2*F48</f>
        <v>461269.44</v>
      </c>
      <c r="L48" s="18"/>
    </row>
    <row r="49" spans="1:14" hidden="1">
      <c r="A49" s="3"/>
      <c r="B49" s="15"/>
      <c r="C49" s="16"/>
      <c r="D49" s="16"/>
      <c r="E49" s="16"/>
      <c r="F49" s="16"/>
      <c r="G49" s="18"/>
      <c r="H49" s="18"/>
      <c r="I49" s="21"/>
      <c r="J49" s="22"/>
    </row>
    <row r="50" spans="1:14">
      <c r="A50" s="3"/>
      <c r="B50" s="15"/>
      <c r="C50" s="16"/>
      <c r="D50" s="16"/>
      <c r="E50" s="16"/>
      <c r="F50" s="16"/>
      <c r="G50" s="18"/>
      <c r="H50" s="18"/>
      <c r="I50" s="21"/>
      <c r="J50" s="22"/>
    </row>
    <row r="51" spans="1:14">
      <c r="A51" s="2" t="s">
        <v>49</v>
      </c>
      <c r="B51" s="1" t="s">
        <v>21</v>
      </c>
      <c r="C51" s="16">
        <f t="shared" ref="C51:J51" si="6">C35</f>
        <v>48</v>
      </c>
      <c r="D51" s="16">
        <f t="shared" si="6"/>
        <v>6039101.9219502406</v>
      </c>
      <c r="E51" s="16">
        <f t="shared" si="6"/>
        <v>4809168.2606662428</v>
      </c>
      <c r="F51" s="16">
        <f t="shared" si="6"/>
        <v>10848270.182616483</v>
      </c>
      <c r="G51" s="18">
        <f t="shared" si="6"/>
        <v>916124.19419926836</v>
      </c>
      <c r="H51" s="18">
        <f t="shared" si="6"/>
        <v>916124.19419926836</v>
      </c>
      <c r="I51" s="16">
        <f t="shared" si="6"/>
        <v>0</v>
      </c>
      <c r="J51" s="16">
        <f t="shared" si="6"/>
        <v>10848270.182616483</v>
      </c>
      <c r="K51" s="18">
        <f>K35</f>
        <v>108482.70182616485</v>
      </c>
      <c r="L51" s="18">
        <f>L35</f>
        <v>0</v>
      </c>
      <c r="M51" s="16">
        <f>M35</f>
        <v>0</v>
      </c>
      <c r="N51" s="18">
        <f>N35</f>
        <v>0</v>
      </c>
    </row>
    <row r="52" spans="1:14">
      <c r="A52" s="2" t="s">
        <v>49</v>
      </c>
      <c r="B52" s="1" t="s">
        <v>27</v>
      </c>
      <c r="C52" s="16">
        <f t="shared" ref="C52:J52" si="7">C40</f>
        <v>3492</v>
      </c>
      <c r="D52" s="16">
        <f t="shared" si="7"/>
        <v>413604232.08441091</v>
      </c>
      <c r="E52" s="16">
        <f t="shared" si="7"/>
        <v>370349072.43654037</v>
      </c>
      <c r="F52" s="16">
        <f t="shared" si="7"/>
        <v>783953304.52095127</v>
      </c>
      <c r="G52" s="18">
        <f t="shared" si="7"/>
        <v>60554692.140979327</v>
      </c>
      <c r="H52" s="18">
        <f t="shared" si="7"/>
        <v>60555369.921987779</v>
      </c>
      <c r="I52" s="16">
        <f t="shared" si="7"/>
        <v>0</v>
      </c>
      <c r="J52" s="16">
        <f t="shared" si="7"/>
        <v>783953304.52095127</v>
      </c>
      <c r="K52" s="18">
        <f>K40</f>
        <v>7839533.045209513</v>
      </c>
      <c r="L52" s="18">
        <f>L40</f>
        <v>-480325.58398466592</v>
      </c>
      <c r="M52" s="16">
        <f>M40</f>
        <v>85750.443482025876</v>
      </c>
      <c r="N52" s="18">
        <f>N40</f>
        <v>905.16453130756884</v>
      </c>
    </row>
    <row r="53" spans="1:14">
      <c r="A53" s="2" t="s">
        <v>49</v>
      </c>
      <c r="B53" s="1" t="s">
        <v>28</v>
      </c>
      <c r="C53" s="16">
        <f t="shared" ref="C53:J53" si="8">C45+C47</f>
        <v>126312</v>
      </c>
      <c r="D53" s="16">
        <f t="shared" si="8"/>
        <v>5374848536.2686987</v>
      </c>
      <c r="E53" s="16">
        <f t="shared" si="8"/>
        <v>4845728055.7121897</v>
      </c>
      <c r="F53" s="16">
        <f t="shared" si="8"/>
        <v>10220576591.980888</v>
      </c>
      <c r="G53" s="18">
        <f t="shared" si="8"/>
        <v>898912588.65773141</v>
      </c>
      <c r="H53" s="18">
        <f t="shared" si="8"/>
        <v>899984334.04584062</v>
      </c>
      <c r="I53" s="16">
        <f t="shared" si="8"/>
        <v>0</v>
      </c>
      <c r="J53" s="16">
        <f t="shared" si="8"/>
        <v>10220576591.980888</v>
      </c>
      <c r="K53" s="18">
        <f>K45+K47</f>
        <v>102205765.91980888</v>
      </c>
      <c r="L53" s="18">
        <f>L45+L47</f>
        <v>-292061.86184078117</v>
      </c>
      <c r="M53" s="16">
        <f>M45+M47</f>
        <v>114964987.6015373</v>
      </c>
      <c r="N53" s="18">
        <f>N45+N47</f>
        <v>1213547.4161243076</v>
      </c>
    </row>
    <row r="54" spans="1:14">
      <c r="A54" s="3" t="s">
        <v>50</v>
      </c>
      <c r="B54" s="15"/>
      <c r="C54" s="16">
        <f t="shared" ref="C54:J54" si="9">SUM(C51:C53)</f>
        <v>129852</v>
      </c>
      <c r="D54" s="16">
        <f t="shared" si="9"/>
        <v>5794491870.2750597</v>
      </c>
      <c r="E54" s="16">
        <f t="shared" si="9"/>
        <v>5220886296.4093962</v>
      </c>
      <c r="F54" s="16">
        <f t="shared" si="9"/>
        <v>11015378166.684456</v>
      </c>
      <c r="G54" s="18">
        <f t="shared" si="9"/>
        <v>960383404.99291003</v>
      </c>
      <c r="H54" s="18">
        <f t="shared" si="9"/>
        <v>961455828.16202772</v>
      </c>
      <c r="I54" s="16">
        <f t="shared" si="9"/>
        <v>0</v>
      </c>
      <c r="J54" s="16">
        <f t="shared" si="9"/>
        <v>11015378166.684456</v>
      </c>
      <c r="K54" s="18">
        <f>SUM(K51:K53)</f>
        <v>110153781.66684456</v>
      </c>
      <c r="L54" s="18">
        <f>SUM(L51:L53)</f>
        <v>-772387.4458254471</v>
      </c>
      <c r="M54" s="16">
        <f>SUM(M51:M53)</f>
        <v>115050738.04501933</v>
      </c>
      <c r="N54" s="18">
        <f>SUM(N51:N53)</f>
        <v>1214452.5806556151</v>
      </c>
    </row>
    <row r="55" spans="1:14">
      <c r="A55" s="3"/>
      <c r="B55" s="1"/>
      <c r="C55" s="16"/>
      <c r="D55" s="16"/>
      <c r="E55" s="16"/>
      <c r="F55" s="16"/>
      <c r="G55" s="18"/>
      <c r="H55" s="18"/>
      <c r="I55" s="21"/>
      <c r="J55" s="22"/>
    </row>
    <row r="56" spans="1:14" ht="13.5" customHeight="1">
      <c r="A56" s="3" t="s">
        <v>51</v>
      </c>
      <c r="B56" s="1" t="s">
        <v>28</v>
      </c>
      <c r="C56" s="369">
        <v>377877.52146676264</v>
      </c>
      <c r="D56" s="16">
        <f>F56*0.443</f>
        <v>155622291.6902408</v>
      </c>
      <c r="E56" s="16">
        <f>F56*0.557</f>
        <v>195669563.14100257</v>
      </c>
      <c r="F56" s="369">
        <v>351291854.83124334</v>
      </c>
      <c r="G56" s="375">
        <v>42969466.20211231</v>
      </c>
      <c r="H56" s="375">
        <v>42969466.20211231</v>
      </c>
      <c r="I56" s="372">
        <v>337094919</v>
      </c>
      <c r="J56" s="35">
        <f>F56-I56</f>
        <v>14196935.831243336</v>
      </c>
      <c r="K56" s="18">
        <f>$K$2*F56</f>
        <v>3512918.5483124335</v>
      </c>
      <c r="L56" s="18"/>
    </row>
    <row r="57" spans="1:14">
      <c r="A57" s="3"/>
      <c r="B57" s="1"/>
      <c r="C57" s="16"/>
      <c r="D57" s="16"/>
      <c r="E57" s="16"/>
      <c r="F57" s="16"/>
      <c r="G57" s="18"/>
      <c r="H57" s="18"/>
      <c r="I57" s="21"/>
      <c r="J57" s="22"/>
    </row>
    <row r="58" spans="1:14">
      <c r="A58" s="3" t="s">
        <v>52</v>
      </c>
      <c r="B58" s="1"/>
      <c r="C58" s="16"/>
      <c r="D58" s="16"/>
      <c r="E58" s="16"/>
      <c r="F58" s="16"/>
      <c r="G58" s="18"/>
      <c r="H58" s="18"/>
      <c r="I58" s="21"/>
      <c r="J58" s="22"/>
    </row>
    <row r="59" spans="1:14" ht="16.5" hidden="1" customHeight="1">
      <c r="A59" s="2" t="s">
        <v>53</v>
      </c>
      <c r="B59" s="1" t="s">
        <v>21</v>
      </c>
      <c r="C59" s="369">
        <v>336</v>
      </c>
      <c r="D59" s="373"/>
      <c r="E59" s="373"/>
      <c r="F59" s="373"/>
      <c r="G59" s="375">
        <v>582131.47737792635</v>
      </c>
      <c r="H59" s="18">
        <f>G59</f>
        <v>582131.47737792635</v>
      </c>
      <c r="I59" s="21"/>
      <c r="J59" s="22">
        <f>F59-I59</f>
        <v>0</v>
      </c>
    </row>
    <row r="60" spans="1:14" ht="16.5" hidden="1" customHeight="1">
      <c r="A60" s="2" t="s">
        <v>53</v>
      </c>
      <c r="B60" s="1" t="s">
        <v>27</v>
      </c>
      <c r="C60" s="369">
        <v>624</v>
      </c>
      <c r="D60" s="373"/>
      <c r="E60" s="373"/>
      <c r="F60" s="373"/>
      <c r="G60" s="375">
        <v>1712148.5836743359</v>
      </c>
      <c r="H60" s="18">
        <f>G60</f>
        <v>1712148.5836743359</v>
      </c>
      <c r="I60" s="21"/>
      <c r="J60" s="22">
        <f>F60-I60</f>
        <v>0</v>
      </c>
    </row>
    <row r="61" spans="1:14" ht="16.5" hidden="1" customHeight="1">
      <c r="A61" s="2" t="s">
        <v>53</v>
      </c>
      <c r="B61" s="1" t="s">
        <v>28</v>
      </c>
      <c r="C61" s="369">
        <v>216</v>
      </c>
      <c r="D61" s="373"/>
      <c r="E61" s="373"/>
      <c r="F61" s="373"/>
      <c r="G61" s="375">
        <v>717649.39565503469</v>
      </c>
      <c r="H61" s="18">
        <f>G61</f>
        <v>717649.39565503469</v>
      </c>
      <c r="I61" s="21"/>
      <c r="J61" s="22">
        <f>F61-I61</f>
        <v>0</v>
      </c>
    </row>
    <row r="62" spans="1:14" ht="16.5" hidden="1" customHeight="1">
      <c r="A62" s="3" t="s">
        <v>54</v>
      </c>
      <c r="B62" s="1"/>
      <c r="C62" s="373">
        <v>1176</v>
      </c>
      <c r="D62" s="373"/>
      <c r="E62" s="373"/>
      <c r="F62" s="373"/>
      <c r="G62" s="370">
        <v>3011929.4567072969</v>
      </c>
      <c r="H62" s="18">
        <f>SUM(H59:H61)</f>
        <v>3011929.4567072969</v>
      </c>
      <c r="I62" s="21"/>
      <c r="J62" s="22">
        <f>F62-I62</f>
        <v>0</v>
      </c>
    </row>
    <row r="63" spans="1:14" ht="16.5" hidden="1" customHeight="1">
      <c r="A63" s="3"/>
      <c r="B63" s="1"/>
      <c r="C63" s="373"/>
      <c r="D63" s="373"/>
      <c r="E63" s="373"/>
      <c r="F63" s="373"/>
      <c r="G63" s="370"/>
      <c r="H63" s="18"/>
      <c r="I63" s="21"/>
      <c r="J63" s="22"/>
    </row>
    <row r="64" spans="1:14" ht="16.5" hidden="1" customHeight="1">
      <c r="A64" s="2" t="s">
        <v>55</v>
      </c>
      <c r="B64" s="1" t="s">
        <v>21</v>
      </c>
      <c r="C64" s="369">
        <v>1188</v>
      </c>
      <c r="D64" s="373"/>
      <c r="E64" s="373"/>
      <c r="F64" s="373"/>
      <c r="G64" s="375">
        <v>11367595.764572164</v>
      </c>
      <c r="H64" s="18">
        <f>G64</f>
        <v>11367595.764572164</v>
      </c>
      <c r="I64" s="21"/>
      <c r="J64" s="22">
        <f>F64-I64</f>
        <v>0</v>
      </c>
    </row>
    <row r="65" spans="1:12" ht="16.5" hidden="1" customHeight="1">
      <c r="A65" s="2" t="s">
        <v>55</v>
      </c>
      <c r="B65" s="1" t="s">
        <v>27</v>
      </c>
      <c r="C65" s="369">
        <v>228</v>
      </c>
      <c r="D65" s="373"/>
      <c r="E65" s="373"/>
      <c r="F65" s="373"/>
      <c r="G65" s="375">
        <v>2316455.1477247113</v>
      </c>
      <c r="H65" s="18">
        <f>G65</f>
        <v>2316455.1477247113</v>
      </c>
      <c r="I65" s="21"/>
      <c r="J65" s="22">
        <f>F65-I65</f>
        <v>0</v>
      </c>
    </row>
    <row r="66" spans="1:12" ht="16.5" hidden="1" customHeight="1">
      <c r="A66" s="2" t="s">
        <v>55</v>
      </c>
      <c r="B66" s="1" t="s">
        <v>28</v>
      </c>
      <c r="C66" s="369">
        <v>60</v>
      </c>
      <c r="D66" s="373"/>
      <c r="E66" s="373"/>
      <c r="F66" s="373"/>
      <c r="G66" s="375">
        <v>89999.211811526533</v>
      </c>
      <c r="H66" s="18">
        <f>G66</f>
        <v>89999.211811526533</v>
      </c>
      <c r="I66" s="21"/>
      <c r="J66" s="22">
        <f>F66-I66</f>
        <v>0</v>
      </c>
    </row>
    <row r="67" spans="1:12" ht="16.5" hidden="1" customHeight="1">
      <c r="A67" s="3" t="s">
        <v>56</v>
      </c>
      <c r="B67" s="1"/>
      <c r="C67" s="16">
        <f>SUM(C64:C66)</f>
        <v>1476</v>
      </c>
      <c r="D67" s="16"/>
      <c r="E67" s="16"/>
      <c r="F67" s="16"/>
      <c r="G67" s="18">
        <f>SUM(G64:G66)</f>
        <v>13774050.124108402</v>
      </c>
      <c r="H67" s="18">
        <f>G67</f>
        <v>13774050.124108402</v>
      </c>
      <c r="I67" s="21"/>
      <c r="J67" s="22">
        <f>F67-I67</f>
        <v>0</v>
      </c>
    </row>
    <row r="68" spans="1:12" ht="16.5" hidden="1" customHeight="1">
      <c r="A68" s="3"/>
      <c r="B68" s="1"/>
      <c r="C68" s="16"/>
      <c r="D68" s="16"/>
      <c r="E68" s="16"/>
      <c r="F68" s="16"/>
      <c r="G68" s="18"/>
      <c r="H68" s="18"/>
      <c r="I68" s="21"/>
      <c r="J68" s="22"/>
    </row>
    <row r="69" spans="1:12">
      <c r="A69" s="3" t="s">
        <v>18</v>
      </c>
      <c r="B69" s="1" t="s">
        <v>21</v>
      </c>
      <c r="C69" s="16">
        <f>C64+C59</f>
        <v>1524</v>
      </c>
      <c r="D69" s="369">
        <v>49099007.666666672</v>
      </c>
      <c r="E69" s="369">
        <v>80187004.333333328</v>
      </c>
      <c r="F69" s="16">
        <f>SUM(D69:E69)</f>
        <v>129286012</v>
      </c>
      <c r="G69" s="18">
        <f>G59+G64</f>
        <v>11949727.241950091</v>
      </c>
      <c r="H69" s="18">
        <f>G69</f>
        <v>11949727.241950091</v>
      </c>
      <c r="I69" s="21"/>
      <c r="J69" s="22">
        <f>F69-I69</f>
        <v>129286012</v>
      </c>
      <c r="K69" s="18">
        <f>$K$2*F69</f>
        <v>1292860.1200000001</v>
      </c>
      <c r="L69" s="18"/>
    </row>
    <row r="70" spans="1:12">
      <c r="A70" s="3"/>
      <c r="B70" s="1" t="s">
        <v>27</v>
      </c>
      <c r="C70" s="16">
        <f>C65+C60</f>
        <v>852</v>
      </c>
      <c r="D70" s="369">
        <v>16082197.749999996</v>
      </c>
      <c r="E70" s="369">
        <v>13646245.25</v>
      </c>
      <c r="F70" s="16">
        <f>SUM(D70:E70)</f>
        <v>29728442.999999996</v>
      </c>
      <c r="G70" s="18">
        <f>G60+G65</f>
        <v>4028603.7313990472</v>
      </c>
      <c r="H70" s="18">
        <f>G70</f>
        <v>4028603.7313990472</v>
      </c>
      <c r="I70" s="21"/>
      <c r="J70" s="22">
        <f>F70-I70</f>
        <v>29728442.999999996</v>
      </c>
      <c r="K70" s="18">
        <f>$K$2*F70</f>
        <v>297284.43</v>
      </c>
      <c r="L70" s="18"/>
    </row>
    <row r="71" spans="1:12">
      <c r="A71" s="3"/>
      <c r="B71" s="1" t="s">
        <v>28</v>
      </c>
      <c r="C71" s="16">
        <f>C66+C61</f>
        <v>276</v>
      </c>
      <c r="D71" s="369">
        <v>3589368.75</v>
      </c>
      <c r="E71" s="369">
        <v>3762716.25</v>
      </c>
      <c r="F71" s="16">
        <f>SUM(D71:E71)</f>
        <v>7352085</v>
      </c>
      <c r="G71" s="18">
        <f>G61+G66</f>
        <v>807648.60746656125</v>
      </c>
      <c r="H71" s="18">
        <f>G71</f>
        <v>807648.60746656125</v>
      </c>
      <c r="I71" s="21"/>
      <c r="J71" s="22">
        <f>F71-I71</f>
        <v>7352085</v>
      </c>
      <c r="K71" s="18">
        <f>$K$2*F71</f>
        <v>73520.850000000006</v>
      </c>
      <c r="L71" s="18"/>
    </row>
    <row r="72" spans="1:12">
      <c r="A72" s="3"/>
      <c r="B72" s="1"/>
      <c r="C72" s="16"/>
      <c r="D72" s="16"/>
      <c r="E72" s="16"/>
      <c r="F72" s="16"/>
      <c r="G72" s="18"/>
      <c r="H72" s="18"/>
      <c r="I72" s="21"/>
      <c r="J72" s="22"/>
    </row>
    <row r="73" spans="1:12">
      <c r="A73" s="3" t="s">
        <v>57</v>
      </c>
      <c r="B73" s="1"/>
      <c r="C73" s="16">
        <f>C67+C62</f>
        <v>2652</v>
      </c>
      <c r="D73" s="16">
        <f>SUM(D69:D71)</f>
        <v>68770574.166666672</v>
      </c>
      <c r="E73" s="16">
        <f>SUM(E69:E71)</f>
        <v>97595965.833333328</v>
      </c>
      <c r="F73" s="16">
        <f>SUM(D73:E73)</f>
        <v>166366540</v>
      </c>
      <c r="G73" s="18">
        <f>SUM(G69:G71)</f>
        <v>16785979.580815699</v>
      </c>
      <c r="H73" s="18">
        <f>SUM(H69:H71)</f>
        <v>16785979.580815699</v>
      </c>
      <c r="I73" s="36"/>
      <c r="J73" s="35">
        <f>F73-I73</f>
        <v>166366540</v>
      </c>
      <c r="K73" s="51">
        <f>SUM(K69:K71)</f>
        <v>1663665.4000000001</v>
      </c>
      <c r="L73" s="51"/>
    </row>
    <row r="74" spans="1:12">
      <c r="A74" s="3"/>
      <c r="B74" s="1"/>
      <c r="C74" s="16"/>
      <c r="D74" s="16"/>
      <c r="E74" s="16"/>
      <c r="F74" s="16"/>
      <c r="G74" s="18"/>
      <c r="H74" s="18"/>
      <c r="I74" s="21"/>
      <c r="J74" s="22"/>
    </row>
    <row r="75" spans="1:12">
      <c r="A75" s="2" t="s">
        <v>58</v>
      </c>
      <c r="B75" s="15" t="s">
        <v>28</v>
      </c>
      <c r="C75" s="369">
        <v>408292.28784697602</v>
      </c>
      <c r="D75" s="369">
        <v>132974447.625</v>
      </c>
      <c r="E75" s="369">
        <v>46751973.5</v>
      </c>
      <c r="F75" s="16">
        <f t="shared" ref="F75:F84" si="10">D75+E75</f>
        <v>179726421.125</v>
      </c>
      <c r="G75" s="375">
        <v>37890961.785726219</v>
      </c>
      <c r="H75" s="18">
        <f t="shared" ref="H75:H86" si="11">G75</f>
        <v>37890961.785726219</v>
      </c>
      <c r="I75" s="21"/>
      <c r="J75" s="22">
        <f t="shared" ref="J75:J90" si="12">F75-I75</f>
        <v>179726421.125</v>
      </c>
      <c r="K75" s="18">
        <f t="shared" ref="K75:K90" si="13">$K$2*F75</f>
        <v>1797264.2112499999</v>
      </c>
      <c r="L75" s="18"/>
    </row>
    <row r="76" spans="1:12">
      <c r="A76" s="2" t="s">
        <v>59</v>
      </c>
      <c r="B76" s="15" t="s">
        <v>28</v>
      </c>
      <c r="C76" s="369">
        <v>35544</v>
      </c>
      <c r="D76" s="369">
        <v>22602539</v>
      </c>
      <c r="E76" s="369">
        <v>6154127</v>
      </c>
      <c r="F76" s="16">
        <f t="shared" si="10"/>
        <v>28756666</v>
      </c>
      <c r="G76" s="375">
        <v>4320739.1507790247</v>
      </c>
      <c r="H76" s="18">
        <f t="shared" si="11"/>
        <v>4320739.1507790247</v>
      </c>
      <c r="I76" s="21"/>
      <c r="J76" s="22">
        <f t="shared" si="12"/>
        <v>28756666</v>
      </c>
      <c r="K76" s="18">
        <f t="shared" si="13"/>
        <v>287566.66000000003</v>
      </c>
      <c r="L76" s="18"/>
    </row>
    <row r="77" spans="1:12">
      <c r="A77" s="2" t="s">
        <v>60</v>
      </c>
      <c r="B77" s="15" t="s">
        <v>28</v>
      </c>
      <c r="C77" s="369">
        <v>35040</v>
      </c>
      <c r="D77" s="369">
        <v>24193295</v>
      </c>
      <c r="E77" s="369">
        <v>6984381</v>
      </c>
      <c r="F77" s="16">
        <f t="shared" si="10"/>
        <v>31177676</v>
      </c>
      <c r="G77" s="375">
        <v>4615287.226467072</v>
      </c>
      <c r="H77" s="18">
        <f t="shared" si="11"/>
        <v>4615287.226467072</v>
      </c>
      <c r="I77" s="21"/>
      <c r="J77" s="22">
        <f t="shared" si="12"/>
        <v>31177676</v>
      </c>
      <c r="K77" s="18">
        <f t="shared" si="13"/>
        <v>311776.76</v>
      </c>
      <c r="L77" s="18"/>
    </row>
    <row r="78" spans="1:12">
      <c r="A78" s="2" t="s">
        <v>61</v>
      </c>
      <c r="B78" s="15" t="s">
        <v>28</v>
      </c>
      <c r="C78" s="369">
        <v>144600</v>
      </c>
      <c r="D78" s="369">
        <v>107834403.00000001</v>
      </c>
      <c r="E78" s="369">
        <v>28377968</v>
      </c>
      <c r="F78" s="16">
        <f t="shared" si="10"/>
        <v>136212371</v>
      </c>
      <c r="G78" s="375">
        <v>19414902.053558245</v>
      </c>
      <c r="H78" s="18">
        <f t="shared" si="11"/>
        <v>19414902.053558245</v>
      </c>
      <c r="I78" s="21"/>
      <c r="J78" s="22">
        <f t="shared" si="12"/>
        <v>136212371</v>
      </c>
      <c r="K78" s="18">
        <f t="shared" si="13"/>
        <v>1362123.71</v>
      </c>
      <c r="L78" s="18"/>
    </row>
    <row r="79" spans="1:12">
      <c r="A79" s="2" t="s">
        <v>62</v>
      </c>
      <c r="B79" s="15" t="s">
        <v>28</v>
      </c>
      <c r="C79" s="369">
        <v>37428</v>
      </c>
      <c r="D79" s="369">
        <v>59722475.500000007</v>
      </c>
      <c r="E79" s="369">
        <v>23831356.5</v>
      </c>
      <c r="F79" s="16">
        <f t="shared" si="10"/>
        <v>83553832</v>
      </c>
      <c r="G79" s="375">
        <v>9483825.3935847208</v>
      </c>
      <c r="H79" s="18">
        <f t="shared" si="11"/>
        <v>9483825.3935847208</v>
      </c>
      <c r="I79" s="21"/>
      <c r="J79" s="22">
        <f t="shared" si="12"/>
        <v>83553832</v>
      </c>
      <c r="K79" s="18">
        <f t="shared" si="13"/>
        <v>835538.32000000007</v>
      </c>
      <c r="L79" s="18"/>
    </row>
    <row r="80" spans="1:12">
      <c r="A80" s="2" t="s">
        <v>63</v>
      </c>
      <c r="B80" s="15"/>
      <c r="C80" s="369">
        <v>91575.782465523982</v>
      </c>
      <c r="D80" s="369">
        <v>187429065.5</v>
      </c>
      <c r="E80" s="369">
        <v>61497214.5</v>
      </c>
      <c r="F80" s="16">
        <f t="shared" si="10"/>
        <v>248926280</v>
      </c>
      <c r="G80" s="375">
        <v>40438630.76314076</v>
      </c>
      <c r="H80" s="18">
        <f t="shared" si="11"/>
        <v>40438630.76314076</v>
      </c>
      <c r="I80" s="21"/>
      <c r="J80" s="22">
        <f t="shared" si="12"/>
        <v>248926280</v>
      </c>
      <c r="K80" s="18">
        <f t="shared" si="13"/>
        <v>2489262.8000000003</v>
      </c>
      <c r="L80" s="18"/>
    </row>
    <row r="81" spans="1:12">
      <c r="A81" s="2" t="s">
        <v>64</v>
      </c>
      <c r="B81" s="15" t="s">
        <v>28</v>
      </c>
      <c r="C81" s="369">
        <v>10176</v>
      </c>
      <c r="D81" s="369">
        <v>21101905.499999996</v>
      </c>
      <c r="E81" s="369">
        <v>4670884.5</v>
      </c>
      <c r="F81" s="16">
        <f t="shared" si="10"/>
        <v>25772789.999999996</v>
      </c>
      <c r="G81" s="375">
        <v>3626446.40480184</v>
      </c>
      <c r="H81" s="18">
        <f t="shared" si="11"/>
        <v>3626446.40480184</v>
      </c>
      <c r="I81" s="21"/>
      <c r="J81" s="22">
        <f t="shared" si="12"/>
        <v>25772789.999999996</v>
      </c>
      <c r="K81" s="18">
        <f t="shared" si="13"/>
        <v>257727.89999999997</v>
      </c>
      <c r="L81" s="18"/>
    </row>
    <row r="82" spans="1:12">
      <c r="A82" s="2" t="s">
        <v>65</v>
      </c>
      <c r="B82" s="15" t="s">
        <v>28</v>
      </c>
      <c r="C82" s="369">
        <v>6852</v>
      </c>
      <c r="D82" s="369">
        <v>14553225.5</v>
      </c>
      <c r="E82" s="369">
        <v>3688684.5</v>
      </c>
      <c r="F82" s="16">
        <f t="shared" si="10"/>
        <v>18241910</v>
      </c>
      <c r="G82" s="375">
        <v>2416368.2660997361</v>
      </c>
      <c r="H82" s="18">
        <f t="shared" si="11"/>
        <v>2416368.2660997361</v>
      </c>
      <c r="I82" s="21"/>
      <c r="J82" s="22">
        <f t="shared" si="12"/>
        <v>18241910</v>
      </c>
      <c r="K82" s="18">
        <f t="shared" si="13"/>
        <v>182419.1</v>
      </c>
      <c r="L82" s="18"/>
    </row>
    <row r="83" spans="1:12">
      <c r="A83" s="2" t="s">
        <v>66</v>
      </c>
      <c r="B83" s="15" t="s">
        <v>28</v>
      </c>
      <c r="C83" s="369">
        <v>101629</v>
      </c>
      <c r="D83" s="369">
        <v>290197636.50000006</v>
      </c>
      <c r="E83" s="369">
        <v>84668478.5</v>
      </c>
      <c r="F83" s="16">
        <f t="shared" si="10"/>
        <v>374866115.00000006</v>
      </c>
      <c r="G83" s="26">
        <f>G85-G84</f>
        <v>48324506.124914974</v>
      </c>
      <c r="H83" s="18">
        <f t="shared" si="11"/>
        <v>48324506.124914974</v>
      </c>
      <c r="I83" s="21"/>
      <c r="J83" s="22">
        <f t="shared" si="12"/>
        <v>374866115.00000006</v>
      </c>
      <c r="K83" s="18">
        <f t="shared" si="13"/>
        <v>3748661.1500000008</v>
      </c>
      <c r="L83" s="18"/>
    </row>
    <row r="84" spans="1:12">
      <c r="A84" s="2" t="s">
        <v>66</v>
      </c>
      <c r="B84" s="15" t="s">
        <v>27</v>
      </c>
      <c r="C84" s="369">
        <v>11</v>
      </c>
      <c r="D84" s="369">
        <v>297113</v>
      </c>
      <c r="E84" s="369">
        <v>61509</v>
      </c>
      <c r="F84" s="16">
        <f t="shared" si="10"/>
        <v>358622</v>
      </c>
      <c r="G84" s="39">
        <v>35055</v>
      </c>
      <c r="H84" s="18">
        <f t="shared" si="11"/>
        <v>35055</v>
      </c>
      <c r="I84" s="21"/>
      <c r="J84" s="22">
        <f t="shared" si="12"/>
        <v>358622</v>
      </c>
      <c r="K84" s="18">
        <f t="shared" si="13"/>
        <v>3586.2200000000003</v>
      </c>
      <c r="L84" s="18"/>
    </row>
    <row r="85" spans="1:12">
      <c r="A85" s="2" t="s">
        <v>67</v>
      </c>
      <c r="B85" s="15"/>
      <c r="C85" s="16">
        <f>SUM(C83:C84)</f>
        <v>101640</v>
      </c>
      <c r="D85" s="16">
        <f>D83+D84</f>
        <v>290494749.50000006</v>
      </c>
      <c r="E85" s="16">
        <f>E83+E84</f>
        <v>84729987.5</v>
      </c>
      <c r="F85" s="16">
        <f>F83+F84</f>
        <v>375224737.00000006</v>
      </c>
      <c r="G85" s="375">
        <v>48359561.124914974</v>
      </c>
      <c r="H85" s="18">
        <f t="shared" si="11"/>
        <v>48359561.124914974</v>
      </c>
      <c r="I85" s="21"/>
      <c r="J85" s="22">
        <f t="shared" si="12"/>
        <v>375224737.00000006</v>
      </c>
      <c r="K85" s="18">
        <f t="shared" si="13"/>
        <v>3752247.3700000006</v>
      </c>
      <c r="L85" s="18"/>
    </row>
    <row r="86" spans="1:12">
      <c r="A86" s="2" t="s">
        <v>68</v>
      </c>
      <c r="B86" s="15" t="s">
        <v>28</v>
      </c>
      <c r="C86" s="369">
        <v>23496</v>
      </c>
      <c r="D86" s="369">
        <v>27387242</v>
      </c>
      <c r="E86" s="369">
        <v>10065671</v>
      </c>
      <c r="F86" s="16">
        <f>D86+E86</f>
        <v>37452913</v>
      </c>
      <c r="G86" s="375">
        <v>5123187.2002304737</v>
      </c>
      <c r="H86" s="18">
        <f t="shared" si="11"/>
        <v>5123187.2002304737</v>
      </c>
      <c r="I86" s="21"/>
      <c r="J86" s="22">
        <f t="shared" si="12"/>
        <v>37452913</v>
      </c>
      <c r="K86" s="18">
        <f t="shared" si="13"/>
        <v>374529.13</v>
      </c>
      <c r="L86" s="18"/>
    </row>
    <row r="87" spans="1:12">
      <c r="A87" s="2" t="s">
        <v>69</v>
      </c>
      <c r="B87" s="15" t="s">
        <v>28</v>
      </c>
      <c r="C87" s="369">
        <v>120225</v>
      </c>
      <c r="D87" s="369">
        <v>1344907911.4999998</v>
      </c>
      <c r="E87" s="369">
        <v>604438052.5</v>
      </c>
      <c r="F87" s="16">
        <f>D87+E87</f>
        <v>1949345963.9999998</v>
      </c>
      <c r="G87" s="26"/>
      <c r="H87" s="18"/>
      <c r="I87" s="21"/>
      <c r="J87" s="22">
        <f t="shared" si="12"/>
        <v>1949345963.9999998</v>
      </c>
      <c r="K87" s="18">
        <f t="shared" si="13"/>
        <v>19493459.639999997</v>
      </c>
      <c r="L87" s="18"/>
    </row>
    <row r="88" spans="1:12">
      <c r="A88" s="2" t="s">
        <v>69</v>
      </c>
      <c r="B88" s="41" t="s">
        <v>27</v>
      </c>
      <c r="C88" s="369">
        <v>303</v>
      </c>
      <c r="D88" s="369">
        <v>100702235</v>
      </c>
      <c r="E88" s="369">
        <v>51464449</v>
      </c>
      <c r="F88" s="16">
        <f>D88+E88</f>
        <v>152166684</v>
      </c>
      <c r="G88" s="39"/>
      <c r="H88" s="18"/>
      <c r="I88" s="21"/>
      <c r="J88" s="22">
        <f t="shared" si="12"/>
        <v>152166684</v>
      </c>
      <c r="K88" s="18">
        <f t="shared" si="13"/>
        <v>1521666.84</v>
      </c>
      <c r="L88" s="18"/>
    </row>
    <row r="89" spans="1:12">
      <c r="A89" s="2" t="s">
        <v>70</v>
      </c>
      <c r="B89" s="41"/>
      <c r="C89" s="16">
        <f>SUM(C87:C88)</f>
        <v>120528</v>
      </c>
      <c r="D89" s="16">
        <f>SUM(D87:D88)</f>
        <v>1445610146.4999998</v>
      </c>
      <c r="E89" s="16">
        <f>SUM(E87:E88)</f>
        <v>655902501.5</v>
      </c>
      <c r="F89" s="16">
        <f>SUM(F87:F88)</f>
        <v>2101512647.9999998</v>
      </c>
      <c r="G89" s="375">
        <v>184183076.65318903</v>
      </c>
      <c r="H89" s="18">
        <f>G89</f>
        <v>184183076.65318903</v>
      </c>
      <c r="I89" s="21"/>
      <c r="J89" s="22">
        <f t="shared" si="12"/>
        <v>2101512647.9999998</v>
      </c>
      <c r="K89" s="18">
        <f t="shared" si="13"/>
        <v>21015126.479999997</v>
      </c>
      <c r="L89" s="18"/>
    </row>
    <row r="90" spans="1:12">
      <c r="A90" s="2" t="s">
        <v>71</v>
      </c>
      <c r="B90" s="7"/>
      <c r="C90" s="369">
        <v>6408</v>
      </c>
      <c r="D90" s="369">
        <v>113979958.5</v>
      </c>
      <c r="E90" s="369">
        <v>42336000.5</v>
      </c>
      <c r="F90" s="16">
        <f>D90+E90</f>
        <v>156315959</v>
      </c>
      <c r="G90" s="375">
        <v>13473184.515866976</v>
      </c>
      <c r="H90" s="18">
        <f>G90</f>
        <v>13473184.515866976</v>
      </c>
      <c r="I90" s="21"/>
      <c r="J90" s="22">
        <f t="shared" si="12"/>
        <v>156315959</v>
      </c>
      <c r="K90" s="18">
        <f t="shared" si="13"/>
        <v>1563159.59</v>
      </c>
      <c r="L90" s="18"/>
    </row>
    <row r="91" spans="1:12">
      <c r="A91" s="3"/>
      <c r="B91" s="15"/>
      <c r="C91" s="21"/>
      <c r="D91" s="21"/>
      <c r="E91" s="21"/>
      <c r="F91" s="21"/>
      <c r="G91" s="23"/>
      <c r="H91" s="23"/>
      <c r="I91" s="42"/>
      <c r="J91" s="17"/>
    </row>
    <row r="92" spans="1:12">
      <c r="A92" s="2" t="s">
        <v>72</v>
      </c>
      <c r="B92" s="15"/>
      <c r="C92" s="21">
        <f t="shared" ref="C92:H92" si="14">SUM(C75:C79)</f>
        <v>660904.28784697596</v>
      </c>
      <c r="D92" s="21">
        <f t="shared" si="14"/>
        <v>347327160.125</v>
      </c>
      <c r="E92" s="21">
        <f t="shared" si="14"/>
        <v>112099806</v>
      </c>
      <c r="F92" s="21">
        <f t="shared" si="14"/>
        <v>459426966.125</v>
      </c>
      <c r="G92" s="23">
        <f t="shared" si="14"/>
        <v>75725715.61011529</v>
      </c>
      <c r="H92" s="23">
        <f t="shared" si="14"/>
        <v>75725715.61011529</v>
      </c>
      <c r="I92" s="23"/>
      <c r="J92" s="23">
        <f>SUM(J75:J79)</f>
        <v>459426966.125</v>
      </c>
      <c r="K92" s="23">
        <f>SUM(K75:K79)</f>
        <v>4594269.6612499999</v>
      </c>
      <c r="L92" s="23"/>
    </row>
    <row r="93" spans="1:12">
      <c r="A93" s="2" t="s">
        <v>73</v>
      </c>
      <c r="B93" s="15"/>
      <c r="C93" s="21">
        <f>SUM(C80:C84,C86:C88,C90)</f>
        <v>360675.78246552398</v>
      </c>
      <c r="D93" s="21">
        <f>SUM(D80:D84,D86:D88,D90)</f>
        <v>2100556292.9999998</v>
      </c>
      <c r="E93" s="21">
        <f>SUM(E80:E84,E86:E88,E90)</f>
        <v>862890944</v>
      </c>
      <c r="F93" s="21">
        <f>SUM(F80:F84,F86:F88,F90)</f>
        <v>2963447237</v>
      </c>
      <c r="G93" s="21">
        <f>SUM(G80:G84,G86:G86,G89,G90)</f>
        <v>297620454.92824382</v>
      </c>
      <c r="H93" s="21">
        <f>SUM(H80:H84,H86:H86,H89,H90)</f>
        <v>297620454.92824382</v>
      </c>
      <c r="I93" s="21"/>
      <c r="J93" s="21">
        <f>SUM(J80:J84,J86:J88,J90)</f>
        <v>2963447237</v>
      </c>
      <c r="K93" s="21">
        <f>SUM(K80:K84,K86:K88,K90)</f>
        <v>29634472.369999997</v>
      </c>
      <c r="L93" s="21"/>
    </row>
    <row r="94" spans="1:12">
      <c r="A94" s="3" t="s">
        <v>74</v>
      </c>
      <c r="B94" s="1"/>
      <c r="C94" s="16">
        <f t="shared" ref="C94:H94" si="15">SUM(C92:C93)</f>
        <v>1021580.0703125</v>
      </c>
      <c r="D94" s="16">
        <f t="shared" si="15"/>
        <v>2447883453.125</v>
      </c>
      <c r="E94" s="16">
        <f t="shared" si="15"/>
        <v>974990750</v>
      </c>
      <c r="F94" s="16">
        <f t="shared" si="15"/>
        <v>3422874203.125</v>
      </c>
      <c r="G94" s="18">
        <f t="shared" si="15"/>
        <v>373346170.53835911</v>
      </c>
      <c r="H94" s="18">
        <f t="shared" si="15"/>
        <v>373346170.53835911</v>
      </c>
      <c r="I94" s="18"/>
      <c r="J94" s="18">
        <f>SUM(J92:J93)</f>
        <v>3422874203.125</v>
      </c>
      <c r="K94" s="18">
        <f>SUM(K92:K93)</f>
        <v>34228742.03125</v>
      </c>
      <c r="L94" s="18"/>
    </row>
    <row r="95" spans="1:12">
      <c r="A95" s="3"/>
      <c r="B95" s="15"/>
      <c r="C95" s="21"/>
      <c r="D95" s="21"/>
      <c r="E95" s="21"/>
      <c r="F95" s="21"/>
      <c r="G95" s="23"/>
      <c r="H95" s="23"/>
      <c r="I95" s="21"/>
      <c r="J95" s="22"/>
    </row>
    <row r="96" spans="1:12">
      <c r="A96" s="3" t="s">
        <v>75</v>
      </c>
      <c r="B96" s="1"/>
      <c r="C96" s="16"/>
      <c r="D96" s="16"/>
      <c r="E96" s="16"/>
      <c r="F96" s="16"/>
      <c r="G96" s="18"/>
      <c r="H96" s="18"/>
      <c r="I96" s="21"/>
      <c r="J96" s="22"/>
    </row>
    <row r="97" spans="1:12">
      <c r="A97" s="2" t="s">
        <v>76</v>
      </c>
      <c r="B97" s="1" t="s">
        <v>21</v>
      </c>
      <c r="C97" s="369">
        <v>1099</v>
      </c>
      <c r="D97" s="369">
        <v>2115490004.0957093</v>
      </c>
      <c r="E97" s="369">
        <v>1961752522.1399276</v>
      </c>
      <c r="F97" s="16">
        <f>D97+E97</f>
        <v>4077242526.2356367</v>
      </c>
      <c r="G97" s="375">
        <v>210910807.63365865</v>
      </c>
      <c r="H97" s="18">
        <f>G97</f>
        <v>210910807.63365865</v>
      </c>
      <c r="I97" s="21"/>
      <c r="J97" s="22">
        <f>F97-I97</f>
        <v>4077242526.2356367</v>
      </c>
      <c r="K97" s="18">
        <f>$K$2*F97</f>
        <v>40772425.262356371</v>
      </c>
      <c r="L97" s="18"/>
    </row>
    <row r="98" spans="1:12">
      <c r="A98" s="2" t="s">
        <v>44</v>
      </c>
      <c r="B98" s="1" t="s">
        <v>21</v>
      </c>
      <c r="C98" s="369">
        <v>792</v>
      </c>
      <c r="D98" s="369">
        <v>1537085798.0071533</v>
      </c>
      <c r="E98" s="369">
        <v>1427802411.7727008</v>
      </c>
      <c r="F98" s="16">
        <f>D98+E98</f>
        <v>2964888209.7798538</v>
      </c>
      <c r="G98" s="375">
        <v>119756012.11419216</v>
      </c>
      <c r="H98" s="18">
        <f>G98</f>
        <v>119756012.11419216</v>
      </c>
      <c r="I98" s="21"/>
      <c r="J98" s="22">
        <f>F98-I98</f>
        <v>2964888209.7798538</v>
      </c>
      <c r="K98" s="18">
        <f>$K$2*F98</f>
        <v>29648882.097798537</v>
      </c>
      <c r="L98" s="376">
        <v>-31857082.911334433</v>
      </c>
    </row>
    <row r="99" spans="1:12">
      <c r="A99" s="3" t="s">
        <v>77</v>
      </c>
      <c r="B99" s="1"/>
      <c r="C99" s="16">
        <f t="shared" ref="C99:H99" si="16">SUM(C97:C98)</f>
        <v>1891</v>
      </c>
      <c r="D99" s="16">
        <f t="shared" si="16"/>
        <v>3652575802.1028624</v>
      </c>
      <c r="E99" s="16">
        <f t="shared" si="16"/>
        <v>3389554933.9126282</v>
      </c>
      <c r="F99" s="16">
        <f t="shared" si="16"/>
        <v>7042130736.0154905</v>
      </c>
      <c r="G99" s="18">
        <f t="shared" si="16"/>
        <v>330666819.74785078</v>
      </c>
      <c r="H99" s="18">
        <f t="shared" si="16"/>
        <v>330666819.74785078</v>
      </c>
      <c r="I99" s="21"/>
      <c r="J99" s="22">
        <f>F99-I99</f>
        <v>7042130736.0154905</v>
      </c>
      <c r="K99" s="51">
        <f>SUM(K97:K98)</f>
        <v>70421307.360154912</v>
      </c>
      <c r="L99" s="43">
        <f>SUM(L97:L98)</f>
        <v>-31857082.911334433</v>
      </c>
    </row>
    <row r="100" spans="1:12">
      <c r="A100" s="3"/>
      <c r="B100" s="15"/>
      <c r="C100" s="16"/>
      <c r="D100" s="16"/>
      <c r="E100" s="16"/>
      <c r="F100" s="16"/>
      <c r="G100" s="18"/>
      <c r="H100" s="18"/>
      <c r="I100" s="21"/>
      <c r="J100" s="22"/>
    </row>
    <row r="101" spans="1:12">
      <c r="A101" s="3" t="s">
        <v>78</v>
      </c>
      <c r="B101" s="1" t="s">
        <v>27</v>
      </c>
      <c r="C101" s="369">
        <v>4787.1104736328125</v>
      </c>
      <c r="D101" s="369">
        <v>2701548075.1016083</v>
      </c>
      <c r="E101" s="369">
        <v>2509748328.8846178</v>
      </c>
      <c r="F101" s="16">
        <f>D101+E101</f>
        <v>5211296403.9862261</v>
      </c>
      <c r="G101" s="375">
        <v>362915721.76694965</v>
      </c>
      <c r="H101" s="18">
        <f>G101</f>
        <v>362915721.76694965</v>
      </c>
      <c r="I101" s="21"/>
      <c r="J101" s="22">
        <f>F101-I101</f>
        <v>5211296403.9862261</v>
      </c>
      <c r="K101" s="18">
        <f>$K$2*F101</f>
        <v>52112964.03986226</v>
      </c>
      <c r="L101" s="18"/>
    </row>
    <row r="102" spans="1:12">
      <c r="A102" s="2" t="s">
        <v>44</v>
      </c>
      <c r="B102" s="1" t="s">
        <v>27</v>
      </c>
      <c r="C102" s="369">
        <v>960</v>
      </c>
      <c r="D102" s="369">
        <v>546096666.17737412</v>
      </c>
      <c r="E102" s="369">
        <v>503553101.48070246</v>
      </c>
      <c r="F102" s="16">
        <f>D102+E102</f>
        <v>1049649767.6580765</v>
      </c>
      <c r="G102" s="375">
        <v>62043108.647790752</v>
      </c>
      <c r="H102" s="18">
        <f>G102</f>
        <v>62043108.647790752</v>
      </c>
      <c r="I102" s="21"/>
      <c r="J102" s="22">
        <f>F102-I102</f>
        <v>1049649767.6580765</v>
      </c>
      <c r="K102" s="18">
        <f>$K$2*F102</f>
        <v>10496497.676580766</v>
      </c>
      <c r="L102" s="376">
        <v>-12572660.410334589</v>
      </c>
    </row>
    <row r="103" spans="1:12">
      <c r="A103" s="3" t="s">
        <v>79</v>
      </c>
      <c r="B103" s="1"/>
      <c r="C103" s="16">
        <f t="shared" ref="C103:H103" si="17">SUM(C101:C102)</f>
        <v>5747.1104736328125</v>
      </c>
      <c r="D103" s="16">
        <f t="shared" si="17"/>
        <v>3247644741.2789822</v>
      </c>
      <c r="E103" s="16">
        <f t="shared" si="17"/>
        <v>3013301430.3653202</v>
      </c>
      <c r="F103" s="16">
        <f t="shared" si="17"/>
        <v>6260946171.6443024</v>
      </c>
      <c r="G103" s="18">
        <f t="shared" si="17"/>
        <v>424958830.41474038</v>
      </c>
      <c r="H103" s="18">
        <f t="shared" si="17"/>
        <v>424958830.41474038</v>
      </c>
      <c r="I103" s="21"/>
      <c r="J103" s="22">
        <f>F103-I103</f>
        <v>6260946171.6443024</v>
      </c>
      <c r="K103" s="51">
        <f>SUM(K101:K102)</f>
        <v>62609461.716443025</v>
      </c>
      <c r="L103" s="43">
        <f>SUM(L101:L102)</f>
        <v>-12572660.410334589</v>
      </c>
    </row>
    <row r="104" spans="1:12">
      <c r="B104" s="15"/>
      <c r="C104" s="21"/>
      <c r="D104" s="21"/>
      <c r="E104" s="21"/>
      <c r="F104" s="21"/>
      <c r="G104" s="23"/>
      <c r="H104" s="23"/>
      <c r="I104" s="28"/>
      <c r="J104" s="31"/>
    </row>
    <row r="105" spans="1:12">
      <c r="A105" s="3" t="s">
        <v>78</v>
      </c>
      <c r="B105" s="1" t="s">
        <v>28</v>
      </c>
      <c r="C105" s="369">
        <v>4513</v>
      </c>
      <c r="D105" s="369">
        <v>1569760856.7208147</v>
      </c>
      <c r="E105" s="369">
        <v>1455575921.5446928</v>
      </c>
      <c r="F105" s="16">
        <f>D105+E105</f>
        <v>3025336778.2655077</v>
      </c>
      <c r="G105" s="375">
        <v>250994553.9026736</v>
      </c>
      <c r="H105" s="375">
        <v>250994553.9026736</v>
      </c>
      <c r="I105" s="21"/>
      <c r="J105" s="22">
        <f>F105-I105</f>
        <v>3025336778.2655077</v>
      </c>
      <c r="K105" s="18">
        <f>$K$2*F105</f>
        <v>30253367.782655079</v>
      </c>
      <c r="L105" s="18"/>
    </row>
    <row r="106" spans="1:12">
      <c r="A106" s="2" t="s">
        <v>44</v>
      </c>
      <c r="B106" s="1" t="s">
        <v>28</v>
      </c>
      <c r="C106" s="369">
        <v>240</v>
      </c>
      <c r="D106" s="369">
        <v>84223882.831434727</v>
      </c>
      <c r="E106" s="369">
        <v>78032462.679421499</v>
      </c>
      <c r="F106" s="16">
        <f>D106+E106</f>
        <v>162256345.51085621</v>
      </c>
      <c r="G106" s="375">
        <v>11798288.744451225</v>
      </c>
      <c r="H106" s="375">
        <v>11798288.744451225</v>
      </c>
      <c r="I106" s="21"/>
      <c r="J106" s="22">
        <f>F106-I106</f>
        <v>162256345.51085621</v>
      </c>
      <c r="K106" s="18">
        <f>$K$2*F106</f>
        <v>1622563.4551085623</v>
      </c>
      <c r="L106" s="376">
        <v>-2049114.6382029529</v>
      </c>
    </row>
    <row r="107" spans="1:12">
      <c r="A107" s="3" t="s">
        <v>80</v>
      </c>
      <c r="B107" s="1"/>
      <c r="C107" s="16">
        <f t="shared" ref="C107:H107" si="18">SUM(C105:C106)</f>
        <v>4753</v>
      </c>
      <c r="D107" s="16">
        <f t="shared" si="18"/>
        <v>1653984739.5522494</v>
      </c>
      <c r="E107" s="16">
        <f t="shared" si="18"/>
        <v>1533608384.2241142</v>
      </c>
      <c r="F107" s="16">
        <f t="shared" si="18"/>
        <v>3187593123.7763638</v>
      </c>
      <c r="G107" s="18">
        <f t="shared" si="18"/>
        <v>262792842.64712483</v>
      </c>
      <c r="H107" s="18">
        <f t="shared" si="18"/>
        <v>262792842.64712483</v>
      </c>
      <c r="I107" s="21"/>
      <c r="J107" s="22">
        <f>F107-I107</f>
        <v>3187593123.7763638</v>
      </c>
      <c r="K107" s="51">
        <f>SUM(K105:K106)</f>
        <v>31875931.23776364</v>
      </c>
      <c r="L107" s="43">
        <f>SUM(L105:L106)</f>
        <v>-2049114.6382029529</v>
      </c>
    </row>
    <row r="108" spans="1:12">
      <c r="A108" s="3"/>
      <c r="B108" s="15"/>
      <c r="C108" s="21"/>
      <c r="D108" s="21"/>
      <c r="E108" s="21"/>
      <c r="F108" s="21"/>
      <c r="G108" s="23"/>
      <c r="H108" s="23"/>
      <c r="I108" s="21"/>
      <c r="J108" s="22"/>
    </row>
    <row r="109" spans="1:12">
      <c r="A109" s="2" t="s">
        <v>81</v>
      </c>
      <c r="B109" s="1" t="s">
        <v>21</v>
      </c>
      <c r="C109" s="369">
        <v>12</v>
      </c>
      <c r="D109" s="369">
        <v>1740000</v>
      </c>
      <c r="E109" s="369">
        <v>1740000</v>
      </c>
      <c r="F109" s="16">
        <f>D109+E109</f>
        <v>3480000</v>
      </c>
      <c r="G109" s="375">
        <v>224444.92674049229</v>
      </c>
      <c r="H109" s="18">
        <f>G109</f>
        <v>224444.92674049229</v>
      </c>
      <c r="I109" s="21"/>
      <c r="J109" s="22">
        <f>F109-I109</f>
        <v>3480000</v>
      </c>
      <c r="K109" s="18">
        <f>$K$2*F109</f>
        <v>34800</v>
      </c>
      <c r="L109" s="18"/>
    </row>
    <row r="110" spans="1:12">
      <c r="A110" s="2" t="s">
        <v>82</v>
      </c>
      <c r="B110" s="1" t="s">
        <v>28</v>
      </c>
      <c r="C110" s="369">
        <v>349</v>
      </c>
      <c r="D110" s="369">
        <v>159553403.5</v>
      </c>
      <c r="E110" s="369">
        <v>193360392.5</v>
      </c>
      <c r="F110" s="16">
        <f>D110+E110</f>
        <v>352913796</v>
      </c>
      <c r="G110" s="375">
        <v>25462163.43918119</v>
      </c>
      <c r="H110" s="18">
        <f>G110</f>
        <v>25462163.43918119</v>
      </c>
      <c r="I110" s="21"/>
      <c r="J110" s="22">
        <f>F110-I110</f>
        <v>352913796</v>
      </c>
      <c r="K110" s="18">
        <f>$K$2*F110</f>
        <v>3529137.96</v>
      </c>
      <c r="L110" s="18"/>
    </row>
    <row r="111" spans="1:12">
      <c r="A111" s="3" t="s">
        <v>83</v>
      </c>
      <c r="B111" s="15"/>
      <c r="C111" s="16">
        <f t="shared" ref="C111:H111" si="19">SUM(C109:C110)</f>
        <v>361</v>
      </c>
      <c r="D111" s="16">
        <f t="shared" si="19"/>
        <v>161293403.5</v>
      </c>
      <c r="E111" s="16">
        <f t="shared" si="19"/>
        <v>195100392.5</v>
      </c>
      <c r="F111" s="16">
        <f t="shared" si="19"/>
        <v>356393796</v>
      </c>
      <c r="G111" s="18">
        <f t="shared" si="19"/>
        <v>25686608.365921684</v>
      </c>
      <c r="H111" s="18">
        <f t="shared" si="19"/>
        <v>25686608.365921684</v>
      </c>
      <c r="I111" s="21"/>
      <c r="J111" s="22">
        <f>F111-I111</f>
        <v>356393796</v>
      </c>
      <c r="K111" s="51">
        <f>SUM(K109:K110)</f>
        <v>3563937.96</v>
      </c>
      <c r="L111" s="43">
        <f>SUM(L109:L110)</f>
        <v>0</v>
      </c>
    </row>
    <row r="112" spans="1:12">
      <c r="A112" s="3"/>
      <c r="B112" s="15"/>
      <c r="C112" s="21"/>
      <c r="D112" s="21"/>
      <c r="E112" s="21"/>
      <c r="F112" s="21"/>
      <c r="G112" s="23"/>
      <c r="H112" s="23"/>
      <c r="I112" s="21"/>
      <c r="J112" s="22"/>
    </row>
    <row r="113" spans="1:12">
      <c r="A113" s="3" t="s">
        <v>84</v>
      </c>
      <c r="B113" s="15" t="s">
        <v>21</v>
      </c>
      <c r="C113" s="44">
        <f>C109+C99</f>
        <v>1903</v>
      </c>
      <c r="D113" s="44">
        <f>D109+D99</f>
        <v>3654315802.1028624</v>
      </c>
      <c r="E113" s="44">
        <f>E109+E99</f>
        <v>3391294933.9126282</v>
      </c>
      <c r="F113" s="44">
        <f>F109+F99</f>
        <v>7045610736.0154905</v>
      </c>
      <c r="G113" s="18">
        <f>G99+G109</f>
        <v>330891264.67459124</v>
      </c>
      <c r="H113" s="18">
        <f>H99+H109</f>
        <v>330891264.67459124</v>
      </c>
      <c r="I113" s="21"/>
      <c r="J113" s="22">
        <f>F113-I113</f>
        <v>7045610736.0154905</v>
      </c>
      <c r="K113" s="51">
        <f>K109+K99</f>
        <v>70456107.360154912</v>
      </c>
      <c r="L113" s="51">
        <f>L109+L99</f>
        <v>-31857082.911334433</v>
      </c>
    </row>
    <row r="114" spans="1:12">
      <c r="A114" s="3"/>
      <c r="B114" s="15" t="s">
        <v>27</v>
      </c>
      <c r="C114" s="44">
        <f t="shared" ref="C114:H114" si="20">C103</f>
        <v>5747.1104736328125</v>
      </c>
      <c r="D114" s="44">
        <f t="shared" si="20"/>
        <v>3247644741.2789822</v>
      </c>
      <c r="E114" s="44">
        <f t="shared" si="20"/>
        <v>3013301430.3653202</v>
      </c>
      <c r="F114" s="44">
        <f t="shared" si="20"/>
        <v>6260946171.6443024</v>
      </c>
      <c r="G114" s="18">
        <f t="shared" si="20"/>
        <v>424958830.41474038</v>
      </c>
      <c r="H114" s="18">
        <f t="shared" si="20"/>
        <v>424958830.41474038</v>
      </c>
      <c r="I114" s="21"/>
      <c r="J114" s="22">
        <f>J103</f>
        <v>6260946171.6443024</v>
      </c>
      <c r="K114" s="51">
        <f>K103</f>
        <v>62609461.716443025</v>
      </c>
      <c r="L114" s="51">
        <f>L103</f>
        <v>-12572660.410334589</v>
      </c>
    </row>
    <row r="115" spans="1:12">
      <c r="A115" s="3"/>
      <c r="B115" s="15" t="s">
        <v>28</v>
      </c>
      <c r="C115" s="16">
        <f>C110+C107</f>
        <v>5102</v>
      </c>
      <c r="D115" s="16">
        <f>D110+D107</f>
        <v>1813538143.0522494</v>
      </c>
      <c r="E115" s="16">
        <f>E110+E107</f>
        <v>1726968776.7241142</v>
      </c>
      <c r="F115" s="16">
        <f>F110+F107</f>
        <v>3540506919.7763638</v>
      </c>
      <c r="G115" s="18">
        <f>G110+G107</f>
        <v>288255006.08630604</v>
      </c>
      <c r="H115" s="18">
        <f>H107+H110</f>
        <v>288255006.08630604</v>
      </c>
      <c r="I115" s="21"/>
      <c r="J115" s="22">
        <f>F115-I115</f>
        <v>3540506919.7763638</v>
      </c>
      <c r="K115" s="51">
        <f>K110+K107</f>
        <v>35405069.197763637</v>
      </c>
      <c r="L115" s="51">
        <f>L110+L107</f>
        <v>-2049114.6382029529</v>
      </c>
    </row>
    <row r="116" spans="1:12">
      <c r="A116" s="3" t="s">
        <v>84</v>
      </c>
      <c r="B116" s="15"/>
      <c r="C116" s="21">
        <f>C113+C114+C115</f>
        <v>12752.110473632813</v>
      </c>
      <c r="D116" s="21">
        <f>D113+D114+D115</f>
        <v>8715498686.4340935</v>
      </c>
      <c r="E116" s="21">
        <f>E113+E114+E115</f>
        <v>8131565141.0020628</v>
      </c>
      <c r="F116" s="21">
        <f>F113+F114+F115</f>
        <v>16847063827.436157</v>
      </c>
      <c r="G116" s="23">
        <f>SUM(G113:G115)</f>
        <v>1044105101.1756377</v>
      </c>
      <c r="H116" s="23">
        <f>SUM(H113:H115)</f>
        <v>1044105101.1756377</v>
      </c>
      <c r="I116" s="21"/>
      <c r="J116" s="22">
        <f>F116-I116</f>
        <v>16847063827.436157</v>
      </c>
      <c r="K116" s="51">
        <f>SUM(K113:K115)</f>
        <v>168470638.27436155</v>
      </c>
      <c r="L116" s="51">
        <f>SUM(L113:L115)</f>
        <v>-46478857.95987197</v>
      </c>
    </row>
    <row r="117" spans="1:12">
      <c r="A117" s="3"/>
      <c r="B117" s="15"/>
      <c r="C117" s="21"/>
      <c r="D117" s="21"/>
      <c r="E117" s="21"/>
      <c r="F117" s="21"/>
      <c r="G117" s="23"/>
      <c r="H117" s="23"/>
      <c r="I117" s="21"/>
      <c r="J117" s="22"/>
    </row>
    <row r="118" spans="1:12">
      <c r="A118" s="3" t="s">
        <v>85</v>
      </c>
      <c r="B118" s="1" t="s">
        <v>21</v>
      </c>
      <c r="C118" s="369">
        <v>12</v>
      </c>
      <c r="D118" s="369">
        <v>207024000</v>
      </c>
      <c r="E118" s="369">
        <v>151824000</v>
      </c>
      <c r="F118" s="16">
        <f>D118+E118</f>
        <v>358848000</v>
      </c>
      <c r="G118" s="375">
        <v>17626446.149999999</v>
      </c>
      <c r="H118" s="18">
        <f>G118</f>
        <v>17626446.149999999</v>
      </c>
      <c r="I118" s="21">
        <f>F118</f>
        <v>358848000</v>
      </c>
      <c r="J118" s="22">
        <f>F118-I118</f>
        <v>0</v>
      </c>
      <c r="K118" s="18">
        <f>$K$2*F118</f>
        <v>3588480</v>
      </c>
      <c r="L118" s="18"/>
    </row>
    <row r="119" spans="1:12">
      <c r="A119" s="3"/>
      <c r="B119" s="1" t="s">
        <v>27</v>
      </c>
      <c r="C119" s="369">
        <v>0</v>
      </c>
      <c r="D119" s="369">
        <v>0</v>
      </c>
      <c r="E119" s="369">
        <v>0</v>
      </c>
      <c r="F119" s="16">
        <f>D119+E119</f>
        <v>0</v>
      </c>
      <c r="G119" s="375">
        <v>0</v>
      </c>
      <c r="H119" s="18">
        <f>G119</f>
        <v>0</v>
      </c>
      <c r="I119" s="21">
        <f>F119</f>
        <v>0</v>
      </c>
      <c r="J119" s="22">
        <f>F119-I119</f>
        <v>0</v>
      </c>
      <c r="K119" s="18">
        <f>$K$2*F119</f>
        <v>0</v>
      </c>
      <c r="L119" s="18"/>
    </row>
    <row r="120" spans="1:12">
      <c r="A120" s="3"/>
      <c r="B120" s="1" t="s">
        <v>28</v>
      </c>
      <c r="C120" s="369">
        <v>36</v>
      </c>
      <c r="D120" s="369">
        <v>15007302</v>
      </c>
      <c r="E120" s="369">
        <v>13527372</v>
      </c>
      <c r="F120" s="16">
        <f>D120+E120</f>
        <v>28534674</v>
      </c>
      <c r="G120" s="375">
        <v>1782797.25</v>
      </c>
      <c r="H120" s="18">
        <f>G120</f>
        <v>1782797.25</v>
      </c>
      <c r="I120" s="21">
        <f>F120</f>
        <v>28534674</v>
      </c>
      <c r="J120" s="22">
        <f>F120-I120</f>
        <v>0</v>
      </c>
      <c r="K120" s="18">
        <f>$K$2*F120</f>
        <v>285346.74</v>
      </c>
      <c r="L120" s="18"/>
    </row>
    <row r="121" spans="1:12">
      <c r="A121" s="3" t="s">
        <v>86</v>
      </c>
      <c r="B121" s="15"/>
      <c r="C121" s="16">
        <f>SUM(C118:C120)</f>
        <v>48</v>
      </c>
      <c r="D121" s="16">
        <f>SUM(D118:D120)</f>
        <v>222031302</v>
      </c>
      <c r="E121" s="16">
        <f>SUM(E118:E120)</f>
        <v>165351372</v>
      </c>
      <c r="F121" s="16">
        <f>D121+E121</f>
        <v>387382674</v>
      </c>
      <c r="G121" s="18">
        <f>SUM(G118:G120)</f>
        <v>19409243.399999999</v>
      </c>
      <c r="H121" s="18">
        <f>SUM(H118:H120)</f>
        <v>19409243.399999999</v>
      </c>
      <c r="I121" s="21">
        <f>SUM(I118:I120)</f>
        <v>387382674</v>
      </c>
      <c r="J121" s="22">
        <f>F121-I121</f>
        <v>0</v>
      </c>
      <c r="K121" s="51">
        <f>SUM(K118:K120)</f>
        <v>3873826.74</v>
      </c>
      <c r="L121" s="51"/>
    </row>
    <row r="122" spans="1:12">
      <c r="A122" s="3"/>
      <c r="B122" s="15"/>
      <c r="C122" s="21"/>
      <c r="D122" s="21"/>
      <c r="E122" s="21"/>
      <c r="F122" s="21"/>
      <c r="G122" s="23"/>
      <c r="H122" s="23"/>
      <c r="I122" s="21"/>
      <c r="J122" s="22"/>
    </row>
    <row r="123" spans="1:12">
      <c r="A123" s="3" t="s">
        <v>87</v>
      </c>
      <c r="B123" s="15" t="s">
        <v>21</v>
      </c>
      <c r="C123" s="21">
        <f t="shared" ref="C123:I125" si="21">C118+C113</f>
        <v>1915</v>
      </c>
      <c r="D123" s="21">
        <f t="shared" si="21"/>
        <v>3861339802.1028624</v>
      </c>
      <c r="E123" s="21">
        <f t="shared" si="21"/>
        <v>3543118933.9126282</v>
      </c>
      <c r="F123" s="21">
        <f t="shared" si="21"/>
        <v>7404458736.0154905</v>
      </c>
      <c r="G123" s="23">
        <f t="shared" si="21"/>
        <v>348517710.82459122</v>
      </c>
      <c r="H123" s="23">
        <f t="shared" si="21"/>
        <v>348517710.82459122</v>
      </c>
      <c r="I123" s="21">
        <f t="shared" si="21"/>
        <v>358848000</v>
      </c>
      <c r="J123" s="22">
        <f>F123-I123</f>
        <v>7045610736.0154905</v>
      </c>
      <c r="K123" s="23">
        <f t="shared" ref="K123:L125" si="22">K118+K113</f>
        <v>74044587.360154912</v>
      </c>
      <c r="L123" s="23">
        <f t="shared" si="22"/>
        <v>-31857082.911334433</v>
      </c>
    </row>
    <row r="124" spans="1:12">
      <c r="A124" s="3"/>
      <c r="B124" s="15" t="s">
        <v>27</v>
      </c>
      <c r="C124" s="21">
        <f t="shared" si="21"/>
        <v>5747.1104736328125</v>
      </c>
      <c r="D124" s="21">
        <f t="shared" si="21"/>
        <v>3247644741.2789822</v>
      </c>
      <c r="E124" s="21">
        <f t="shared" si="21"/>
        <v>3013301430.3653202</v>
      </c>
      <c r="F124" s="21">
        <f t="shared" si="21"/>
        <v>6260946171.6443024</v>
      </c>
      <c r="G124" s="23">
        <f t="shared" si="21"/>
        <v>424958830.41474038</v>
      </c>
      <c r="H124" s="23">
        <f t="shared" si="21"/>
        <v>424958830.41474038</v>
      </c>
      <c r="I124" s="21">
        <f t="shared" si="21"/>
        <v>0</v>
      </c>
      <c r="J124" s="22">
        <f>F124-I124</f>
        <v>6260946171.6443024</v>
      </c>
      <c r="K124" s="23">
        <f t="shared" si="22"/>
        <v>62609461.716443025</v>
      </c>
      <c r="L124" s="23">
        <f t="shared" si="22"/>
        <v>-12572660.410334589</v>
      </c>
    </row>
    <row r="125" spans="1:12">
      <c r="A125" s="3"/>
      <c r="B125" s="15" t="s">
        <v>28</v>
      </c>
      <c r="C125" s="21">
        <f t="shared" si="21"/>
        <v>5138</v>
      </c>
      <c r="D125" s="21">
        <f t="shared" si="21"/>
        <v>1828545445.0522494</v>
      </c>
      <c r="E125" s="21">
        <f t="shared" si="21"/>
        <v>1740496148.7241142</v>
      </c>
      <c r="F125" s="21">
        <f t="shared" si="21"/>
        <v>3569041593.7763638</v>
      </c>
      <c r="G125" s="23">
        <f t="shared" si="21"/>
        <v>290037803.33630604</v>
      </c>
      <c r="H125" s="23">
        <f t="shared" si="21"/>
        <v>290037803.33630604</v>
      </c>
      <c r="I125" s="21">
        <f t="shared" si="21"/>
        <v>28534674</v>
      </c>
      <c r="J125" s="22">
        <f>F125-I125</f>
        <v>3540506919.7763638</v>
      </c>
      <c r="K125" s="23">
        <f t="shared" si="22"/>
        <v>35690415.937763639</v>
      </c>
      <c r="L125" s="23">
        <f t="shared" si="22"/>
        <v>-2049114.6382029529</v>
      </c>
    </row>
    <row r="126" spans="1:12">
      <c r="A126" s="3" t="s">
        <v>87</v>
      </c>
      <c r="B126" s="15"/>
      <c r="C126" s="21">
        <f t="shared" ref="C126:I126" si="23">C123+C124+C125</f>
        <v>12800.110473632813</v>
      </c>
      <c r="D126" s="21">
        <f t="shared" si="23"/>
        <v>8937529988.4340935</v>
      </c>
      <c r="E126" s="21">
        <f t="shared" si="23"/>
        <v>8296916513.0020628</v>
      </c>
      <c r="F126" s="21">
        <f t="shared" si="23"/>
        <v>17234446501.436157</v>
      </c>
      <c r="G126" s="23">
        <f t="shared" si="23"/>
        <v>1063514344.5756376</v>
      </c>
      <c r="H126" s="23">
        <f t="shared" si="23"/>
        <v>1063514344.5756376</v>
      </c>
      <c r="I126" s="21">
        <f t="shared" si="23"/>
        <v>387382674</v>
      </c>
      <c r="J126" s="22">
        <f>F126-I126</f>
        <v>16847063827.436157</v>
      </c>
      <c r="K126" s="23">
        <f>K123+K124+K125</f>
        <v>172344465.01436156</v>
      </c>
      <c r="L126" s="23">
        <f>L123+L124+L125</f>
        <v>-46478857.95987197</v>
      </c>
    </row>
    <row r="127" spans="1:12">
      <c r="A127" s="3"/>
      <c r="B127" s="15"/>
      <c r="C127" s="21"/>
      <c r="D127" s="21"/>
      <c r="E127" s="21"/>
      <c r="F127" s="21"/>
      <c r="G127" s="23"/>
      <c r="H127" s="23"/>
      <c r="I127" s="21"/>
      <c r="J127" s="22"/>
    </row>
    <row r="128" spans="1:12">
      <c r="A128" s="3" t="s">
        <v>88</v>
      </c>
      <c r="B128" s="15" t="s">
        <v>21</v>
      </c>
      <c r="C128" s="374">
        <v>0</v>
      </c>
      <c r="D128" s="385">
        <v>115930220</v>
      </c>
      <c r="E128" s="372">
        <v>115181220.00000003</v>
      </c>
      <c r="F128" s="21">
        <f>SUM(D128:E128)</f>
        <v>231111440.00000003</v>
      </c>
      <c r="G128" s="386">
        <v>744345.6097411206</v>
      </c>
      <c r="H128" s="23">
        <f>G128</f>
        <v>744345.6097411206</v>
      </c>
      <c r="I128" s="21"/>
      <c r="J128" s="22">
        <f>F128-I128</f>
        <v>231111440.00000003</v>
      </c>
    </row>
    <row r="129" spans="1:15">
      <c r="A129" s="3" t="s">
        <v>88</v>
      </c>
      <c r="B129" s="15" t="s">
        <v>28</v>
      </c>
      <c r="C129" s="374">
        <v>0</v>
      </c>
      <c r="D129" s="385">
        <v>33869780</v>
      </c>
      <c r="E129" s="372">
        <v>34618780</v>
      </c>
      <c r="F129" s="21">
        <f>SUM(D129:E129)</f>
        <v>68488560</v>
      </c>
      <c r="G129" s="386">
        <v>1288090.0592214575</v>
      </c>
      <c r="H129" s="23">
        <f>G129</f>
        <v>1288090.0592214575</v>
      </c>
      <c r="I129" s="21"/>
      <c r="J129" s="22">
        <f>F129-I129</f>
        <v>68488560</v>
      </c>
    </row>
    <row r="130" spans="1:15">
      <c r="A130" s="3" t="s">
        <v>89</v>
      </c>
      <c r="B130" s="15"/>
      <c r="C130" s="21">
        <f>SUM(C128:C129)</f>
        <v>0</v>
      </c>
      <c r="D130" s="21">
        <f>SUM(D128:D129)</f>
        <v>149800000</v>
      </c>
      <c r="E130" s="21">
        <f>SUM(E128:E129)</f>
        <v>149800000.00000003</v>
      </c>
      <c r="F130" s="21">
        <f>SUM(F128:F129)</f>
        <v>299600000</v>
      </c>
      <c r="G130" s="23">
        <f>SUM(G128:G129)</f>
        <v>2032435.6689625781</v>
      </c>
      <c r="H130" s="23">
        <f>G130</f>
        <v>2032435.6689625781</v>
      </c>
      <c r="I130" s="21"/>
      <c r="J130" s="22">
        <f>F130-I130</f>
        <v>299600000</v>
      </c>
    </row>
    <row r="131" spans="1:15">
      <c r="A131" s="3"/>
      <c r="B131" s="15"/>
      <c r="C131" s="21"/>
      <c r="D131" s="46"/>
      <c r="E131" s="21"/>
      <c r="F131" s="21"/>
      <c r="G131" s="23"/>
      <c r="H131" s="23"/>
      <c r="I131" s="21"/>
      <c r="J131" s="22"/>
    </row>
    <row r="132" spans="1:15">
      <c r="A132" s="3" t="s">
        <v>90</v>
      </c>
      <c r="B132" s="15"/>
      <c r="C132" s="21">
        <f t="shared" ref="C132:J132" si="24">ROUND(C13+C22+C29+C54+C56+C73+C94+C126,0)</f>
        <v>56842789</v>
      </c>
      <c r="D132" s="21">
        <f t="shared" si="24"/>
        <v>42691215682</v>
      </c>
      <c r="E132" s="21">
        <f t="shared" si="24"/>
        <v>39299755246</v>
      </c>
      <c r="F132" s="21">
        <f t="shared" si="24"/>
        <v>81990970927</v>
      </c>
      <c r="G132" s="21">
        <f t="shared" si="24"/>
        <v>7717960462</v>
      </c>
      <c r="H132" s="21">
        <f t="shared" si="24"/>
        <v>8167947241</v>
      </c>
      <c r="I132" s="21">
        <f t="shared" si="24"/>
        <v>2884023313</v>
      </c>
      <c r="J132" s="21">
        <f t="shared" si="24"/>
        <v>79106947614</v>
      </c>
      <c r="K132" s="23">
        <f>ROUND(K13+K22+K29+K54+K56+K73+K94+K126,0)</f>
        <v>799527593</v>
      </c>
      <c r="L132" s="23">
        <f>ROUND(L13+L22+L29+L54+L56+L73+L94+L126,0)</f>
        <v>-47251245</v>
      </c>
      <c r="M132" s="21">
        <f>ROUND(M13+M22+M29+M54+M56+M73+M94+M126,0)</f>
        <v>37625269476</v>
      </c>
      <c r="N132" s="23">
        <f>ROUND(N13+N22+N29+N54+N56+N73+N94+N126,0)</f>
        <v>383967030</v>
      </c>
      <c r="O132" s="23">
        <f>ROUND(O13+O22+O29+O54+O56+O73+O94+O126,0)</f>
        <v>0</v>
      </c>
    </row>
    <row r="133" spans="1:15">
      <c r="A133" s="3" t="s">
        <v>91</v>
      </c>
      <c r="B133" s="15"/>
      <c r="C133" s="16">
        <f t="shared" ref="C133:J133" si="25">ROUND(C13+C22+C29+C54+C56+C73+C94+C126+C130,0)</f>
        <v>56842789</v>
      </c>
      <c r="D133" s="16">
        <f t="shared" si="25"/>
        <v>42841015682</v>
      </c>
      <c r="E133" s="16">
        <f t="shared" si="25"/>
        <v>39449555246</v>
      </c>
      <c r="F133" s="16">
        <f t="shared" si="25"/>
        <v>82290570927</v>
      </c>
      <c r="G133" s="16">
        <f t="shared" si="25"/>
        <v>7719992898</v>
      </c>
      <c r="H133" s="16">
        <f t="shared" si="25"/>
        <v>8169979677</v>
      </c>
      <c r="I133" s="16">
        <f t="shared" si="25"/>
        <v>2884023313</v>
      </c>
      <c r="J133" s="16">
        <f t="shared" si="25"/>
        <v>79406547614</v>
      </c>
      <c r="K133" s="18">
        <f>ROUND(K13+K22+K29+K54+K56+K73+K94+K126+K130,0)</f>
        <v>799527593</v>
      </c>
      <c r="L133" s="18">
        <f>ROUND(L13+L22+L29+L54+L56+L73+L94+L126+L130,0)</f>
        <v>-47251245</v>
      </c>
      <c r="M133" s="16">
        <f>ROUND(M13+M22+M29+M54+M56+M73+M94+M126+M130,0)</f>
        <v>37625269476</v>
      </c>
      <c r="N133" s="18">
        <f>ROUND(N13+N22+N29+N54+N56+N73+N94+N126+N130,0)</f>
        <v>383967030</v>
      </c>
      <c r="O133" s="18">
        <f>ROUND(O13+O22+O29+O54+O56+O73+O94+O126+O130,0)</f>
        <v>0</v>
      </c>
    </row>
    <row r="134" spans="1:15">
      <c r="A134" s="3"/>
      <c r="B134" s="15"/>
      <c r="C134" s="47"/>
      <c r="D134" s="21"/>
      <c r="F134" s="48"/>
      <c r="G134" s="4"/>
      <c r="H134" s="18"/>
      <c r="I134" s="21"/>
      <c r="J134" s="22"/>
    </row>
    <row r="135" spans="1:15">
      <c r="A135" s="3" t="s">
        <v>158</v>
      </c>
      <c r="B135" s="7"/>
      <c r="D135" s="21"/>
      <c r="F135" s="48"/>
      <c r="G135" s="49"/>
      <c r="H135" s="23"/>
      <c r="I135" s="21"/>
      <c r="J135" s="22"/>
    </row>
    <row r="136" spans="1:15">
      <c r="B136" s="7" t="s">
        <v>21</v>
      </c>
      <c r="D136" s="40"/>
      <c r="E136" s="42"/>
      <c r="F136" s="42"/>
      <c r="G136" s="24"/>
      <c r="H136" s="324"/>
      <c r="I136" s="21"/>
      <c r="J136" s="22"/>
      <c r="L136" s="211"/>
    </row>
    <row r="137" spans="1:15">
      <c r="B137" s="7" t="s">
        <v>27</v>
      </c>
      <c r="D137" s="38"/>
      <c r="E137" s="14"/>
      <c r="F137" s="32"/>
      <c r="G137" s="325"/>
      <c r="H137" s="234"/>
      <c r="J137" s="50"/>
    </row>
    <row r="138" spans="1:15">
      <c r="B138" s="15" t="s">
        <v>28</v>
      </c>
      <c r="C138" s="21"/>
      <c r="D138" s="38"/>
      <c r="E138" s="14"/>
      <c r="F138" s="42"/>
      <c r="G138" s="32"/>
      <c r="H138" s="234"/>
      <c r="J138" s="50"/>
    </row>
    <row r="139" spans="1:15">
      <c r="B139" s="15"/>
      <c r="C139" s="21"/>
      <c r="F139" s="21"/>
      <c r="G139" s="16"/>
      <c r="H139" s="51"/>
      <c r="J139" s="50"/>
    </row>
    <row r="140" spans="1:15">
      <c r="B140" s="7"/>
      <c r="C140" s="51"/>
      <c r="E140" s="11"/>
      <c r="F140" s="128"/>
      <c r="G140" s="127"/>
      <c r="H140" s="128"/>
      <c r="I140" s="112"/>
      <c r="J140" s="131"/>
    </row>
    <row r="141" spans="1:15">
      <c r="B141" s="7"/>
      <c r="C141" s="51"/>
      <c r="E141" s="132"/>
      <c r="F141" s="120"/>
      <c r="G141" s="120"/>
      <c r="H141" s="120"/>
      <c r="I141" s="133"/>
      <c r="J141" s="11"/>
    </row>
    <row r="142" spans="1:15">
      <c r="B142" s="7"/>
      <c r="E142" s="219" t="s">
        <v>179</v>
      </c>
      <c r="F142" s="122"/>
      <c r="G142" s="123"/>
      <c r="H142" s="124"/>
      <c r="I142" s="11"/>
      <c r="J142" s="131"/>
    </row>
    <row r="143" spans="1:15">
      <c r="B143" s="7"/>
      <c r="E143" t="s">
        <v>176</v>
      </c>
      <c r="F143" s="220">
        <f>F123+F69+F51+F25</f>
        <v>7545083967.1981068</v>
      </c>
      <c r="G143" s="123"/>
      <c r="H143" s="124"/>
      <c r="I143" s="11"/>
      <c r="J143" s="131"/>
    </row>
    <row r="144" spans="1:15">
      <c r="B144" s="7"/>
      <c r="E144" t="s">
        <v>177</v>
      </c>
      <c r="F144" s="220">
        <f>SUM(F124,F88,F84,F70,F52,F26)</f>
        <v>7317309652.1652536</v>
      </c>
      <c r="G144" s="123"/>
      <c r="H144" s="126"/>
      <c r="I144" s="11"/>
      <c r="J144" s="131"/>
    </row>
    <row r="145" spans="1:10">
      <c r="B145" s="7"/>
      <c r="E145" t="s">
        <v>178</v>
      </c>
      <c r="F145" s="125">
        <f>SUM(F125,F90,F87,F86,F83,F82,F81,F75:F80,F71,F53,F56,F27,F22,F13)</f>
        <v>67128577307.923508</v>
      </c>
      <c r="G145" s="128"/>
      <c r="H145" s="124"/>
      <c r="I145" s="134"/>
      <c r="J145" s="131"/>
    </row>
    <row r="146" spans="1:10">
      <c r="B146" s="7"/>
      <c r="E146" s="11"/>
      <c r="F146" s="122">
        <f>SUM(F143:F145)</f>
        <v>81990970927.286865</v>
      </c>
      <c r="G146" s="127"/>
      <c r="H146" s="128"/>
      <c r="I146" s="11"/>
      <c r="J146" s="131"/>
    </row>
    <row r="147" spans="1:10">
      <c r="B147" s="7"/>
      <c r="E147" s="133"/>
      <c r="F147" s="120"/>
      <c r="G147" s="120"/>
      <c r="H147" s="120"/>
      <c r="I147" s="53"/>
      <c r="J147" s="131"/>
    </row>
    <row r="148" spans="1:10">
      <c r="B148" s="7"/>
      <c r="E148" s="53"/>
      <c r="F148" s="122"/>
      <c r="G148" s="129"/>
      <c r="H148" s="128"/>
      <c r="I148" s="53"/>
      <c r="J148" s="131"/>
    </row>
    <row r="149" spans="1:10">
      <c r="B149" s="7"/>
      <c r="E149" s="53"/>
      <c r="F149" s="122"/>
      <c r="G149" s="129"/>
      <c r="H149" s="128"/>
      <c r="I149" s="135"/>
      <c r="J149" s="131"/>
    </row>
    <row r="150" spans="1:10">
      <c r="B150" s="7"/>
      <c r="E150" s="53"/>
      <c r="F150" s="125"/>
      <c r="G150" s="129"/>
      <c r="H150" s="130"/>
      <c r="I150" s="136"/>
      <c r="J150" s="131"/>
    </row>
    <row r="151" spans="1:10">
      <c r="B151" s="7"/>
      <c r="E151" s="11"/>
      <c r="F151" s="122"/>
      <c r="G151" s="127"/>
      <c r="H151" s="128"/>
      <c r="I151" s="137"/>
      <c r="J151" s="131"/>
    </row>
    <row r="152" spans="1:10">
      <c r="B152" s="7"/>
      <c r="E152" s="11"/>
      <c r="F152" s="11"/>
      <c r="G152" s="138"/>
      <c r="H152" s="11"/>
      <c r="I152" s="139"/>
      <c r="J152" s="131"/>
    </row>
    <row r="153" spans="1:10">
      <c r="B153" s="7"/>
      <c r="E153" s="11"/>
      <c r="F153" s="11"/>
      <c r="G153" s="127"/>
      <c r="H153" s="128"/>
      <c r="I153" s="11"/>
      <c r="J153" s="131"/>
    </row>
    <row r="154" spans="1:10">
      <c r="B154" s="7"/>
      <c r="E154" s="11"/>
      <c r="F154" s="11"/>
      <c r="G154" s="127"/>
      <c r="H154" s="128"/>
      <c r="I154" s="11"/>
      <c r="J154" s="131"/>
    </row>
    <row r="155" spans="1:10">
      <c r="B155" s="7"/>
      <c r="E155" s="11"/>
      <c r="F155" s="11"/>
      <c r="G155" s="127"/>
      <c r="H155" s="128"/>
      <c r="I155" s="11"/>
      <c r="J155" s="131"/>
    </row>
    <row r="156" spans="1:10">
      <c r="A156" s="8"/>
      <c r="B156" s="53"/>
      <c r="C156" s="12"/>
      <c r="D156" s="12"/>
      <c r="E156" s="54"/>
      <c r="F156" s="9"/>
      <c r="G156" s="127"/>
      <c r="H156" s="128"/>
      <c r="I156" s="11"/>
      <c r="J156" s="131"/>
    </row>
    <row r="157" spans="1:10">
      <c r="A157" s="11"/>
      <c r="B157" s="53"/>
      <c r="C157" s="11"/>
      <c r="D157" s="11"/>
      <c r="E157" s="11"/>
      <c r="F157" s="11"/>
      <c r="G157" s="127"/>
      <c r="H157" s="128"/>
      <c r="I157" s="11"/>
      <c r="J157" s="131"/>
    </row>
    <row r="158" spans="1:10">
      <c r="A158" s="13"/>
      <c r="B158" s="53"/>
      <c r="C158" s="11"/>
      <c r="D158" s="11"/>
      <c r="E158" s="11"/>
      <c r="F158" s="55"/>
      <c r="G158" s="11"/>
      <c r="H158" s="128"/>
      <c r="I158" s="11"/>
      <c r="J158" s="131"/>
    </row>
    <row r="159" spans="1:10">
      <c r="A159" s="19"/>
      <c r="B159" s="56"/>
      <c r="C159" s="20"/>
      <c r="D159" s="57"/>
      <c r="E159" s="58"/>
      <c r="F159" s="55"/>
      <c r="G159" s="11"/>
      <c r="H159" s="128"/>
      <c r="I159" s="140"/>
      <c r="J159" s="131"/>
    </row>
    <row r="160" spans="1:10">
      <c r="A160" s="19"/>
      <c r="B160" s="56"/>
      <c r="C160" s="20"/>
      <c r="D160" s="57"/>
      <c r="E160" s="58"/>
      <c r="F160" s="11"/>
      <c r="G160" s="11"/>
      <c r="H160" s="128"/>
      <c r="I160" s="11"/>
      <c r="J160" s="131"/>
    </row>
    <row r="161" spans="1:10">
      <c r="A161" s="19"/>
      <c r="B161" s="56"/>
      <c r="C161" s="20"/>
      <c r="D161" s="59"/>
      <c r="E161" s="58"/>
      <c r="F161" s="11"/>
      <c r="G161" s="127"/>
      <c r="H161" s="128"/>
      <c r="I161" s="11"/>
      <c r="J161" s="131"/>
    </row>
    <row r="162" spans="1:10">
      <c r="A162" s="11"/>
      <c r="B162" s="56"/>
      <c r="C162" s="20"/>
      <c r="D162" s="60"/>
      <c r="E162" s="58"/>
      <c r="F162" s="11"/>
      <c r="G162" s="127"/>
      <c r="H162" s="128"/>
      <c r="I162" s="11"/>
      <c r="J162" s="131"/>
    </row>
    <row r="163" spans="1:10">
      <c r="A163" s="13"/>
      <c r="B163" s="56"/>
      <c r="C163" s="20"/>
      <c r="D163" s="60"/>
      <c r="E163" s="58"/>
      <c r="F163" s="11"/>
      <c r="G163" s="127"/>
      <c r="H163" s="128"/>
      <c r="I163" s="11"/>
      <c r="J163" s="131"/>
    </row>
    <row r="164" spans="1:10">
      <c r="A164" s="19"/>
      <c r="B164" s="56"/>
      <c r="C164" s="20"/>
      <c r="D164" s="57"/>
      <c r="E164" s="58"/>
      <c r="F164" s="11"/>
      <c r="G164" s="52"/>
      <c r="H164" s="51"/>
      <c r="I164" s="61"/>
      <c r="J164" s="50"/>
    </row>
    <row r="165" spans="1:10">
      <c r="A165" s="19"/>
      <c r="B165" s="56"/>
      <c r="C165" s="20"/>
      <c r="D165" s="57"/>
      <c r="E165" s="58"/>
      <c r="F165" s="11"/>
      <c r="G165" s="52"/>
      <c r="H165" s="51"/>
      <c r="J165" s="50"/>
    </row>
    <row r="166" spans="1:10">
      <c r="A166" s="19"/>
      <c r="B166" s="56"/>
      <c r="C166" s="20"/>
      <c r="D166" s="60"/>
      <c r="E166" s="58"/>
      <c r="F166" s="11"/>
      <c r="G166" s="52"/>
      <c r="H166" s="51"/>
      <c r="J166" s="50"/>
    </row>
    <row r="167" spans="1:10">
      <c r="A167" s="19"/>
      <c r="B167" s="56"/>
      <c r="C167" s="20"/>
      <c r="D167" s="57"/>
      <c r="E167" s="58"/>
      <c r="F167" s="11"/>
      <c r="G167" s="52"/>
      <c r="H167" s="51"/>
      <c r="J167" s="50"/>
    </row>
    <row r="168" spans="1:10">
      <c r="A168" s="11"/>
      <c r="B168" s="11"/>
      <c r="C168" s="20"/>
      <c r="D168" s="60"/>
      <c r="E168" s="58"/>
      <c r="F168" s="11"/>
      <c r="G168" s="52"/>
      <c r="H168" s="51"/>
      <c r="J168" s="50"/>
    </row>
    <row r="169" spans="1:10">
      <c r="A169" s="13"/>
      <c r="B169" s="62"/>
      <c r="C169" s="20"/>
      <c r="D169" s="60"/>
      <c r="E169" s="58"/>
      <c r="F169" s="11"/>
      <c r="G169" s="52"/>
      <c r="H169" s="51"/>
      <c r="J169" s="50"/>
    </row>
    <row r="170" spans="1:10">
      <c r="A170" s="19"/>
      <c r="B170" s="56"/>
      <c r="C170" s="20"/>
      <c r="D170" s="57"/>
      <c r="E170" s="58"/>
      <c r="F170" s="11"/>
      <c r="G170" s="52"/>
      <c r="H170" s="51"/>
      <c r="J170" s="50"/>
    </row>
    <row r="171" spans="1:10">
      <c r="A171" s="19"/>
      <c r="B171" s="53"/>
      <c r="C171" s="20"/>
      <c r="D171" s="57"/>
      <c r="E171" s="58"/>
      <c r="F171" s="11"/>
      <c r="G171" s="52"/>
      <c r="H171" s="51"/>
      <c r="J171" s="50"/>
    </row>
    <row r="172" spans="1:10">
      <c r="A172" s="19"/>
      <c r="B172" s="56"/>
      <c r="C172" s="20"/>
      <c r="D172" s="57"/>
      <c r="E172" s="58"/>
      <c r="F172" s="11"/>
      <c r="G172" s="52"/>
      <c r="H172" s="51"/>
      <c r="J172" s="50"/>
    </row>
    <row r="173" spans="1:10">
      <c r="A173" s="11"/>
      <c r="B173" s="53"/>
      <c r="C173" s="20"/>
      <c r="D173" s="60"/>
      <c r="E173" s="58"/>
      <c r="F173" s="11"/>
      <c r="G173" s="52"/>
      <c r="H173" s="51"/>
      <c r="J173" s="50"/>
    </row>
    <row r="174" spans="1:10">
      <c r="A174" s="13"/>
      <c r="B174" s="53"/>
      <c r="C174" s="20"/>
      <c r="D174" s="60"/>
      <c r="E174" s="58"/>
      <c r="F174" s="11"/>
      <c r="G174" s="52"/>
      <c r="H174" s="51"/>
      <c r="J174" s="50"/>
    </row>
    <row r="175" spans="1:10">
      <c r="A175" s="19"/>
      <c r="B175" s="53"/>
      <c r="C175" s="20"/>
      <c r="D175" s="57"/>
      <c r="E175" s="58"/>
      <c r="F175" s="11"/>
      <c r="G175" s="52"/>
      <c r="H175" s="51"/>
      <c r="I175" s="63"/>
      <c r="J175" s="50"/>
    </row>
    <row r="176" spans="1:10">
      <c r="A176" s="19"/>
      <c r="B176" s="53"/>
      <c r="C176" s="20"/>
      <c r="D176" s="57"/>
      <c r="E176" s="58"/>
      <c r="F176" s="11"/>
      <c r="G176" s="52"/>
      <c r="H176" s="51"/>
      <c r="J176" s="50"/>
    </row>
    <row r="177" spans="1:10">
      <c r="A177" s="19"/>
      <c r="B177" s="53"/>
      <c r="C177" s="20"/>
      <c r="D177" s="60"/>
      <c r="E177" s="58"/>
      <c r="F177" s="11"/>
      <c r="G177" s="52"/>
      <c r="H177" s="51"/>
      <c r="J177" s="50"/>
    </row>
    <row r="178" spans="1:10">
      <c r="A178" s="19"/>
      <c r="B178" s="53"/>
      <c r="C178" s="20"/>
      <c r="D178" s="57"/>
      <c r="E178" s="58"/>
      <c r="F178" s="11"/>
      <c r="G178" s="52"/>
      <c r="H178" s="51"/>
      <c r="J178" s="50"/>
    </row>
    <row r="179" spans="1:10">
      <c r="A179" s="19"/>
      <c r="B179" s="53"/>
      <c r="C179" s="20"/>
      <c r="D179" s="57"/>
      <c r="E179" s="58"/>
      <c r="F179" s="11"/>
      <c r="G179" s="52"/>
      <c r="H179" s="51"/>
      <c r="J179" s="50"/>
    </row>
    <row r="180" spans="1:10">
      <c r="A180" s="19"/>
      <c r="B180" s="53"/>
      <c r="C180" s="20"/>
      <c r="D180" s="60"/>
      <c r="E180" s="58"/>
      <c r="F180" s="11"/>
      <c r="G180" s="52"/>
      <c r="H180" s="51"/>
      <c r="J180" s="50"/>
    </row>
    <row r="181" spans="1:10">
      <c r="A181" s="19"/>
      <c r="B181" s="53"/>
      <c r="C181" s="20"/>
      <c r="D181" s="57"/>
      <c r="E181" s="58"/>
      <c r="F181" s="11"/>
      <c r="G181" s="52"/>
      <c r="H181" s="51"/>
      <c r="J181" s="50"/>
    </row>
    <row r="182" spans="1:10">
      <c r="A182" s="19"/>
      <c r="B182" s="53"/>
      <c r="C182" s="20"/>
      <c r="D182" s="57"/>
      <c r="E182" s="58"/>
      <c r="F182" s="11"/>
      <c r="G182" s="52"/>
      <c r="H182" s="51"/>
      <c r="J182" s="50"/>
    </row>
    <row r="183" spans="1:10">
      <c r="A183" s="19"/>
      <c r="B183" s="53"/>
      <c r="C183" s="20"/>
      <c r="D183" s="60"/>
      <c r="E183" s="58"/>
      <c r="F183" s="11"/>
      <c r="G183" s="52"/>
      <c r="H183" s="51"/>
      <c r="J183" s="50"/>
    </row>
    <row r="184" spans="1:10">
      <c r="A184" s="34"/>
      <c r="B184" s="53"/>
      <c r="C184" s="20"/>
      <c r="D184" s="60"/>
      <c r="E184" s="58"/>
      <c r="F184" s="11"/>
      <c r="G184" s="52"/>
      <c r="H184" s="51"/>
      <c r="J184" s="50"/>
    </row>
    <row r="185" spans="1:10">
      <c r="A185" s="34"/>
      <c r="B185" s="53"/>
      <c r="C185" s="20"/>
      <c r="D185" s="60"/>
      <c r="E185" s="58"/>
      <c r="F185" s="11"/>
      <c r="G185" s="52"/>
      <c r="H185" s="51"/>
      <c r="J185" s="50"/>
    </row>
    <row r="186" spans="1:10">
      <c r="A186" s="13"/>
      <c r="B186" s="56"/>
      <c r="C186" s="20"/>
      <c r="D186" s="57"/>
      <c r="E186" s="58"/>
      <c r="F186" s="11"/>
      <c r="G186" s="52"/>
      <c r="H186" s="51"/>
      <c r="J186" s="50"/>
    </row>
    <row r="187" spans="1:10">
      <c r="A187" s="11"/>
      <c r="B187" s="53"/>
      <c r="C187" s="20"/>
      <c r="D187" s="60"/>
      <c r="E187" s="58"/>
      <c r="F187" s="11"/>
      <c r="G187" s="52"/>
      <c r="H187" s="51"/>
      <c r="J187" s="50"/>
    </row>
    <row r="188" spans="1:10">
      <c r="A188" s="13"/>
      <c r="B188" s="53"/>
      <c r="C188" s="20"/>
      <c r="D188" s="60"/>
      <c r="E188" s="58"/>
      <c r="F188" s="11"/>
      <c r="G188" s="52"/>
      <c r="H188" s="51"/>
      <c r="J188" s="50"/>
    </row>
    <row r="189" spans="1:10">
      <c r="A189" s="19"/>
      <c r="B189" s="53"/>
      <c r="C189" s="20"/>
      <c r="D189" s="57"/>
      <c r="E189" s="58"/>
      <c r="F189" s="11"/>
      <c r="G189" s="52"/>
      <c r="H189" s="51"/>
      <c r="J189" s="50"/>
    </row>
    <row r="190" spans="1:10">
      <c r="A190" s="19"/>
      <c r="B190" s="53"/>
      <c r="C190" s="20"/>
      <c r="D190" s="57"/>
      <c r="E190" s="58"/>
      <c r="F190" s="11"/>
      <c r="G190" s="52"/>
      <c r="H190" s="51"/>
      <c r="J190" s="50"/>
    </row>
    <row r="191" spans="1:10">
      <c r="A191" s="19"/>
      <c r="B191" s="53"/>
      <c r="C191" s="20"/>
      <c r="D191" s="57"/>
      <c r="E191" s="58"/>
      <c r="F191" s="11"/>
      <c r="G191" s="52"/>
      <c r="H191" s="51"/>
      <c r="J191" s="50"/>
    </row>
    <row r="192" spans="1:10">
      <c r="A192" s="11"/>
      <c r="B192" s="53"/>
      <c r="C192" s="20"/>
      <c r="D192" s="60"/>
      <c r="E192" s="58"/>
      <c r="F192" s="11"/>
      <c r="G192" s="52"/>
      <c r="H192" s="51"/>
      <c r="J192" s="50"/>
    </row>
    <row r="193" spans="1:10">
      <c r="A193" s="37"/>
      <c r="B193" s="53"/>
      <c r="C193" s="20"/>
      <c r="D193" s="60"/>
      <c r="E193" s="58"/>
      <c r="F193" s="11"/>
      <c r="G193" s="52"/>
      <c r="H193" s="51"/>
      <c r="J193" s="50"/>
    </row>
    <row r="194" spans="1:10">
      <c r="A194" s="19"/>
      <c r="B194" s="62"/>
      <c r="C194" s="20"/>
      <c r="D194" s="57"/>
      <c r="E194" s="58"/>
      <c r="F194" s="11"/>
      <c r="G194" s="52"/>
      <c r="H194" s="51"/>
      <c r="I194" s="61"/>
      <c r="J194" s="50"/>
    </row>
    <row r="195" spans="1:10">
      <c r="A195" s="19"/>
      <c r="B195" s="62"/>
      <c r="C195" s="20"/>
      <c r="D195" s="57"/>
      <c r="E195" s="58"/>
      <c r="F195" s="11"/>
      <c r="G195" s="52"/>
      <c r="H195" s="51"/>
      <c r="J195" s="50"/>
    </row>
    <row r="196" spans="1:10">
      <c r="A196" s="19"/>
      <c r="B196" s="62"/>
      <c r="C196" s="20"/>
      <c r="D196" s="57"/>
      <c r="E196" s="58"/>
      <c r="F196" s="11"/>
      <c r="G196" s="52"/>
      <c r="H196" s="51"/>
      <c r="J196" s="50"/>
    </row>
    <row r="197" spans="1:10">
      <c r="A197" s="19"/>
      <c r="B197" s="62"/>
      <c r="C197" s="20"/>
      <c r="D197" s="57"/>
      <c r="E197" s="58"/>
      <c r="F197" s="11"/>
      <c r="G197" s="52"/>
      <c r="H197" s="51"/>
      <c r="J197" s="50"/>
    </row>
    <row r="198" spans="1:10">
      <c r="A198" s="19"/>
      <c r="B198" s="62"/>
      <c r="C198" s="20"/>
      <c r="D198" s="57"/>
      <c r="E198" s="58"/>
      <c r="F198" s="11"/>
      <c r="G198" s="52"/>
      <c r="H198" s="51"/>
      <c r="J198" s="50"/>
    </row>
    <row r="199" spans="1:10">
      <c r="A199" s="19"/>
      <c r="B199" s="62"/>
      <c r="C199" s="20"/>
      <c r="D199" s="57"/>
      <c r="E199" s="58"/>
      <c r="F199" s="11"/>
      <c r="G199" s="52"/>
      <c r="H199" s="51"/>
      <c r="J199" s="50"/>
    </row>
    <row r="200" spans="1:10">
      <c r="A200" s="19"/>
      <c r="B200" s="62"/>
      <c r="C200" s="20"/>
      <c r="D200" s="57"/>
      <c r="E200" s="58"/>
      <c r="F200" s="11"/>
      <c r="G200" s="52"/>
      <c r="H200" s="51"/>
      <c r="J200" s="50"/>
    </row>
    <row r="201" spans="1:10">
      <c r="A201" s="19"/>
      <c r="B201" s="62"/>
      <c r="C201" s="20"/>
      <c r="D201" s="57"/>
      <c r="E201" s="58"/>
      <c r="F201" s="11"/>
      <c r="G201" s="52"/>
      <c r="H201" s="51"/>
      <c r="J201" s="50"/>
    </row>
    <row r="202" spans="1:10">
      <c r="A202" s="19"/>
      <c r="B202" s="62"/>
      <c r="C202" s="20"/>
      <c r="D202" s="57"/>
      <c r="E202" s="58"/>
      <c r="F202" s="11"/>
      <c r="G202" s="52"/>
      <c r="H202" s="51"/>
      <c r="J202" s="50"/>
    </row>
    <row r="203" spans="1:10">
      <c r="A203" s="19"/>
      <c r="B203" s="62"/>
      <c r="C203" s="20"/>
      <c r="D203" s="57"/>
      <c r="E203" s="58"/>
      <c r="F203" s="11"/>
      <c r="G203" s="52"/>
      <c r="H203" s="51"/>
      <c r="J203" s="50"/>
    </row>
    <row r="204" spans="1:10">
      <c r="A204" s="19"/>
      <c r="B204" s="62"/>
      <c r="C204" s="20"/>
      <c r="D204" s="57"/>
      <c r="E204" s="58"/>
      <c r="F204" s="11"/>
      <c r="G204" s="52"/>
      <c r="H204" s="51"/>
      <c r="J204" s="50"/>
    </row>
    <row r="205" spans="1:10">
      <c r="A205" s="19"/>
      <c r="B205" s="62"/>
      <c r="C205" s="20"/>
      <c r="D205" s="57"/>
      <c r="E205" s="58"/>
      <c r="F205" s="11"/>
      <c r="G205" s="52"/>
      <c r="H205" s="51"/>
      <c r="J205" s="50"/>
    </row>
    <row r="206" spans="1:10">
      <c r="A206" s="19"/>
      <c r="B206" s="64"/>
      <c r="C206" s="20"/>
      <c r="D206" s="57"/>
      <c r="E206" s="58"/>
      <c r="F206" s="11"/>
      <c r="G206" s="52"/>
      <c r="H206" s="51"/>
      <c r="J206" s="50"/>
    </row>
    <row r="207" spans="1:10">
      <c r="A207" s="19"/>
      <c r="B207" s="62"/>
      <c r="C207" s="20"/>
      <c r="D207" s="57"/>
      <c r="E207" s="58"/>
      <c r="F207" s="11"/>
      <c r="G207" s="52"/>
      <c r="H207" s="51"/>
      <c r="J207" s="50"/>
    </row>
    <row r="208" spans="1:10">
      <c r="A208" s="11"/>
      <c r="B208" s="53"/>
      <c r="C208" s="20"/>
      <c r="D208" s="60"/>
      <c r="E208" s="58"/>
      <c r="F208" s="11"/>
      <c r="G208" s="52"/>
      <c r="H208" s="51"/>
      <c r="J208" s="50"/>
    </row>
    <row r="209" spans="1:10">
      <c r="A209" s="13"/>
      <c r="B209" s="53"/>
      <c r="C209" s="20"/>
      <c r="D209" s="60"/>
      <c r="E209" s="58"/>
      <c r="F209" s="11"/>
      <c r="G209" s="52"/>
      <c r="H209" s="51"/>
      <c r="I209" s="61"/>
      <c r="J209" s="50"/>
    </row>
    <row r="210" spans="1:10">
      <c r="A210" s="19"/>
      <c r="B210" s="53"/>
      <c r="C210" s="20"/>
      <c r="D210" s="57"/>
      <c r="E210" s="58"/>
      <c r="F210" s="11"/>
      <c r="G210" s="52"/>
      <c r="H210" s="51"/>
      <c r="I210" s="61"/>
      <c r="J210" s="50"/>
    </row>
    <row r="211" spans="1:10">
      <c r="A211" s="19"/>
      <c r="B211" s="53"/>
      <c r="C211" s="20"/>
      <c r="D211" s="60"/>
      <c r="E211" s="58"/>
      <c r="F211" s="11"/>
      <c r="G211" s="52"/>
      <c r="H211" s="51"/>
      <c r="J211" s="50"/>
    </row>
    <row r="212" spans="1:10">
      <c r="A212" s="19"/>
      <c r="B212" s="53"/>
      <c r="C212" s="20"/>
      <c r="D212" s="57"/>
      <c r="E212" s="58"/>
      <c r="F212" s="11"/>
      <c r="G212" s="52"/>
      <c r="H212" s="51"/>
      <c r="J212" s="50"/>
    </row>
    <row r="213" spans="1:10">
      <c r="A213" s="19"/>
      <c r="B213" s="53"/>
      <c r="C213" s="20"/>
      <c r="D213" s="60"/>
      <c r="E213" s="58"/>
      <c r="F213" s="11"/>
      <c r="G213" s="52"/>
      <c r="H213" s="51"/>
      <c r="J213" s="50"/>
    </row>
    <row r="214" spans="1:10">
      <c r="A214" s="19"/>
      <c r="B214" s="53"/>
      <c r="C214" s="20"/>
      <c r="D214" s="57"/>
      <c r="E214" s="58"/>
      <c r="F214" s="11"/>
      <c r="G214" s="52"/>
      <c r="H214" s="51"/>
      <c r="J214" s="50"/>
    </row>
    <row r="215" spans="1:10">
      <c r="A215" s="19"/>
      <c r="B215" s="53"/>
      <c r="C215" s="20"/>
      <c r="D215" s="60"/>
      <c r="E215" s="58"/>
      <c r="F215" s="11"/>
      <c r="G215" s="52"/>
      <c r="H215" s="51"/>
      <c r="J215" s="50"/>
    </row>
    <row r="216" spans="1:10">
      <c r="A216" s="19"/>
      <c r="B216" s="53"/>
      <c r="C216" s="20"/>
      <c r="D216" s="60"/>
      <c r="E216" s="58"/>
      <c r="F216" s="11"/>
      <c r="G216" s="52"/>
      <c r="H216" s="51"/>
      <c r="J216" s="50"/>
    </row>
    <row r="217" spans="1:10">
      <c r="A217" s="19"/>
      <c r="B217" s="53"/>
      <c r="C217" s="20"/>
      <c r="D217" s="60"/>
      <c r="E217" s="58"/>
      <c r="F217" s="11"/>
      <c r="G217" s="52"/>
      <c r="H217" s="51"/>
      <c r="J217" s="50"/>
    </row>
    <row r="218" spans="1:10">
      <c r="A218" s="34"/>
      <c r="B218" s="53"/>
      <c r="C218" s="20"/>
      <c r="D218" s="60"/>
      <c r="E218" s="58"/>
      <c r="F218" s="11"/>
      <c r="G218" s="52"/>
      <c r="H218" s="51"/>
      <c r="J218" s="50"/>
    </row>
    <row r="219" spans="1:10">
      <c r="A219" s="37"/>
      <c r="B219" s="53"/>
      <c r="C219" s="20"/>
      <c r="D219" s="60"/>
      <c r="E219" s="58"/>
      <c r="F219" s="11"/>
      <c r="G219" s="52"/>
      <c r="H219" s="51"/>
      <c r="J219" s="50"/>
    </row>
    <row r="220" spans="1:10">
      <c r="A220" s="34"/>
      <c r="B220" s="53"/>
      <c r="C220" s="20"/>
      <c r="D220" s="60"/>
      <c r="E220" s="58"/>
      <c r="F220" s="11"/>
      <c r="G220" s="52"/>
      <c r="H220" s="51"/>
      <c r="J220" s="50"/>
    </row>
    <row r="221" spans="1:10">
      <c r="A221" s="34"/>
      <c r="B221" s="53"/>
      <c r="C221" s="20"/>
      <c r="D221" s="60"/>
      <c r="E221" s="58"/>
      <c r="F221" s="11"/>
      <c r="G221" s="52"/>
      <c r="H221" s="51"/>
      <c r="J221" s="50"/>
    </row>
    <row r="222" spans="1:10">
      <c r="A222" s="34"/>
      <c r="B222" s="53"/>
      <c r="C222" s="20"/>
      <c r="D222" s="60"/>
      <c r="E222" s="58"/>
      <c r="F222" s="11"/>
      <c r="G222" s="52"/>
      <c r="H222" s="51"/>
      <c r="J222" s="50"/>
    </row>
    <row r="223" spans="1:10">
      <c r="A223" s="11"/>
      <c r="B223" s="53"/>
      <c r="C223" s="11"/>
      <c r="D223" s="60"/>
      <c r="E223" s="65"/>
      <c r="F223" s="11"/>
      <c r="G223" s="52"/>
      <c r="H223" s="51"/>
      <c r="J223" s="50"/>
    </row>
    <row r="224" spans="1:10">
      <c r="A224" s="45"/>
      <c r="B224" s="53"/>
      <c r="C224" s="11"/>
      <c r="D224" s="66"/>
      <c r="E224" s="65"/>
      <c r="F224" s="11"/>
      <c r="G224" s="52"/>
      <c r="H224" s="51"/>
      <c r="J224" s="50"/>
    </row>
    <row r="225" spans="1:10">
      <c r="A225" s="38"/>
      <c r="B225" s="67"/>
      <c r="C225" s="38"/>
      <c r="D225" s="68"/>
      <c r="E225" s="69"/>
      <c r="F225" s="38"/>
      <c r="G225" s="52"/>
      <c r="H225" s="51"/>
      <c r="J225" s="50"/>
    </row>
    <row r="226" spans="1:10">
      <c r="A226" s="38"/>
      <c r="B226" s="67"/>
      <c r="C226" s="38"/>
      <c r="D226" s="68"/>
      <c r="E226" s="69"/>
      <c r="F226" s="38"/>
      <c r="G226" s="52"/>
      <c r="H226" s="51"/>
      <c r="J226" s="50"/>
    </row>
    <row r="227" spans="1:10">
      <c r="B227" s="7"/>
      <c r="D227" s="70"/>
      <c r="E227" s="71"/>
      <c r="G227" s="52"/>
      <c r="H227" s="51"/>
      <c r="J227" s="50"/>
    </row>
    <row r="228" spans="1:10">
      <c r="B228" s="7"/>
      <c r="D228" s="70"/>
      <c r="E228" s="71"/>
      <c r="G228" s="52"/>
      <c r="H228" s="51"/>
      <c r="J228" s="50"/>
    </row>
    <row r="229" spans="1:10">
      <c r="B229" s="7"/>
      <c r="D229" s="70"/>
      <c r="E229" s="71"/>
      <c r="G229" s="52"/>
      <c r="H229" s="51"/>
      <c r="J229" s="50"/>
    </row>
    <row r="230" spans="1:10">
      <c r="B230" s="7"/>
      <c r="D230" s="70"/>
      <c r="E230" s="71"/>
      <c r="G230" s="52"/>
      <c r="H230" s="51"/>
      <c r="J230" s="50"/>
    </row>
    <row r="231" spans="1:10">
      <c r="B231" s="7"/>
      <c r="D231" s="70"/>
      <c r="E231" s="71"/>
      <c r="G231" s="52"/>
      <c r="H231" s="51"/>
      <c r="J231" s="50"/>
    </row>
    <row r="232" spans="1:10">
      <c r="B232" s="7"/>
      <c r="D232" s="70"/>
      <c r="E232" s="71"/>
      <c r="G232" s="52"/>
      <c r="H232" s="51"/>
      <c r="J232" s="50"/>
    </row>
    <row r="233" spans="1:10">
      <c r="B233" s="7"/>
      <c r="D233" s="70"/>
      <c r="E233" s="71"/>
      <c r="G233" s="52"/>
      <c r="H233" s="51"/>
      <c r="J233" s="50"/>
    </row>
    <row r="234" spans="1:10">
      <c r="B234" s="7"/>
      <c r="D234" s="70"/>
      <c r="E234" s="71"/>
      <c r="G234" s="52"/>
      <c r="H234" s="51"/>
      <c r="J234" s="50"/>
    </row>
    <row r="235" spans="1:10">
      <c r="B235" s="7"/>
      <c r="D235" s="70"/>
      <c r="E235" s="71"/>
      <c r="G235" s="52"/>
      <c r="H235" s="51"/>
      <c r="J235" s="50"/>
    </row>
    <row r="236" spans="1:10">
      <c r="B236" s="7"/>
      <c r="D236" s="70"/>
      <c r="E236" s="71"/>
      <c r="G236" s="52"/>
      <c r="H236" s="51"/>
      <c r="J236" s="50"/>
    </row>
    <row r="237" spans="1:10">
      <c r="B237" s="7"/>
      <c r="D237" s="70"/>
      <c r="E237" s="71"/>
      <c r="G237" s="52"/>
      <c r="H237" s="51"/>
      <c r="J237" s="50"/>
    </row>
    <row r="238" spans="1:10">
      <c r="B238" s="7"/>
      <c r="D238" s="70"/>
      <c r="E238" s="71"/>
      <c r="G238" s="52"/>
      <c r="H238" s="51"/>
      <c r="J238" s="50"/>
    </row>
    <row r="239" spans="1:10">
      <c r="B239" s="7"/>
      <c r="D239" s="70"/>
      <c r="E239" s="71"/>
      <c r="G239" s="52"/>
      <c r="H239" s="51"/>
      <c r="J239" s="50"/>
    </row>
    <row r="240" spans="1:10">
      <c r="B240" s="7"/>
      <c r="D240" s="70"/>
      <c r="E240" s="71"/>
      <c r="G240" s="52"/>
      <c r="H240" s="51"/>
      <c r="J240" s="50"/>
    </row>
    <row r="241" spans="2:10">
      <c r="B241" s="7"/>
      <c r="D241" s="70"/>
      <c r="E241" s="71"/>
      <c r="G241" s="52"/>
      <c r="H241" s="51"/>
      <c r="J241" s="50"/>
    </row>
    <row r="242" spans="2:10">
      <c r="B242" s="7"/>
      <c r="D242" s="70"/>
      <c r="E242" s="71"/>
      <c r="G242" s="52"/>
      <c r="H242" s="51"/>
      <c r="J242" s="50"/>
    </row>
    <row r="243" spans="2:10">
      <c r="B243" s="7"/>
      <c r="D243" s="70"/>
      <c r="E243" s="71"/>
      <c r="G243" s="52"/>
      <c r="H243" s="51"/>
      <c r="J243" s="50"/>
    </row>
    <row r="244" spans="2:10">
      <c r="B244" s="7"/>
      <c r="D244" s="70"/>
      <c r="E244" s="71"/>
      <c r="G244" s="52"/>
      <c r="H244" s="51"/>
      <c r="J244" s="50"/>
    </row>
    <row r="245" spans="2:10">
      <c r="B245" s="7"/>
      <c r="D245" s="70"/>
      <c r="E245" s="71"/>
      <c r="G245" s="52"/>
      <c r="H245" s="51"/>
      <c r="J245" s="50"/>
    </row>
    <row r="246" spans="2:10">
      <c r="B246" s="7"/>
      <c r="D246" s="70"/>
      <c r="E246" s="71"/>
      <c r="G246" s="52"/>
      <c r="H246" s="51"/>
      <c r="J246" s="50"/>
    </row>
    <row r="247" spans="2:10">
      <c r="B247" s="7"/>
      <c r="D247" s="70"/>
      <c r="E247" s="71"/>
      <c r="G247" s="52"/>
      <c r="H247" s="51"/>
      <c r="J247" s="50"/>
    </row>
    <row r="248" spans="2:10">
      <c r="B248" s="7"/>
      <c r="D248" s="70"/>
      <c r="E248" s="71"/>
      <c r="G248" s="52"/>
      <c r="H248" s="51"/>
      <c r="J248" s="50"/>
    </row>
    <row r="249" spans="2:10">
      <c r="B249" s="7"/>
      <c r="D249" s="70"/>
      <c r="E249" s="71"/>
      <c r="G249" s="52"/>
      <c r="H249" s="51"/>
      <c r="J249" s="50"/>
    </row>
    <row r="250" spans="2:10">
      <c r="B250" s="7"/>
      <c r="D250" s="70"/>
      <c r="E250" s="71"/>
      <c r="G250" s="52"/>
      <c r="H250" s="51"/>
      <c r="J250" s="50"/>
    </row>
    <row r="251" spans="2:10">
      <c r="B251" s="7"/>
      <c r="D251" s="70"/>
      <c r="E251" s="71"/>
      <c r="G251" s="52"/>
      <c r="H251" s="51"/>
      <c r="J251" s="50"/>
    </row>
    <row r="252" spans="2:10">
      <c r="B252" s="7"/>
      <c r="D252" s="70"/>
      <c r="E252" s="71"/>
      <c r="G252" s="52"/>
      <c r="H252" s="51"/>
      <c r="J252" s="50"/>
    </row>
    <row r="253" spans="2:10">
      <c r="B253" s="7"/>
      <c r="D253" s="70"/>
      <c r="E253" s="71"/>
      <c r="G253" s="52"/>
      <c r="H253" s="51"/>
      <c r="J253" s="50"/>
    </row>
    <row r="254" spans="2:10">
      <c r="B254" s="7"/>
      <c r="D254" s="70"/>
      <c r="E254" s="71"/>
      <c r="G254" s="52"/>
      <c r="H254" s="51"/>
      <c r="J254" s="50"/>
    </row>
    <row r="255" spans="2:10">
      <c r="B255" s="7"/>
      <c r="D255" s="70"/>
      <c r="E255" s="71"/>
      <c r="G255" s="52"/>
      <c r="H255" s="51"/>
      <c r="J255" s="50"/>
    </row>
    <row r="256" spans="2:10">
      <c r="B256" s="7"/>
      <c r="D256" s="70"/>
      <c r="E256" s="71"/>
      <c r="G256" s="52"/>
      <c r="H256" s="51"/>
      <c r="J256" s="50"/>
    </row>
    <row r="257" spans="2:10">
      <c r="B257" s="7"/>
      <c r="D257" s="70"/>
      <c r="E257" s="71"/>
      <c r="G257" s="52"/>
      <c r="H257" s="51"/>
      <c r="J257" s="50"/>
    </row>
    <row r="258" spans="2:10">
      <c r="B258" s="7"/>
      <c r="D258" s="70"/>
      <c r="E258" s="71"/>
      <c r="G258" s="52"/>
      <c r="H258" s="51"/>
      <c r="J258" s="50"/>
    </row>
    <row r="259" spans="2:10">
      <c r="B259" s="7"/>
      <c r="D259" s="70"/>
      <c r="G259" s="52"/>
      <c r="H259" s="51"/>
      <c r="J259" s="50"/>
    </row>
    <row r="260" spans="2:10">
      <c r="B260" s="7"/>
      <c r="D260" s="70"/>
      <c r="G260" s="52"/>
      <c r="H260" s="51"/>
      <c r="J260" s="50"/>
    </row>
    <row r="261" spans="2:10">
      <c r="B261" s="7"/>
      <c r="D261" s="70"/>
      <c r="G261" s="52"/>
      <c r="H261" s="51"/>
      <c r="J261" s="50"/>
    </row>
    <row r="262" spans="2:10">
      <c r="B262" s="7"/>
      <c r="G262" s="52"/>
      <c r="H262" s="51"/>
      <c r="J262" s="50"/>
    </row>
    <row r="263" spans="2:10">
      <c r="B263" s="7"/>
      <c r="G263" s="52"/>
      <c r="H263" s="51"/>
      <c r="J263" s="50"/>
    </row>
    <row r="264" spans="2:10">
      <c r="B264" s="7"/>
      <c r="G264" s="52"/>
      <c r="H264" s="51"/>
      <c r="J264" s="50"/>
    </row>
    <row r="265" spans="2:10">
      <c r="B265" s="7"/>
      <c r="G265" s="52"/>
      <c r="H265" s="51"/>
      <c r="J265" s="50"/>
    </row>
    <row r="266" spans="2:10">
      <c r="B266" s="7"/>
      <c r="G266" s="52"/>
      <c r="H266" s="51"/>
      <c r="J266" s="50"/>
    </row>
    <row r="267" spans="2:10">
      <c r="B267" s="7"/>
      <c r="G267" s="52"/>
      <c r="H267" s="51"/>
      <c r="J267" s="50"/>
    </row>
    <row r="268" spans="2:10">
      <c r="B268" s="7"/>
      <c r="G268" s="52"/>
      <c r="H268" s="51"/>
      <c r="J268" s="50"/>
    </row>
    <row r="269" spans="2:10">
      <c r="B269" s="7"/>
      <c r="G269" s="52"/>
      <c r="H269" s="51"/>
      <c r="J269" s="50"/>
    </row>
    <row r="270" spans="2:10">
      <c r="B270" s="7"/>
      <c r="G270" s="52"/>
      <c r="H270" s="51"/>
      <c r="J270" s="50"/>
    </row>
    <row r="271" spans="2:10">
      <c r="B271" s="7"/>
      <c r="G271" s="52"/>
      <c r="H271" s="51"/>
      <c r="J271" s="50"/>
    </row>
    <row r="272" spans="2:10">
      <c r="B272" s="7"/>
      <c r="G272" s="52"/>
      <c r="H272" s="51"/>
      <c r="J272" s="50"/>
    </row>
    <row r="273" spans="2:10">
      <c r="B273" s="7"/>
      <c r="G273" s="52"/>
      <c r="H273" s="51"/>
      <c r="J273" s="50"/>
    </row>
    <row r="274" spans="2:10">
      <c r="B274" s="7"/>
      <c r="G274" s="52"/>
      <c r="H274" s="51"/>
      <c r="J274" s="50"/>
    </row>
    <row r="275" spans="2:10">
      <c r="B275" s="7"/>
      <c r="G275" s="52"/>
      <c r="H275" s="51"/>
      <c r="J275" s="50"/>
    </row>
    <row r="276" spans="2:10">
      <c r="B276" s="7"/>
      <c r="G276" s="52"/>
      <c r="H276" s="51"/>
      <c r="J276" s="50"/>
    </row>
    <row r="277" spans="2:10">
      <c r="B277" s="7"/>
      <c r="G277" s="52"/>
      <c r="H277" s="51"/>
      <c r="J277" s="50"/>
    </row>
    <row r="278" spans="2:10">
      <c r="B278" s="7"/>
      <c r="G278" s="52"/>
      <c r="H278" s="51"/>
      <c r="J278" s="50"/>
    </row>
    <row r="279" spans="2:10">
      <c r="B279" s="7"/>
      <c r="G279" s="52"/>
      <c r="H279" s="51"/>
      <c r="J279" s="50"/>
    </row>
    <row r="280" spans="2:10">
      <c r="B280" s="7"/>
      <c r="G280" s="52"/>
      <c r="H280" s="51"/>
      <c r="J280" s="50"/>
    </row>
    <row r="281" spans="2:10">
      <c r="B281" s="7"/>
      <c r="G281" s="52"/>
      <c r="H281" s="51"/>
      <c r="J281" s="50"/>
    </row>
    <row r="282" spans="2:10">
      <c r="B282" s="7"/>
      <c r="G282" s="52"/>
      <c r="H282" s="51"/>
      <c r="J282" s="50"/>
    </row>
    <row r="283" spans="2:10">
      <c r="B283" s="7"/>
      <c r="G283" s="52"/>
      <c r="H283" s="51"/>
      <c r="J283" s="50"/>
    </row>
    <row r="284" spans="2:10">
      <c r="B284" s="7"/>
      <c r="G284" s="52"/>
      <c r="H284" s="51"/>
      <c r="J284" s="50"/>
    </row>
    <row r="285" spans="2:10">
      <c r="B285" s="7"/>
      <c r="G285" s="52"/>
      <c r="H285" s="51"/>
      <c r="J285" s="50"/>
    </row>
    <row r="286" spans="2:10">
      <c r="B286" s="7"/>
      <c r="G286" s="52"/>
      <c r="H286" s="51"/>
      <c r="J286" s="50"/>
    </row>
    <row r="287" spans="2:10">
      <c r="B287" s="7"/>
      <c r="G287" s="52"/>
      <c r="H287" s="51"/>
      <c r="J287" s="50"/>
    </row>
    <row r="288" spans="2:10">
      <c r="B288" s="7"/>
      <c r="G288" s="52"/>
      <c r="H288" s="51"/>
      <c r="J288" s="50"/>
    </row>
    <row r="289" spans="2:10">
      <c r="B289" s="7"/>
      <c r="G289" s="52"/>
      <c r="H289" s="51"/>
      <c r="J289" s="50"/>
    </row>
    <row r="290" spans="2:10">
      <c r="B290" s="7"/>
      <c r="G290" s="52"/>
      <c r="H290" s="51"/>
      <c r="J290" s="50"/>
    </row>
    <row r="291" spans="2:10">
      <c r="B291" s="7"/>
      <c r="G291" s="52"/>
      <c r="H291" s="51"/>
      <c r="J291" s="50"/>
    </row>
    <row r="292" spans="2:10">
      <c r="B292" s="7"/>
      <c r="G292" s="52"/>
      <c r="H292" s="51"/>
      <c r="J292" s="50"/>
    </row>
    <row r="293" spans="2:10">
      <c r="B293" s="7"/>
      <c r="G293" s="52"/>
      <c r="H293" s="51"/>
      <c r="J293" s="50"/>
    </row>
    <row r="294" spans="2:10">
      <c r="B294" s="7"/>
      <c r="G294" s="52"/>
      <c r="H294" s="51"/>
      <c r="J294" s="50"/>
    </row>
    <row r="295" spans="2:10">
      <c r="B295" s="7"/>
      <c r="G295" s="52"/>
      <c r="H295" s="51"/>
      <c r="J295" s="50"/>
    </row>
    <row r="296" spans="2:10">
      <c r="B296" s="7"/>
      <c r="G296" s="52"/>
      <c r="H296" s="51"/>
      <c r="J296" s="50"/>
    </row>
    <row r="297" spans="2:10">
      <c r="B297" s="7"/>
      <c r="G297" s="52"/>
      <c r="H297" s="51"/>
      <c r="J297" s="50"/>
    </row>
    <row r="298" spans="2:10">
      <c r="B298" s="7"/>
      <c r="G298" s="52"/>
      <c r="H298" s="51"/>
      <c r="J298" s="50"/>
    </row>
    <row r="299" spans="2:10">
      <c r="B299" s="7"/>
      <c r="G299" s="52"/>
      <c r="H299" s="51"/>
      <c r="J299" s="50"/>
    </row>
    <row r="300" spans="2:10">
      <c r="B300" s="7"/>
      <c r="G300" s="52"/>
      <c r="H300" s="51"/>
      <c r="J300" s="50"/>
    </row>
    <row r="301" spans="2:10">
      <c r="B301" s="7"/>
      <c r="G301" s="52"/>
      <c r="H301" s="51"/>
      <c r="J301" s="50"/>
    </row>
    <row r="302" spans="2:10">
      <c r="B302" s="7"/>
      <c r="G302" s="52"/>
      <c r="H302" s="51"/>
      <c r="J302" s="50"/>
    </row>
    <row r="303" spans="2:10">
      <c r="B303" s="7"/>
      <c r="G303" s="52"/>
      <c r="H303" s="51"/>
      <c r="J303" s="50"/>
    </row>
    <row r="304" spans="2:10">
      <c r="B304" s="7"/>
      <c r="G304" s="52"/>
      <c r="H304" s="51"/>
      <c r="J304" s="50"/>
    </row>
    <row r="305" spans="2:10">
      <c r="B305" s="7"/>
      <c r="G305" s="52"/>
      <c r="H305" s="51"/>
      <c r="J305" s="50"/>
    </row>
    <row r="306" spans="2:10">
      <c r="B306" s="7"/>
      <c r="G306" s="52"/>
      <c r="H306" s="51"/>
      <c r="J306" s="50"/>
    </row>
    <row r="307" spans="2:10">
      <c r="B307" s="7"/>
      <c r="G307" s="52"/>
      <c r="H307" s="51"/>
      <c r="J307" s="50"/>
    </row>
    <row r="308" spans="2:10">
      <c r="B308" s="7"/>
      <c r="G308" s="52"/>
      <c r="H308" s="51"/>
      <c r="J308" s="50"/>
    </row>
    <row r="309" spans="2:10">
      <c r="B309" s="7"/>
      <c r="G309" s="52"/>
      <c r="H309" s="51"/>
      <c r="J309" s="50"/>
    </row>
    <row r="310" spans="2:10">
      <c r="B310" s="7"/>
      <c r="G310" s="52"/>
      <c r="H310" s="51"/>
      <c r="J310" s="50"/>
    </row>
    <row r="311" spans="2:10">
      <c r="B311" s="7"/>
      <c r="G311" s="52"/>
      <c r="H311" s="51"/>
      <c r="J311" s="50"/>
    </row>
    <row r="312" spans="2:10">
      <c r="B312" s="7"/>
      <c r="G312" s="52"/>
      <c r="H312" s="51"/>
      <c r="J312" s="50"/>
    </row>
    <row r="313" spans="2:10">
      <c r="B313" s="7"/>
      <c r="G313" s="52"/>
      <c r="H313" s="51"/>
      <c r="J313" s="50"/>
    </row>
    <row r="314" spans="2:10">
      <c r="B314" s="7"/>
      <c r="G314" s="52"/>
      <c r="H314" s="51"/>
      <c r="J314" s="50"/>
    </row>
    <row r="315" spans="2:10">
      <c r="B315" s="7"/>
      <c r="G315" s="52"/>
      <c r="H315" s="51"/>
      <c r="J315" s="50"/>
    </row>
    <row r="316" spans="2:10">
      <c r="B316" s="7"/>
      <c r="G316" s="52"/>
      <c r="H316" s="51"/>
      <c r="J316" s="50"/>
    </row>
    <row r="317" spans="2:10">
      <c r="B317" s="7"/>
      <c r="G317" s="52"/>
      <c r="H317" s="51"/>
      <c r="J317" s="50"/>
    </row>
    <row r="318" spans="2:10">
      <c r="B318" s="7"/>
      <c r="G318" s="52"/>
      <c r="H318" s="51"/>
      <c r="J318" s="50"/>
    </row>
    <row r="319" spans="2:10">
      <c r="B319" s="7"/>
      <c r="G319" s="52"/>
      <c r="H319" s="51"/>
      <c r="J319" s="50"/>
    </row>
    <row r="320" spans="2:10">
      <c r="B320" s="7"/>
      <c r="G320" s="52"/>
      <c r="H320" s="51"/>
      <c r="J320" s="50"/>
    </row>
    <row r="321" spans="2:10">
      <c r="B321" s="7"/>
      <c r="G321" s="52"/>
      <c r="H321" s="51"/>
      <c r="J321" s="50"/>
    </row>
    <row r="322" spans="2:10">
      <c r="B322" s="7"/>
      <c r="G322" s="52"/>
      <c r="H322" s="51"/>
      <c r="J322" s="50"/>
    </row>
    <row r="323" spans="2:10">
      <c r="B323" s="7"/>
      <c r="G323" s="52"/>
      <c r="H323" s="51"/>
      <c r="J323" s="50"/>
    </row>
    <row r="324" spans="2:10">
      <c r="B324" s="7"/>
      <c r="G324" s="52"/>
      <c r="H324" s="51"/>
      <c r="J324" s="50"/>
    </row>
    <row r="325" spans="2:10">
      <c r="B325" s="7"/>
      <c r="G325" s="52"/>
      <c r="H325" s="51"/>
      <c r="J325" s="50"/>
    </row>
    <row r="326" spans="2:10">
      <c r="B326" s="7"/>
      <c r="G326" s="52"/>
      <c r="H326" s="51"/>
      <c r="J326" s="50"/>
    </row>
    <row r="327" spans="2:10">
      <c r="B327" s="7"/>
      <c r="G327" s="52"/>
      <c r="H327" s="51"/>
      <c r="J327" s="50"/>
    </row>
    <row r="328" spans="2:10">
      <c r="B328" s="7"/>
      <c r="G328" s="52"/>
      <c r="H328" s="51"/>
      <c r="J328" s="50"/>
    </row>
    <row r="329" spans="2:10">
      <c r="B329" s="7"/>
      <c r="G329" s="52"/>
      <c r="H329" s="51"/>
      <c r="J329" s="50"/>
    </row>
    <row r="330" spans="2:10">
      <c r="B330" s="7"/>
      <c r="G330" s="52"/>
      <c r="H330" s="51"/>
      <c r="J330" s="50"/>
    </row>
    <row r="331" spans="2:10">
      <c r="B331" s="7"/>
      <c r="G331" s="52"/>
      <c r="H331" s="51"/>
      <c r="J331" s="50"/>
    </row>
    <row r="332" spans="2:10">
      <c r="B332" s="7"/>
      <c r="G332" s="52"/>
      <c r="H332" s="51"/>
      <c r="J332" s="50"/>
    </row>
    <row r="333" spans="2:10">
      <c r="B333" s="7"/>
      <c r="G333" s="52"/>
      <c r="H333" s="51"/>
      <c r="J333" s="50"/>
    </row>
    <row r="334" spans="2:10">
      <c r="B334" s="7"/>
      <c r="G334" s="52"/>
      <c r="H334" s="51"/>
      <c r="J334" s="50"/>
    </row>
    <row r="335" spans="2:10">
      <c r="B335" s="7"/>
      <c r="G335" s="52"/>
      <c r="H335" s="51"/>
      <c r="J335" s="50"/>
    </row>
    <row r="336" spans="2:10">
      <c r="B336" s="7"/>
      <c r="G336" s="52"/>
      <c r="H336" s="51"/>
      <c r="J336" s="50"/>
    </row>
    <row r="337" spans="2:10">
      <c r="B337" s="7"/>
      <c r="G337" s="52"/>
      <c r="H337" s="51"/>
      <c r="J337" s="50"/>
    </row>
    <row r="338" spans="2:10">
      <c r="B338" s="7"/>
      <c r="G338" s="52"/>
      <c r="H338" s="51"/>
      <c r="J338" s="50"/>
    </row>
    <row r="339" spans="2:10">
      <c r="B339" s="7"/>
      <c r="G339" s="52"/>
      <c r="H339" s="51"/>
      <c r="J339" s="50"/>
    </row>
    <row r="340" spans="2:10">
      <c r="B340" s="7"/>
      <c r="G340" s="52"/>
      <c r="H340" s="51"/>
      <c r="J340" s="50"/>
    </row>
    <row r="341" spans="2:10">
      <c r="B341" s="7"/>
      <c r="G341" s="52"/>
      <c r="H341" s="51"/>
      <c r="J341" s="50"/>
    </row>
    <row r="342" spans="2:10">
      <c r="B342" s="7"/>
      <c r="G342" s="52"/>
      <c r="H342" s="51"/>
      <c r="J342" s="50"/>
    </row>
    <row r="343" spans="2:10">
      <c r="B343" s="7"/>
      <c r="G343" s="52"/>
      <c r="H343" s="51"/>
      <c r="J343" s="50"/>
    </row>
    <row r="344" spans="2:10">
      <c r="B344" s="7"/>
      <c r="G344" s="52"/>
      <c r="H344" s="51"/>
      <c r="J344" s="50"/>
    </row>
    <row r="345" spans="2:10">
      <c r="B345" s="7"/>
      <c r="G345" s="52"/>
      <c r="H345" s="51"/>
      <c r="J345" s="50"/>
    </row>
    <row r="346" spans="2:10">
      <c r="B346" s="7"/>
      <c r="G346" s="52"/>
      <c r="H346" s="51"/>
      <c r="J346" s="50"/>
    </row>
    <row r="347" spans="2:10">
      <c r="B347" s="7"/>
      <c r="G347" s="52"/>
      <c r="H347" s="51"/>
      <c r="J347" s="50"/>
    </row>
    <row r="348" spans="2:10">
      <c r="B348" s="7"/>
      <c r="G348" s="52"/>
      <c r="H348" s="51"/>
      <c r="J348" s="50"/>
    </row>
    <row r="349" spans="2:10">
      <c r="B349" s="7"/>
      <c r="G349" s="52"/>
      <c r="H349" s="51"/>
      <c r="J349" s="50"/>
    </row>
    <row r="350" spans="2:10">
      <c r="B350" s="7"/>
      <c r="G350" s="52"/>
      <c r="H350" s="51"/>
      <c r="J350" s="50"/>
    </row>
    <row r="351" spans="2:10">
      <c r="B351" s="7"/>
      <c r="G351" s="52"/>
      <c r="H351" s="51"/>
      <c r="J351" s="50"/>
    </row>
    <row r="352" spans="2:10">
      <c r="B352" s="7"/>
      <c r="G352" s="52"/>
      <c r="H352" s="51"/>
      <c r="J352" s="50"/>
    </row>
    <row r="353" spans="2:10">
      <c r="B353" s="7"/>
      <c r="G353" s="52"/>
      <c r="H353" s="51"/>
      <c r="J353" s="50"/>
    </row>
    <row r="354" spans="2:10">
      <c r="B354" s="7"/>
      <c r="G354" s="52"/>
      <c r="H354" s="51"/>
      <c r="J354" s="50"/>
    </row>
    <row r="355" spans="2:10">
      <c r="B355" s="7"/>
      <c r="G355" s="52"/>
      <c r="H355" s="51"/>
      <c r="J355" s="50"/>
    </row>
    <row r="356" spans="2:10">
      <c r="B356" s="7"/>
      <c r="G356" s="52"/>
      <c r="H356" s="51"/>
      <c r="J356" s="50"/>
    </row>
    <row r="357" spans="2:10">
      <c r="B357" s="7"/>
      <c r="G357" s="52"/>
      <c r="H357" s="51"/>
      <c r="J357" s="50"/>
    </row>
    <row r="358" spans="2:10">
      <c r="B358" s="7"/>
      <c r="G358" s="52"/>
      <c r="H358" s="51"/>
      <c r="J358" s="50"/>
    </row>
    <row r="359" spans="2:10">
      <c r="B359" s="7"/>
      <c r="G359" s="52"/>
      <c r="H359" s="51"/>
      <c r="J359" s="50"/>
    </row>
    <row r="360" spans="2:10">
      <c r="B360" s="7"/>
      <c r="G360" s="52"/>
      <c r="H360" s="51"/>
      <c r="J360" s="50"/>
    </row>
    <row r="361" spans="2:10">
      <c r="B361" s="7"/>
      <c r="G361" s="52"/>
      <c r="H361" s="51"/>
      <c r="J361" s="50"/>
    </row>
    <row r="362" spans="2:10">
      <c r="B362" s="7"/>
      <c r="G362" s="52"/>
      <c r="H362" s="51"/>
      <c r="J362" s="50"/>
    </row>
    <row r="363" spans="2:10">
      <c r="B363" s="7"/>
      <c r="G363" s="52"/>
      <c r="H363" s="51"/>
      <c r="J363" s="50"/>
    </row>
    <row r="364" spans="2:10">
      <c r="B364" s="7"/>
      <c r="G364" s="52"/>
      <c r="H364" s="51"/>
      <c r="J364" s="50"/>
    </row>
    <row r="365" spans="2:10">
      <c r="B365" s="7"/>
      <c r="G365" s="52"/>
      <c r="H365" s="51"/>
      <c r="J365" s="50"/>
    </row>
    <row r="366" spans="2:10">
      <c r="B366" s="7"/>
      <c r="G366" s="52"/>
      <c r="H366" s="51"/>
      <c r="J366" s="50"/>
    </row>
    <row r="367" spans="2:10">
      <c r="B367" s="7"/>
      <c r="G367" s="52"/>
      <c r="H367" s="51"/>
      <c r="J367" s="50"/>
    </row>
    <row r="368" spans="2:10">
      <c r="B368" s="7"/>
      <c r="G368" s="52"/>
      <c r="H368" s="51"/>
      <c r="J368" s="50"/>
    </row>
    <row r="369" spans="2:10">
      <c r="B369" s="7"/>
      <c r="G369" s="52"/>
      <c r="H369" s="51"/>
      <c r="J369" s="50"/>
    </row>
    <row r="370" spans="2:10">
      <c r="B370" s="7"/>
      <c r="G370" s="52"/>
      <c r="H370" s="51"/>
      <c r="J370" s="50"/>
    </row>
    <row r="371" spans="2:10">
      <c r="B371" s="7"/>
      <c r="G371" s="52"/>
      <c r="H371" s="51"/>
      <c r="J371" s="50"/>
    </row>
    <row r="372" spans="2:10">
      <c r="B372" s="7"/>
      <c r="G372" s="52"/>
      <c r="H372" s="51"/>
      <c r="J372" s="50"/>
    </row>
    <row r="373" spans="2:10">
      <c r="B373" s="7"/>
      <c r="G373" s="52"/>
      <c r="H373" s="51"/>
      <c r="J373" s="50"/>
    </row>
    <row r="374" spans="2:10">
      <c r="B374" s="7"/>
      <c r="G374" s="52"/>
      <c r="H374" s="51"/>
      <c r="J374" s="50"/>
    </row>
    <row r="375" spans="2:10">
      <c r="B375" s="7"/>
      <c r="G375" s="52"/>
      <c r="H375" s="51"/>
      <c r="J375" s="50"/>
    </row>
    <row r="376" spans="2:10">
      <c r="B376" s="7"/>
      <c r="G376" s="52"/>
      <c r="H376" s="51"/>
      <c r="J376" s="50"/>
    </row>
    <row r="377" spans="2:10">
      <c r="B377" s="7"/>
      <c r="G377" s="52"/>
      <c r="H377" s="51"/>
      <c r="J377" s="50"/>
    </row>
    <row r="378" spans="2:10">
      <c r="B378" s="7"/>
      <c r="G378" s="52"/>
      <c r="H378" s="51"/>
      <c r="J378" s="50"/>
    </row>
    <row r="379" spans="2:10">
      <c r="B379" s="7"/>
      <c r="G379" s="52"/>
      <c r="H379" s="51"/>
      <c r="J379" s="50"/>
    </row>
    <row r="380" spans="2:10">
      <c r="B380" s="7"/>
      <c r="G380" s="52"/>
      <c r="H380" s="51"/>
      <c r="J380" s="50"/>
    </row>
    <row r="381" spans="2:10">
      <c r="B381" s="7"/>
      <c r="G381" s="52"/>
      <c r="H381" s="51"/>
      <c r="J381" s="50"/>
    </row>
    <row r="382" spans="2:10">
      <c r="B382" s="7"/>
      <c r="G382" s="52"/>
      <c r="H382" s="51"/>
      <c r="J382" s="50"/>
    </row>
    <row r="383" spans="2:10">
      <c r="B383" s="7"/>
      <c r="G383" s="52"/>
      <c r="H383" s="51"/>
      <c r="J383" s="50"/>
    </row>
    <row r="384" spans="2:10">
      <c r="B384" s="7"/>
      <c r="G384" s="52"/>
      <c r="H384" s="51"/>
      <c r="J384" s="50"/>
    </row>
    <row r="385" spans="2:10">
      <c r="B385" s="7"/>
      <c r="G385" s="52"/>
      <c r="H385" s="51"/>
      <c r="J385" s="50"/>
    </row>
    <row r="386" spans="2:10">
      <c r="B386" s="7"/>
      <c r="G386" s="52"/>
      <c r="H386" s="51"/>
      <c r="J386" s="50"/>
    </row>
    <row r="387" spans="2:10">
      <c r="B387" s="7"/>
      <c r="G387" s="52"/>
      <c r="H387" s="51"/>
      <c r="J387" s="50"/>
    </row>
    <row r="388" spans="2:10">
      <c r="B388" s="7"/>
      <c r="G388" s="52"/>
      <c r="H388" s="51"/>
      <c r="J388" s="50"/>
    </row>
    <row r="389" spans="2:10">
      <c r="B389" s="7"/>
      <c r="G389" s="52"/>
      <c r="H389" s="51"/>
      <c r="J389" s="50"/>
    </row>
    <row r="390" spans="2:10">
      <c r="B390" s="7"/>
      <c r="G390" s="52"/>
      <c r="H390" s="51"/>
      <c r="J390" s="50"/>
    </row>
    <row r="391" spans="2:10">
      <c r="B391" s="7"/>
      <c r="G391" s="52"/>
      <c r="H391" s="51"/>
      <c r="J391" s="50"/>
    </row>
    <row r="392" spans="2:10">
      <c r="B392" s="7"/>
      <c r="G392" s="52"/>
      <c r="H392" s="51"/>
      <c r="J392" s="50"/>
    </row>
    <row r="393" spans="2:10">
      <c r="B393" s="7"/>
      <c r="G393" s="52"/>
      <c r="H393" s="51"/>
      <c r="J393" s="50"/>
    </row>
    <row r="394" spans="2:10">
      <c r="B394" s="7"/>
      <c r="G394" s="52"/>
      <c r="H394" s="51"/>
      <c r="J394" s="50"/>
    </row>
    <row r="395" spans="2:10">
      <c r="B395" s="7"/>
      <c r="G395" s="52"/>
      <c r="H395" s="51"/>
      <c r="J395" s="50"/>
    </row>
    <row r="396" spans="2:10">
      <c r="B396" s="7"/>
      <c r="G396" s="52"/>
      <c r="H396" s="51"/>
      <c r="J396" s="50"/>
    </row>
    <row r="397" spans="2:10">
      <c r="B397" s="7"/>
      <c r="G397" s="52"/>
      <c r="H397" s="51"/>
      <c r="J397" s="50"/>
    </row>
    <row r="398" spans="2:10">
      <c r="B398" s="7"/>
      <c r="G398" s="52"/>
      <c r="H398" s="51"/>
      <c r="J398" s="50"/>
    </row>
    <row r="399" spans="2:10">
      <c r="B399" s="7"/>
      <c r="G399" s="52"/>
      <c r="H399" s="51"/>
      <c r="J399" s="50"/>
    </row>
    <row r="400" spans="2:10">
      <c r="B400" s="7"/>
      <c r="G400" s="52"/>
      <c r="H400" s="51"/>
      <c r="J400" s="50"/>
    </row>
    <row r="401" spans="2:10">
      <c r="B401" s="7"/>
      <c r="G401" s="52"/>
      <c r="H401" s="51"/>
      <c r="J401" s="50"/>
    </row>
    <row r="402" spans="2:10">
      <c r="B402" s="7"/>
      <c r="G402" s="52"/>
      <c r="H402" s="51"/>
      <c r="J402" s="50"/>
    </row>
    <row r="403" spans="2:10">
      <c r="B403" s="7"/>
      <c r="G403" s="52"/>
      <c r="H403" s="51"/>
      <c r="J403" s="50"/>
    </row>
    <row r="404" spans="2:10">
      <c r="B404" s="7"/>
      <c r="G404" s="52"/>
      <c r="H404" s="51"/>
      <c r="J404" s="50"/>
    </row>
    <row r="405" spans="2:10">
      <c r="B405" s="7"/>
      <c r="G405" s="52"/>
      <c r="H405" s="51"/>
      <c r="J405" s="50"/>
    </row>
    <row r="406" spans="2:10">
      <c r="B406" s="7"/>
      <c r="G406" s="52"/>
      <c r="H406" s="51"/>
      <c r="J406" s="50"/>
    </row>
    <row r="407" spans="2:10">
      <c r="B407" s="7"/>
      <c r="G407" s="52"/>
      <c r="H407" s="51"/>
      <c r="J407" s="50"/>
    </row>
    <row r="408" spans="2:10">
      <c r="B408" s="7"/>
      <c r="G408" s="52"/>
      <c r="H408" s="51"/>
      <c r="J408" s="50"/>
    </row>
    <row r="409" spans="2:10">
      <c r="B409" s="7"/>
      <c r="G409" s="52"/>
      <c r="H409" s="51"/>
      <c r="J409" s="50"/>
    </row>
    <row r="410" spans="2:10">
      <c r="B410" s="7"/>
      <c r="G410" s="52"/>
      <c r="H410" s="51"/>
      <c r="J410" s="50"/>
    </row>
    <row r="411" spans="2:10">
      <c r="B411" s="7"/>
      <c r="G411" s="52"/>
      <c r="H411" s="51"/>
      <c r="J411" s="50"/>
    </row>
    <row r="412" spans="2:10">
      <c r="B412" s="7"/>
      <c r="G412" s="52"/>
      <c r="H412" s="51"/>
      <c r="J412" s="50"/>
    </row>
    <row r="413" spans="2:10">
      <c r="B413" s="7"/>
      <c r="G413" s="52"/>
      <c r="H413" s="51"/>
      <c r="J413" s="50"/>
    </row>
    <row r="414" spans="2:10">
      <c r="B414" s="7"/>
      <c r="G414" s="52"/>
      <c r="H414" s="51"/>
      <c r="J414" s="50"/>
    </row>
    <row r="415" spans="2:10">
      <c r="B415" s="7"/>
      <c r="G415" s="52"/>
      <c r="H415" s="51"/>
      <c r="J415" s="50"/>
    </row>
    <row r="416" spans="2:10">
      <c r="B416" s="7"/>
      <c r="G416" s="52"/>
      <c r="H416" s="51"/>
      <c r="J416" s="50"/>
    </row>
    <row r="417" spans="2:10">
      <c r="B417" s="7"/>
      <c r="G417" s="52"/>
      <c r="H417" s="51"/>
      <c r="J417" s="50"/>
    </row>
    <row r="418" spans="2:10">
      <c r="B418" s="7"/>
      <c r="G418" s="52"/>
      <c r="H418" s="51"/>
      <c r="J418" s="50"/>
    </row>
    <row r="419" spans="2:10">
      <c r="B419" s="7"/>
      <c r="G419" s="52"/>
      <c r="H419" s="51"/>
      <c r="J419" s="50"/>
    </row>
    <row r="420" spans="2:10">
      <c r="B420" s="7"/>
      <c r="G420" s="52"/>
      <c r="H420" s="51"/>
      <c r="J420" s="50"/>
    </row>
    <row r="421" spans="2:10">
      <c r="B421" s="7"/>
      <c r="G421" s="52"/>
      <c r="H421" s="51"/>
      <c r="J421" s="50"/>
    </row>
    <row r="422" spans="2:10">
      <c r="B422" s="7"/>
      <c r="G422" s="52"/>
      <c r="H422" s="51"/>
      <c r="J422" s="50"/>
    </row>
    <row r="423" spans="2:10">
      <c r="B423" s="7"/>
      <c r="G423" s="52"/>
      <c r="H423" s="51"/>
      <c r="J423" s="50"/>
    </row>
    <row r="424" spans="2:10">
      <c r="B424" s="7"/>
      <c r="G424" s="52"/>
      <c r="H424" s="51"/>
      <c r="J424" s="50"/>
    </row>
    <row r="425" spans="2:10">
      <c r="B425" s="7"/>
      <c r="G425" s="52"/>
      <c r="H425" s="51"/>
      <c r="J425" s="50"/>
    </row>
    <row r="426" spans="2:10">
      <c r="B426" s="7"/>
      <c r="G426" s="52"/>
      <c r="H426" s="51"/>
      <c r="J426" s="50"/>
    </row>
    <row r="427" spans="2:10">
      <c r="B427" s="7"/>
      <c r="G427" s="52"/>
      <c r="H427" s="51"/>
      <c r="J427" s="50"/>
    </row>
    <row r="428" spans="2:10">
      <c r="B428" s="7"/>
      <c r="G428" s="52"/>
      <c r="H428" s="51"/>
      <c r="J428" s="50"/>
    </row>
    <row r="429" spans="2:10">
      <c r="B429" s="7"/>
      <c r="G429" s="52"/>
      <c r="H429" s="51"/>
      <c r="J429" s="50"/>
    </row>
    <row r="430" spans="2:10">
      <c r="B430" s="7"/>
      <c r="G430" s="52"/>
      <c r="H430" s="51"/>
      <c r="J430" s="50"/>
    </row>
    <row r="431" spans="2:10">
      <c r="B431" s="7"/>
      <c r="G431" s="52"/>
      <c r="H431" s="51"/>
      <c r="J431" s="50"/>
    </row>
    <row r="432" spans="2:10">
      <c r="B432" s="7"/>
      <c r="G432" s="52"/>
      <c r="H432" s="51"/>
      <c r="J432" s="50"/>
    </row>
    <row r="433" spans="2:10">
      <c r="B433" s="7"/>
      <c r="G433" s="52"/>
      <c r="H433" s="51"/>
      <c r="J433" s="50"/>
    </row>
    <row r="434" spans="2:10">
      <c r="B434" s="7"/>
      <c r="G434" s="52"/>
      <c r="H434" s="51"/>
      <c r="J434" s="50"/>
    </row>
    <row r="435" spans="2:10">
      <c r="B435" s="7"/>
      <c r="G435" s="52"/>
      <c r="H435" s="51"/>
      <c r="J435" s="50"/>
    </row>
    <row r="436" spans="2:10">
      <c r="B436" s="7"/>
      <c r="G436" s="52"/>
      <c r="H436" s="51"/>
      <c r="J436" s="50"/>
    </row>
    <row r="437" spans="2:10">
      <c r="B437" s="7"/>
      <c r="G437" s="52"/>
      <c r="H437" s="51"/>
      <c r="J437" s="50"/>
    </row>
    <row r="438" spans="2:10">
      <c r="B438" s="7"/>
      <c r="G438" s="52"/>
      <c r="H438" s="51"/>
      <c r="J438" s="50"/>
    </row>
    <row r="439" spans="2:10">
      <c r="B439" s="7"/>
      <c r="G439" s="52"/>
      <c r="H439" s="51"/>
      <c r="J439" s="50"/>
    </row>
    <row r="440" spans="2:10">
      <c r="B440" s="7"/>
      <c r="G440" s="52"/>
      <c r="H440" s="51"/>
      <c r="J440" s="50"/>
    </row>
    <row r="441" spans="2:10">
      <c r="B441" s="7"/>
      <c r="G441" s="52"/>
      <c r="H441" s="51"/>
      <c r="J441" s="50"/>
    </row>
    <row r="442" spans="2:10">
      <c r="B442" s="7"/>
      <c r="G442" s="52"/>
      <c r="H442" s="51"/>
      <c r="J442" s="50"/>
    </row>
    <row r="443" spans="2:10">
      <c r="B443" s="7"/>
      <c r="G443" s="52"/>
      <c r="H443" s="51"/>
      <c r="J443" s="50"/>
    </row>
    <row r="444" spans="2:10">
      <c r="B444" s="7"/>
      <c r="G444" s="52"/>
      <c r="H444" s="51"/>
      <c r="J444" s="50"/>
    </row>
    <row r="445" spans="2:10">
      <c r="B445" s="7"/>
      <c r="G445" s="52"/>
      <c r="H445" s="51"/>
      <c r="J445" s="50"/>
    </row>
    <row r="446" spans="2:10">
      <c r="B446" s="7"/>
      <c r="G446" s="52"/>
      <c r="H446" s="51"/>
      <c r="J446" s="50"/>
    </row>
    <row r="447" spans="2:10">
      <c r="B447" s="7"/>
      <c r="G447" s="52"/>
      <c r="H447" s="51"/>
      <c r="J447" s="50"/>
    </row>
    <row r="448" spans="2:10">
      <c r="B448" s="7"/>
      <c r="G448" s="52"/>
      <c r="H448" s="51"/>
      <c r="J448" s="50"/>
    </row>
    <row r="449" spans="2:10">
      <c r="B449" s="7"/>
      <c r="G449" s="52"/>
      <c r="H449" s="51"/>
      <c r="J449" s="50"/>
    </row>
    <row r="450" spans="2:10">
      <c r="B450" s="7"/>
      <c r="G450" s="52"/>
      <c r="H450" s="51"/>
      <c r="J450" s="50"/>
    </row>
    <row r="451" spans="2:10">
      <c r="B451" s="7"/>
      <c r="G451" s="52"/>
      <c r="H451" s="51"/>
      <c r="J451" s="50"/>
    </row>
    <row r="452" spans="2:10">
      <c r="B452" s="7"/>
      <c r="G452" s="52"/>
      <c r="H452" s="51"/>
      <c r="J452" s="50"/>
    </row>
    <row r="453" spans="2:10">
      <c r="B453" s="7"/>
      <c r="G453" s="52"/>
      <c r="H453" s="51"/>
      <c r="J453" s="50"/>
    </row>
    <row r="454" spans="2:10">
      <c r="B454" s="7"/>
      <c r="G454" s="52"/>
      <c r="H454" s="51"/>
      <c r="J454" s="50"/>
    </row>
    <row r="455" spans="2:10">
      <c r="B455" s="7"/>
      <c r="G455" s="52"/>
      <c r="H455" s="51"/>
      <c r="J455" s="50"/>
    </row>
    <row r="456" spans="2:10">
      <c r="B456" s="7"/>
      <c r="G456" s="52"/>
      <c r="H456" s="51"/>
      <c r="J456" s="50"/>
    </row>
    <row r="457" spans="2:10">
      <c r="B457" s="7"/>
      <c r="G457" s="52"/>
      <c r="H457" s="51"/>
      <c r="J457" s="50"/>
    </row>
    <row r="458" spans="2:10">
      <c r="B458" s="7"/>
      <c r="G458" s="52"/>
      <c r="H458" s="51"/>
      <c r="J458" s="50"/>
    </row>
    <row r="459" spans="2:10">
      <c r="B459" s="7"/>
      <c r="G459" s="52"/>
      <c r="H459" s="51"/>
      <c r="J459" s="50"/>
    </row>
    <row r="460" spans="2:10">
      <c r="B460" s="7"/>
      <c r="G460" s="52"/>
      <c r="H460" s="51"/>
      <c r="J460" s="50"/>
    </row>
    <row r="461" spans="2:10">
      <c r="B461" s="7"/>
      <c r="G461" s="52"/>
      <c r="H461" s="51"/>
      <c r="J461" s="50"/>
    </row>
    <row r="462" spans="2:10">
      <c r="B462" s="7"/>
      <c r="G462" s="52"/>
      <c r="H462" s="51"/>
      <c r="J462" s="50"/>
    </row>
    <row r="463" spans="2:10">
      <c r="B463" s="7"/>
      <c r="G463" s="52"/>
      <c r="H463" s="51"/>
      <c r="J463" s="50"/>
    </row>
    <row r="464" spans="2:10">
      <c r="B464" s="7"/>
      <c r="G464" s="52"/>
      <c r="H464" s="51"/>
      <c r="J464" s="50"/>
    </row>
    <row r="465" spans="2:10">
      <c r="B465" s="7"/>
      <c r="G465" s="52"/>
      <c r="H465" s="51"/>
      <c r="J465" s="50"/>
    </row>
    <row r="466" spans="2:10">
      <c r="B466" s="7"/>
      <c r="G466" s="52"/>
      <c r="H466" s="51"/>
      <c r="J466" s="50"/>
    </row>
    <row r="467" spans="2:10">
      <c r="B467" s="7"/>
      <c r="G467" s="52"/>
      <c r="H467" s="51"/>
      <c r="J467" s="50"/>
    </row>
    <row r="468" spans="2:10">
      <c r="B468" s="7"/>
      <c r="G468" s="52"/>
      <c r="H468" s="51"/>
      <c r="J468" s="50"/>
    </row>
    <row r="469" spans="2:10">
      <c r="B469" s="7"/>
      <c r="G469" s="52"/>
      <c r="H469" s="51"/>
      <c r="J469" s="50"/>
    </row>
    <row r="470" spans="2:10">
      <c r="B470" s="7"/>
      <c r="G470" s="52"/>
      <c r="H470" s="51"/>
      <c r="J470" s="50"/>
    </row>
    <row r="471" spans="2:10">
      <c r="B471" s="7"/>
      <c r="G471" s="52"/>
      <c r="H471" s="51"/>
      <c r="J471" s="50"/>
    </row>
    <row r="472" spans="2:10">
      <c r="B472" s="7"/>
      <c r="G472" s="52"/>
      <c r="H472" s="51"/>
      <c r="J472" s="50"/>
    </row>
    <row r="473" spans="2:10">
      <c r="B473" s="7"/>
      <c r="G473" s="52"/>
      <c r="H473" s="51"/>
      <c r="J473" s="50"/>
    </row>
    <row r="474" spans="2:10">
      <c r="B474" s="7"/>
      <c r="G474" s="52"/>
      <c r="H474" s="51"/>
      <c r="J474" s="50"/>
    </row>
    <row r="475" spans="2:10">
      <c r="B475" s="7"/>
      <c r="G475" s="52"/>
      <c r="H475" s="51"/>
      <c r="J475" s="50"/>
    </row>
    <row r="476" spans="2:10">
      <c r="B476" s="7"/>
      <c r="G476" s="52"/>
      <c r="H476" s="51"/>
      <c r="J476" s="50"/>
    </row>
    <row r="477" spans="2:10">
      <c r="B477" s="7"/>
      <c r="G477" s="52"/>
      <c r="H477" s="51"/>
      <c r="J477" s="50"/>
    </row>
    <row r="478" spans="2:10">
      <c r="B478" s="7"/>
      <c r="G478" s="52"/>
      <c r="H478" s="51"/>
      <c r="J478" s="50"/>
    </row>
    <row r="479" spans="2:10">
      <c r="B479" s="7"/>
      <c r="G479" s="52"/>
      <c r="H479" s="51"/>
      <c r="J479" s="50"/>
    </row>
    <row r="480" spans="2:10">
      <c r="B480" s="7"/>
      <c r="G480" s="52"/>
      <c r="H480" s="51"/>
      <c r="J480" s="50"/>
    </row>
    <row r="481" spans="2:10">
      <c r="B481" s="7"/>
      <c r="G481" s="52"/>
      <c r="H481" s="51"/>
      <c r="J481" s="50"/>
    </row>
    <row r="482" spans="2:10">
      <c r="B482" s="7"/>
      <c r="G482" s="52"/>
      <c r="H482" s="51"/>
      <c r="J482" s="50"/>
    </row>
    <row r="483" spans="2:10">
      <c r="B483" s="7"/>
      <c r="G483" s="52"/>
      <c r="H483" s="51"/>
      <c r="J483" s="50"/>
    </row>
    <row r="484" spans="2:10">
      <c r="B484" s="7"/>
      <c r="G484" s="52"/>
      <c r="H484" s="51"/>
      <c r="J484" s="50"/>
    </row>
    <row r="485" spans="2:10">
      <c r="B485" s="7"/>
      <c r="G485" s="52"/>
      <c r="H485" s="51"/>
      <c r="J485" s="50"/>
    </row>
    <row r="486" spans="2:10">
      <c r="B486" s="7"/>
      <c r="G486" s="52"/>
      <c r="H486" s="51"/>
      <c r="J486" s="50"/>
    </row>
    <row r="487" spans="2:10">
      <c r="B487" s="7"/>
      <c r="G487" s="52"/>
      <c r="H487" s="51"/>
      <c r="J487" s="50"/>
    </row>
    <row r="488" spans="2:10">
      <c r="B488" s="7"/>
      <c r="G488" s="52"/>
      <c r="H488" s="51"/>
      <c r="J488" s="50"/>
    </row>
    <row r="489" spans="2:10">
      <c r="B489" s="7"/>
      <c r="G489" s="52"/>
      <c r="H489" s="51"/>
      <c r="J489" s="50"/>
    </row>
    <row r="490" spans="2:10">
      <c r="B490" s="7"/>
      <c r="G490" s="52"/>
      <c r="H490" s="51"/>
      <c r="J490" s="50"/>
    </row>
    <row r="491" spans="2:10">
      <c r="B491" s="7"/>
      <c r="G491" s="52"/>
      <c r="H491" s="51"/>
      <c r="J491" s="50"/>
    </row>
    <row r="492" spans="2:10">
      <c r="B492" s="7"/>
      <c r="G492" s="52"/>
      <c r="H492" s="51"/>
      <c r="J492" s="50"/>
    </row>
    <row r="493" spans="2:10">
      <c r="B493" s="7"/>
      <c r="G493" s="52"/>
      <c r="H493" s="51"/>
      <c r="J493" s="50"/>
    </row>
    <row r="494" spans="2:10">
      <c r="B494" s="7"/>
      <c r="G494" s="52"/>
      <c r="H494" s="51"/>
      <c r="J494" s="50"/>
    </row>
    <row r="495" spans="2:10">
      <c r="B495" s="7"/>
      <c r="G495" s="52"/>
      <c r="H495" s="51"/>
      <c r="J495" s="50"/>
    </row>
    <row r="496" spans="2:10">
      <c r="B496" s="7"/>
      <c r="G496" s="52"/>
      <c r="H496" s="51"/>
      <c r="J496" s="50"/>
    </row>
    <row r="497" spans="2:10">
      <c r="B497" s="7"/>
      <c r="G497" s="52"/>
      <c r="H497" s="51"/>
      <c r="J497" s="50"/>
    </row>
    <row r="498" spans="2:10">
      <c r="B498" s="7"/>
      <c r="G498" s="52"/>
      <c r="H498" s="51"/>
      <c r="J498" s="50"/>
    </row>
    <row r="499" spans="2:10">
      <c r="B499" s="7"/>
      <c r="G499" s="52"/>
      <c r="H499" s="51"/>
      <c r="J499" s="50"/>
    </row>
    <row r="500" spans="2:10">
      <c r="B500" s="7"/>
      <c r="G500" s="52"/>
      <c r="H500" s="51"/>
      <c r="J500" s="50"/>
    </row>
    <row r="501" spans="2:10">
      <c r="B501" s="7"/>
      <c r="G501" s="52"/>
      <c r="H501" s="51"/>
      <c r="J501" s="50"/>
    </row>
    <row r="502" spans="2:10">
      <c r="B502" s="7"/>
      <c r="G502" s="52"/>
      <c r="H502" s="51"/>
      <c r="J502" s="50"/>
    </row>
    <row r="503" spans="2:10">
      <c r="B503" s="7"/>
      <c r="G503" s="52"/>
      <c r="H503" s="51"/>
      <c r="J503" s="50"/>
    </row>
    <row r="504" spans="2:10">
      <c r="B504" s="7"/>
      <c r="G504" s="52"/>
      <c r="H504" s="51"/>
      <c r="J504" s="50"/>
    </row>
    <row r="505" spans="2:10">
      <c r="B505" s="7"/>
      <c r="G505" s="52"/>
      <c r="H505" s="51"/>
      <c r="J505" s="50"/>
    </row>
    <row r="506" spans="2:10">
      <c r="B506" s="7"/>
      <c r="G506" s="52"/>
      <c r="H506" s="51"/>
      <c r="J506" s="50"/>
    </row>
    <row r="507" spans="2:10">
      <c r="B507" s="7"/>
      <c r="G507" s="52"/>
      <c r="H507" s="51"/>
      <c r="J507" s="50"/>
    </row>
    <row r="508" spans="2:10">
      <c r="B508" s="7"/>
      <c r="G508" s="52"/>
      <c r="H508" s="51"/>
      <c r="J508" s="50"/>
    </row>
    <row r="509" spans="2:10">
      <c r="B509" s="7"/>
      <c r="G509" s="52"/>
      <c r="H509" s="51"/>
      <c r="J509" s="50"/>
    </row>
    <row r="510" spans="2:10">
      <c r="B510" s="7"/>
      <c r="G510" s="52"/>
      <c r="H510" s="51"/>
      <c r="J510" s="50"/>
    </row>
    <row r="511" spans="2:10">
      <c r="B511" s="7"/>
      <c r="G511" s="52"/>
      <c r="H511" s="51"/>
      <c r="J511" s="50"/>
    </row>
    <row r="512" spans="2:10">
      <c r="B512" s="7"/>
      <c r="G512" s="52"/>
      <c r="H512" s="51"/>
      <c r="J512" s="50"/>
    </row>
    <row r="513" spans="2:10">
      <c r="B513" s="7"/>
      <c r="G513" s="52"/>
      <c r="H513" s="51"/>
      <c r="J513" s="50"/>
    </row>
    <row r="514" spans="2:10">
      <c r="B514" s="7"/>
      <c r="G514" s="52"/>
      <c r="H514" s="51"/>
      <c r="J514" s="50"/>
    </row>
    <row r="515" spans="2:10">
      <c r="B515" s="7"/>
      <c r="G515" s="52"/>
      <c r="H515" s="51"/>
      <c r="J515" s="50"/>
    </row>
    <row r="516" spans="2:10">
      <c r="B516" s="7"/>
      <c r="G516" s="52"/>
      <c r="H516" s="51"/>
      <c r="J516" s="50"/>
    </row>
    <row r="517" spans="2:10">
      <c r="B517" s="7"/>
      <c r="G517" s="52"/>
      <c r="H517" s="51"/>
      <c r="J517" s="50"/>
    </row>
    <row r="518" spans="2:10">
      <c r="B518" s="7"/>
      <c r="G518" s="52"/>
      <c r="H518" s="51"/>
      <c r="J518" s="50"/>
    </row>
    <row r="519" spans="2:10">
      <c r="B519" s="7"/>
      <c r="G519" s="52"/>
      <c r="H519" s="51"/>
      <c r="J519" s="50"/>
    </row>
    <row r="520" spans="2:10">
      <c r="B520" s="7"/>
      <c r="G520" s="52"/>
      <c r="H520" s="51"/>
      <c r="J520" s="50"/>
    </row>
    <row r="521" spans="2:10">
      <c r="B521" s="7"/>
      <c r="G521" s="52"/>
      <c r="H521" s="51"/>
      <c r="J521" s="50"/>
    </row>
    <row r="522" spans="2:10">
      <c r="B522" s="7"/>
      <c r="G522" s="52"/>
      <c r="H522" s="51"/>
      <c r="J522" s="50"/>
    </row>
    <row r="523" spans="2:10">
      <c r="B523" s="7"/>
      <c r="G523" s="52"/>
      <c r="H523" s="51"/>
      <c r="J523" s="50"/>
    </row>
    <row r="524" spans="2:10">
      <c r="B524" s="7"/>
      <c r="G524" s="52"/>
      <c r="H524" s="51"/>
      <c r="J524" s="50"/>
    </row>
    <row r="525" spans="2:10">
      <c r="B525" s="7"/>
      <c r="G525" s="52"/>
      <c r="H525" s="51"/>
      <c r="J525" s="50"/>
    </row>
    <row r="526" spans="2:10">
      <c r="B526" s="7"/>
      <c r="G526" s="52"/>
      <c r="H526" s="51"/>
      <c r="J526" s="50"/>
    </row>
    <row r="527" spans="2:10">
      <c r="B527" s="7"/>
      <c r="G527" s="52"/>
      <c r="H527" s="51"/>
      <c r="J527" s="50"/>
    </row>
    <row r="528" spans="2:10">
      <c r="B528" s="7"/>
      <c r="G528" s="52"/>
      <c r="H528" s="51"/>
      <c r="J528" s="50"/>
    </row>
    <row r="529" spans="2:10">
      <c r="B529" s="7"/>
      <c r="G529" s="52"/>
      <c r="H529" s="51"/>
      <c r="J529" s="50"/>
    </row>
    <row r="530" spans="2:10">
      <c r="B530" s="7"/>
      <c r="G530" s="52"/>
      <c r="H530" s="51"/>
      <c r="J530" s="50"/>
    </row>
    <row r="531" spans="2:10">
      <c r="B531" s="7"/>
      <c r="G531" s="52"/>
      <c r="H531" s="51"/>
      <c r="J531" s="50"/>
    </row>
    <row r="532" spans="2:10">
      <c r="B532" s="7"/>
      <c r="G532" s="52"/>
      <c r="H532" s="51"/>
      <c r="J532" s="50"/>
    </row>
    <row r="533" spans="2:10">
      <c r="B533" s="7"/>
      <c r="G533" s="52"/>
      <c r="H533" s="51"/>
      <c r="J533" s="50"/>
    </row>
    <row r="534" spans="2:10">
      <c r="B534" s="7"/>
      <c r="G534" s="52"/>
      <c r="H534" s="51"/>
      <c r="J534" s="50"/>
    </row>
  </sheetData>
  <phoneticPr fontId="0" type="noConversion"/>
  <printOptions horizontalCentered="1"/>
  <pageMargins left="0.2" right="0.2" top="0.63" bottom="0.31" header="0.25" footer="0.22"/>
  <pageSetup scale="70" orientation="landscape" r:id="rId1"/>
  <headerFooter alignWithMargins="0">
    <oddHeader>&amp;CPacific Gas and Electric Company
Revenue Allocation Workpapers for the 3¢ Surcharge
Test Year 2001 Sales and Revenue</oddHeader>
    <oddFooter>&amp;L&amp;D
&amp;T&amp;R&amp;F
&amp;A</oddFooter>
  </headerFooter>
  <rowBreaks count="2" manualBreakCount="2">
    <brk id="55" max="16383" man="1"/>
    <brk id="115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30</vt:i4>
      </vt:variant>
    </vt:vector>
  </HeadingPairs>
  <TitlesOfParts>
    <vt:vector size="39" baseType="lpstr">
      <vt:lpstr>Documentation</vt:lpstr>
      <vt:lpstr>Inputs and Assumptions</vt:lpstr>
      <vt:lpstr>Average Rate Summary</vt:lpstr>
      <vt:lpstr>RSP Surcharge Summary</vt:lpstr>
      <vt:lpstr>Development of RRQ</vt:lpstr>
      <vt:lpstr>Revenue Allocation</vt:lpstr>
      <vt:lpstr>RSP Surch Allocations</vt:lpstr>
      <vt:lpstr>Generation Calculations</vt:lpstr>
      <vt:lpstr>Test Year 2001 Sales and Revs.</vt:lpstr>
      <vt:lpstr>allocation_method</vt:lpstr>
      <vt:lpstr>gen_choice</vt:lpstr>
      <vt:lpstr>gen_equal</vt:lpstr>
      <vt:lpstr>P_Equal</vt:lpstr>
      <vt:lpstr>P_equal_gen</vt:lpstr>
      <vt:lpstr>P_LF</vt:lpstr>
      <vt:lpstr>'Average Rate Summary'!Print_Area</vt:lpstr>
      <vt:lpstr>'Development of RRQ'!Print_Area</vt:lpstr>
      <vt:lpstr>Documentation!Print_Area</vt:lpstr>
      <vt:lpstr>'Generation Calculations'!Print_Area</vt:lpstr>
      <vt:lpstr>'Inputs and Assumptions'!Print_Area</vt:lpstr>
      <vt:lpstr>'Revenue Allocation'!Print_Area</vt:lpstr>
      <vt:lpstr>'RSP Surch Allocations'!Print_Area</vt:lpstr>
      <vt:lpstr>'RSP Surcharge Summary'!Print_Area</vt:lpstr>
      <vt:lpstr>'Test Year 2001 Sales and Revs.'!Print_Area</vt:lpstr>
      <vt:lpstr>'Average Rate Summary'!Print_Titles</vt:lpstr>
      <vt:lpstr>'Generation Calculations'!Print_Titles</vt:lpstr>
      <vt:lpstr>'Revenue Allocation'!Print_Titles</vt:lpstr>
      <vt:lpstr>'RSP Surch Allocations'!Print_Titles</vt:lpstr>
      <vt:lpstr>'RSP Surcharge Summary'!Print_Titles</vt:lpstr>
      <vt:lpstr>'Test Year 2001 Sales and Revs.'!Print_Titles</vt:lpstr>
      <vt:lpstr>S_Equal</vt:lpstr>
      <vt:lpstr>s_equal_gen</vt:lpstr>
      <vt:lpstr>S_LF</vt:lpstr>
      <vt:lpstr>'Development of RRQ'!surcharge</vt:lpstr>
      <vt:lpstr>surcharge</vt:lpstr>
      <vt:lpstr>surcharge_1</vt:lpstr>
      <vt:lpstr>T_Equal</vt:lpstr>
      <vt:lpstr>T_equal_gen</vt:lpstr>
      <vt:lpstr>T_LF</vt:lpstr>
    </vt:vector>
  </TitlesOfParts>
  <Company>Pacific Gas and Electric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Schultz</dc:creator>
  <cp:lastModifiedBy>Jan Havlíček</cp:lastModifiedBy>
  <cp:lastPrinted>2001-04-12T16:08:10Z</cp:lastPrinted>
  <dcterms:created xsi:type="dcterms:W3CDTF">2000-12-06T22:41:37Z</dcterms:created>
  <dcterms:modified xsi:type="dcterms:W3CDTF">2023-09-17T20:07:26Z</dcterms:modified>
</cp:coreProperties>
</file>