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5C6CBF-619B-45DE-A92D-FC9E3235B28E}" xr6:coauthVersionLast="47" xr6:coauthVersionMax="47" xr10:uidLastSave="{00000000-0000-0000-0000-000000000000}"/>
  <bookViews>
    <workbookView xWindow="-120" yWindow="-120" windowWidth="38640" windowHeight="15720" tabRatio="714"/>
  </bookViews>
  <sheets>
    <sheet name="Pipeline BM Summary" sheetId="4" r:id="rId1"/>
    <sheet name="Pipeline Benchmark" sheetId="1" state="hidden" r:id="rId2"/>
    <sheet name="Meter Station Benchmark" sheetId="6" r:id="rId3"/>
  </sheets>
  <definedNames>
    <definedName name="_xlnm.Print_Area" localSheetId="2">'Meter Station Benchmark'!$B$1:$H$51</definedName>
    <definedName name="_xlnm.Print_Area" localSheetId="1">'Pipeline Benchmark'!$B$1:$AB$98</definedName>
    <definedName name="_xlnm.Print_Area" localSheetId="0">'Pipeline BM Summary'!$B$1:$J$55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E14" i="6"/>
  <c r="G14" i="6"/>
  <c r="H14" i="6"/>
  <c r="E15" i="6"/>
  <c r="G15" i="6"/>
  <c r="H15" i="6"/>
  <c r="C17" i="6"/>
  <c r="D17" i="6"/>
  <c r="E17" i="6"/>
  <c r="G17" i="6"/>
  <c r="H17" i="6"/>
  <c r="C18" i="6"/>
  <c r="D18" i="6"/>
  <c r="E18" i="6"/>
  <c r="G18" i="6"/>
  <c r="H18" i="6"/>
  <c r="D21" i="6"/>
  <c r="E21" i="6"/>
  <c r="G21" i="6"/>
  <c r="H21" i="6"/>
  <c r="D23" i="6"/>
  <c r="E23" i="6"/>
  <c r="H23" i="6"/>
  <c r="D24" i="6"/>
  <c r="E24" i="6"/>
  <c r="D25" i="6"/>
  <c r="E25" i="6"/>
  <c r="D26" i="6"/>
  <c r="E26" i="6"/>
  <c r="H26" i="6"/>
  <c r="D27" i="6"/>
  <c r="E27" i="6"/>
  <c r="G27" i="6"/>
  <c r="H27" i="6"/>
  <c r="D28" i="6"/>
  <c r="E28" i="6"/>
  <c r="G28" i="6"/>
  <c r="H28" i="6"/>
  <c r="D30" i="6"/>
  <c r="E30" i="6"/>
  <c r="G30" i="6"/>
  <c r="H30" i="6"/>
  <c r="D31" i="6"/>
  <c r="E31" i="6"/>
  <c r="G31" i="6"/>
  <c r="H31" i="6"/>
  <c r="D34" i="6"/>
  <c r="E34" i="6"/>
  <c r="G34" i="6"/>
  <c r="H34" i="6"/>
  <c r="D37" i="6"/>
  <c r="E37" i="6"/>
  <c r="G37" i="6"/>
  <c r="H37" i="6"/>
  <c r="C39" i="6"/>
  <c r="E39" i="6"/>
  <c r="H39" i="6"/>
  <c r="C40" i="6"/>
  <c r="D40" i="6"/>
  <c r="E40" i="6"/>
  <c r="H40" i="6"/>
  <c r="C41" i="6"/>
  <c r="D41" i="6"/>
  <c r="E41" i="6"/>
  <c r="G41" i="6"/>
  <c r="H41" i="6"/>
  <c r="C42" i="6"/>
  <c r="D42" i="6"/>
  <c r="E42" i="6"/>
  <c r="H42" i="6"/>
  <c r="C44" i="6"/>
  <c r="D44" i="6"/>
  <c r="E44" i="6"/>
  <c r="H44" i="6"/>
  <c r="D47" i="6"/>
  <c r="E47" i="6"/>
  <c r="G47" i="6"/>
  <c r="H47" i="6"/>
  <c r="D50" i="6"/>
  <c r="G50" i="6"/>
  <c r="M6" i="1"/>
  <c r="T6" i="1"/>
  <c r="AA6" i="1"/>
  <c r="AG6" i="1"/>
  <c r="N8" i="1"/>
  <c r="U8" i="1"/>
  <c r="AB8" i="1"/>
  <c r="AH8" i="1"/>
  <c r="AN8" i="1"/>
  <c r="AT8" i="1"/>
  <c r="AZ8" i="1"/>
  <c r="N9" i="1"/>
  <c r="U9" i="1"/>
  <c r="AB9" i="1"/>
  <c r="AH9" i="1"/>
  <c r="AN9" i="1"/>
  <c r="AT9" i="1"/>
  <c r="AZ9" i="1"/>
  <c r="F10" i="1"/>
  <c r="J10" i="1"/>
  <c r="N10" i="1"/>
  <c r="Q10" i="1"/>
  <c r="U10" i="1"/>
  <c r="X10" i="1"/>
  <c r="AB10" i="1"/>
  <c r="AE10" i="1"/>
  <c r="AH10" i="1"/>
  <c r="AK10" i="1"/>
  <c r="AN10" i="1"/>
  <c r="AQ10" i="1"/>
  <c r="AT10" i="1"/>
  <c r="AW10" i="1"/>
  <c r="AZ10" i="1"/>
  <c r="F11" i="1"/>
  <c r="J11" i="1"/>
  <c r="N11" i="1"/>
  <c r="Q11" i="1"/>
  <c r="U11" i="1"/>
  <c r="X11" i="1"/>
  <c r="AB11" i="1"/>
  <c r="AE11" i="1"/>
  <c r="AH11" i="1"/>
  <c r="AK11" i="1"/>
  <c r="AN11" i="1"/>
  <c r="AQ11" i="1"/>
  <c r="AT11" i="1"/>
  <c r="AW11" i="1"/>
  <c r="AZ11" i="1"/>
  <c r="U17" i="1"/>
  <c r="AA17" i="1"/>
  <c r="AG17" i="1"/>
  <c r="AM17" i="1"/>
  <c r="AS17" i="1"/>
  <c r="AY17" i="1"/>
  <c r="E18" i="1"/>
  <c r="F18" i="1"/>
  <c r="I18" i="1"/>
  <c r="J18" i="1"/>
  <c r="M18" i="1"/>
  <c r="N18" i="1"/>
  <c r="P18" i="1"/>
  <c r="Q18" i="1"/>
  <c r="T18" i="1"/>
  <c r="U18" i="1"/>
  <c r="W18" i="1"/>
  <c r="X18" i="1"/>
  <c r="AA18" i="1"/>
  <c r="AB18" i="1"/>
  <c r="AE18" i="1"/>
  <c r="AG18" i="1"/>
  <c r="AH18" i="1"/>
  <c r="AK18" i="1"/>
  <c r="AM18" i="1"/>
  <c r="AN18" i="1"/>
  <c r="AQ18" i="1"/>
  <c r="AS18" i="1"/>
  <c r="AT18" i="1"/>
  <c r="AW18" i="1"/>
  <c r="AY18" i="1"/>
  <c r="AZ18" i="1"/>
  <c r="J19" i="1"/>
  <c r="M19" i="1"/>
  <c r="N19" i="1"/>
  <c r="Q19" i="1"/>
  <c r="T19" i="1"/>
  <c r="U19" i="1"/>
  <c r="X19" i="1"/>
  <c r="AA19" i="1"/>
  <c r="AB19" i="1"/>
  <c r="AE19" i="1"/>
  <c r="AG19" i="1"/>
  <c r="AH19" i="1"/>
  <c r="AK19" i="1"/>
  <c r="AM19" i="1"/>
  <c r="AN19" i="1"/>
  <c r="AQ19" i="1"/>
  <c r="AS19" i="1"/>
  <c r="AT19" i="1"/>
  <c r="AW19" i="1"/>
  <c r="AY19" i="1"/>
  <c r="AZ19" i="1"/>
  <c r="E20" i="1"/>
  <c r="F20" i="1"/>
  <c r="J20" i="1"/>
  <c r="M20" i="1"/>
  <c r="N20" i="1"/>
  <c r="Q20" i="1"/>
  <c r="T20" i="1"/>
  <c r="U20" i="1"/>
  <c r="X20" i="1"/>
  <c r="AA20" i="1"/>
  <c r="AB20" i="1"/>
  <c r="AE20" i="1"/>
  <c r="AG20" i="1"/>
  <c r="AH20" i="1"/>
  <c r="AK20" i="1"/>
  <c r="AM20" i="1"/>
  <c r="AN20" i="1"/>
  <c r="AQ20" i="1"/>
  <c r="AS20" i="1"/>
  <c r="AT20" i="1"/>
  <c r="AW20" i="1"/>
  <c r="AY20" i="1"/>
  <c r="AZ20" i="1"/>
  <c r="E21" i="1"/>
  <c r="F21" i="1"/>
  <c r="J21" i="1"/>
  <c r="M21" i="1"/>
  <c r="N21" i="1"/>
  <c r="Q21" i="1"/>
  <c r="T21" i="1"/>
  <c r="U21" i="1"/>
  <c r="X21" i="1"/>
  <c r="AA21" i="1"/>
  <c r="AB21" i="1"/>
  <c r="AE21" i="1"/>
  <c r="AG21" i="1"/>
  <c r="AH21" i="1"/>
  <c r="AK21" i="1"/>
  <c r="AM21" i="1"/>
  <c r="AN21" i="1"/>
  <c r="AQ21" i="1"/>
  <c r="AS21" i="1"/>
  <c r="AT21" i="1"/>
  <c r="AW21" i="1"/>
  <c r="AY21" i="1"/>
  <c r="AZ21" i="1"/>
  <c r="E23" i="1"/>
  <c r="F23" i="1"/>
  <c r="M23" i="1"/>
  <c r="N23" i="1"/>
  <c r="T23" i="1"/>
  <c r="U23" i="1"/>
  <c r="AA23" i="1"/>
  <c r="AB23" i="1"/>
  <c r="AG23" i="1"/>
  <c r="AH23" i="1"/>
  <c r="AK23" i="1"/>
  <c r="AM23" i="1"/>
  <c r="AN23" i="1"/>
  <c r="AQ23" i="1"/>
  <c r="AS23" i="1"/>
  <c r="AT23" i="1"/>
  <c r="AW23" i="1"/>
  <c r="AY23" i="1"/>
  <c r="AZ23" i="1"/>
  <c r="F24" i="1"/>
  <c r="J24" i="1"/>
  <c r="M24" i="1"/>
  <c r="N24" i="1"/>
  <c r="Q24" i="1"/>
  <c r="T24" i="1"/>
  <c r="U24" i="1"/>
  <c r="X24" i="1"/>
  <c r="AA24" i="1"/>
  <c r="AB24" i="1"/>
  <c r="AE24" i="1"/>
  <c r="AG24" i="1"/>
  <c r="AH24" i="1"/>
  <c r="AK24" i="1"/>
  <c r="AM24" i="1"/>
  <c r="AN24" i="1"/>
  <c r="AQ24" i="1"/>
  <c r="AS24" i="1"/>
  <c r="AT24" i="1"/>
  <c r="AW24" i="1"/>
  <c r="AY24" i="1"/>
  <c r="AZ24" i="1"/>
  <c r="F25" i="1"/>
  <c r="J25" i="1"/>
  <c r="N25" i="1"/>
  <c r="Q25" i="1"/>
  <c r="T25" i="1"/>
  <c r="U25" i="1"/>
  <c r="X25" i="1"/>
  <c r="AA25" i="1"/>
  <c r="AB25" i="1"/>
  <c r="AE25" i="1"/>
  <c r="AG25" i="1"/>
  <c r="AH25" i="1"/>
  <c r="AK25" i="1"/>
  <c r="AM25" i="1"/>
  <c r="AN25" i="1"/>
  <c r="AQ25" i="1"/>
  <c r="AS25" i="1"/>
  <c r="AT25" i="1"/>
  <c r="AW25" i="1"/>
  <c r="AY25" i="1"/>
  <c r="AZ25" i="1"/>
  <c r="E26" i="1"/>
  <c r="F26" i="1"/>
  <c r="J26" i="1"/>
  <c r="N26" i="1"/>
  <c r="Q26" i="1"/>
  <c r="T26" i="1"/>
  <c r="U26" i="1"/>
  <c r="X26" i="1"/>
  <c r="AA26" i="1"/>
  <c r="AB26" i="1"/>
  <c r="AE26" i="1"/>
  <c r="AG26" i="1"/>
  <c r="AH26" i="1"/>
  <c r="AK26" i="1"/>
  <c r="AM26" i="1"/>
  <c r="AN26" i="1"/>
  <c r="AQ26" i="1"/>
  <c r="AS26" i="1"/>
  <c r="AT26" i="1"/>
  <c r="AW26" i="1"/>
  <c r="AY26" i="1"/>
  <c r="AZ26" i="1"/>
  <c r="C29" i="1"/>
  <c r="E29" i="1"/>
  <c r="F29" i="1"/>
  <c r="G29" i="1"/>
  <c r="I29" i="1"/>
  <c r="J29" i="1"/>
  <c r="K29" i="1"/>
  <c r="M29" i="1"/>
  <c r="N29" i="1"/>
  <c r="P29" i="1"/>
  <c r="Q29" i="1"/>
  <c r="R29" i="1"/>
  <c r="T29" i="1"/>
  <c r="U29" i="1"/>
  <c r="W29" i="1"/>
  <c r="X29" i="1"/>
  <c r="Y29" i="1"/>
  <c r="AA29" i="1"/>
  <c r="AB29" i="1"/>
  <c r="AD29" i="1"/>
  <c r="AE29" i="1"/>
  <c r="AG29" i="1"/>
  <c r="AH29" i="1"/>
  <c r="AJ29" i="1"/>
  <c r="AK29" i="1"/>
  <c r="AM29" i="1"/>
  <c r="AN29" i="1"/>
  <c r="AP29" i="1"/>
  <c r="AQ29" i="1"/>
  <c r="AS29" i="1"/>
  <c r="AT29" i="1"/>
  <c r="AV29" i="1"/>
  <c r="AW29" i="1"/>
  <c r="AY29" i="1"/>
  <c r="AZ29" i="1"/>
  <c r="E32" i="1"/>
  <c r="F32" i="1"/>
  <c r="I32" i="1"/>
  <c r="J32" i="1"/>
  <c r="M32" i="1"/>
  <c r="N32" i="1"/>
  <c r="P32" i="1"/>
  <c r="Q32" i="1"/>
  <c r="T32" i="1"/>
  <c r="U32" i="1"/>
  <c r="W32" i="1"/>
  <c r="X32" i="1"/>
  <c r="AA32" i="1"/>
  <c r="AB32" i="1"/>
  <c r="AE32" i="1"/>
  <c r="AG32" i="1"/>
  <c r="AH32" i="1"/>
  <c r="AK32" i="1"/>
  <c r="AM32" i="1"/>
  <c r="AN32" i="1"/>
  <c r="AQ32" i="1"/>
  <c r="AS32" i="1"/>
  <c r="AT32" i="1"/>
  <c r="AW32" i="1"/>
  <c r="AY32" i="1"/>
  <c r="AZ32" i="1"/>
  <c r="E33" i="1"/>
  <c r="F33" i="1"/>
  <c r="J33" i="1"/>
  <c r="M33" i="1"/>
  <c r="N33" i="1"/>
  <c r="Q33" i="1"/>
  <c r="T33" i="1"/>
  <c r="U33" i="1"/>
  <c r="X33" i="1"/>
  <c r="AA33" i="1"/>
  <c r="AB33" i="1"/>
  <c r="AE33" i="1"/>
  <c r="AG33" i="1"/>
  <c r="AH33" i="1"/>
  <c r="AK33" i="1"/>
  <c r="AM33" i="1"/>
  <c r="AN33" i="1"/>
  <c r="AQ33" i="1"/>
  <c r="AS33" i="1"/>
  <c r="AT33" i="1"/>
  <c r="AW33" i="1"/>
  <c r="AY33" i="1"/>
  <c r="AZ33" i="1"/>
  <c r="E34" i="1"/>
  <c r="F34" i="1"/>
  <c r="J34" i="1"/>
  <c r="M34" i="1"/>
  <c r="N34" i="1"/>
  <c r="Q34" i="1"/>
  <c r="T34" i="1"/>
  <c r="U34" i="1"/>
  <c r="X34" i="1"/>
  <c r="AA34" i="1"/>
  <c r="AB34" i="1"/>
  <c r="AE34" i="1"/>
  <c r="AG34" i="1"/>
  <c r="AH34" i="1"/>
  <c r="AK34" i="1"/>
  <c r="AM34" i="1"/>
  <c r="AN34" i="1"/>
  <c r="AQ34" i="1"/>
  <c r="AS34" i="1"/>
  <c r="AT34" i="1"/>
  <c r="AW34" i="1"/>
  <c r="AY34" i="1"/>
  <c r="AZ34" i="1"/>
  <c r="E37" i="1"/>
  <c r="F37" i="1"/>
  <c r="G37" i="1"/>
  <c r="I37" i="1"/>
  <c r="J37" i="1"/>
  <c r="K37" i="1"/>
  <c r="M37" i="1"/>
  <c r="N37" i="1"/>
  <c r="P37" i="1"/>
  <c r="Q37" i="1"/>
  <c r="R37" i="1"/>
  <c r="T37" i="1"/>
  <c r="U37" i="1"/>
  <c r="W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F40" i="1"/>
  <c r="J40" i="1"/>
  <c r="M40" i="1"/>
  <c r="N40" i="1"/>
  <c r="Q40" i="1"/>
  <c r="T40" i="1"/>
  <c r="U40" i="1"/>
  <c r="X40" i="1"/>
  <c r="AA40" i="1"/>
  <c r="AB40" i="1"/>
  <c r="AE40" i="1"/>
  <c r="AG40" i="1"/>
  <c r="AH40" i="1"/>
  <c r="AK40" i="1"/>
  <c r="AM40" i="1"/>
  <c r="AN40" i="1"/>
  <c r="AQ40" i="1"/>
  <c r="AS40" i="1"/>
  <c r="AT40" i="1"/>
  <c r="AW40" i="1"/>
  <c r="AY40" i="1"/>
  <c r="AZ40" i="1"/>
  <c r="I41" i="1"/>
  <c r="J41" i="1"/>
  <c r="P41" i="1"/>
  <c r="Q41" i="1"/>
  <c r="X41" i="1"/>
  <c r="AE41" i="1"/>
  <c r="AG41" i="1"/>
  <c r="AH41" i="1"/>
  <c r="AK41" i="1"/>
  <c r="AM41" i="1"/>
  <c r="AN41" i="1"/>
  <c r="AQ41" i="1"/>
  <c r="AS41" i="1"/>
  <c r="AT41" i="1"/>
  <c r="AW41" i="1"/>
  <c r="AY41" i="1"/>
  <c r="AZ41" i="1"/>
  <c r="E44" i="1"/>
  <c r="F44" i="1"/>
  <c r="G44" i="1"/>
  <c r="I44" i="1"/>
  <c r="J44" i="1"/>
  <c r="K44" i="1"/>
  <c r="M44" i="1"/>
  <c r="N44" i="1"/>
  <c r="P44" i="1"/>
  <c r="Q44" i="1"/>
  <c r="R44" i="1"/>
  <c r="T44" i="1"/>
  <c r="U44" i="1"/>
  <c r="W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C47" i="1"/>
  <c r="E47" i="1"/>
  <c r="F47" i="1"/>
  <c r="G47" i="1"/>
  <c r="I47" i="1"/>
  <c r="J47" i="1"/>
  <c r="K47" i="1"/>
  <c r="M47" i="1"/>
  <c r="N47" i="1"/>
  <c r="P47" i="1"/>
  <c r="Q47" i="1"/>
  <c r="R47" i="1"/>
  <c r="T47" i="1"/>
  <c r="U47" i="1"/>
  <c r="W47" i="1"/>
  <c r="X47" i="1"/>
  <c r="Y47" i="1"/>
  <c r="AA47" i="1"/>
  <c r="AB47" i="1"/>
  <c r="AD47" i="1"/>
  <c r="AE47" i="1"/>
  <c r="AG47" i="1"/>
  <c r="AH47" i="1"/>
  <c r="AJ47" i="1"/>
  <c r="AK47" i="1"/>
  <c r="AM47" i="1"/>
  <c r="AN47" i="1"/>
  <c r="AP47" i="1"/>
  <c r="AQ47" i="1"/>
  <c r="AS47" i="1"/>
  <c r="AT47" i="1"/>
  <c r="AV47" i="1"/>
  <c r="AW47" i="1"/>
  <c r="AY47" i="1"/>
  <c r="AZ47" i="1"/>
  <c r="C49" i="1"/>
  <c r="E49" i="1"/>
  <c r="F49" i="1"/>
  <c r="I49" i="1"/>
  <c r="J49" i="1"/>
  <c r="M49" i="1"/>
  <c r="N49" i="1"/>
  <c r="P49" i="1"/>
  <c r="Q49" i="1"/>
  <c r="T49" i="1"/>
  <c r="U49" i="1"/>
  <c r="W49" i="1"/>
  <c r="X49" i="1"/>
  <c r="AA49" i="1"/>
  <c r="AB49" i="1"/>
  <c r="AE49" i="1"/>
  <c r="AG49" i="1"/>
  <c r="AH49" i="1"/>
  <c r="AK49" i="1"/>
  <c r="AM49" i="1"/>
  <c r="AN49" i="1"/>
  <c r="AQ49" i="1"/>
  <c r="AS49" i="1"/>
  <c r="AT49" i="1"/>
  <c r="AW49" i="1"/>
  <c r="AY49" i="1"/>
  <c r="AZ49" i="1"/>
  <c r="C50" i="1"/>
  <c r="F50" i="1"/>
  <c r="I50" i="1"/>
  <c r="J50" i="1"/>
  <c r="M50" i="1"/>
  <c r="N50" i="1"/>
  <c r="P50" i="1"/>
  <c r="Q50" i="1"/>
  <c r="T50" i="1"/>
  <c r="U50" i="1"/>
  <c r="W50" i="1"/>
  <c r="X50" i="1"/>
  <c r="AA50" i="1"/>
  <c r="AB50" i="1"/>
  <c r="AE50" i="1"/>
  <c r="AG50" i="1"/>
  <c r="AH50" i="1"/>
  <c r="AK50" i="1"/>
  <c r="AM50" i="1"/>
  <c r="AN50" i="1"/>
  <c r="AQ50" i="1"/>
  <c r="AS50" i="1"/>
  <c r="AT50" i="1"/>
  <c r="AW50" i="1"/>
  <c r="AY50" i="1"/>
  <c r="AZ50" i="1"/>
  <c r="E53" i="1"/>
  <c r="F53" i="1"/>
  <c r="I53" i="1"/>
  <c r="J53" i="1"/>
  <c r="M53" i="1"/>
  <c r="N53" i="1"/>
  <c r="P53" i="1"/>
  <c r="Q53" i="1"/>
  <c r="T53" i="1"/>
  <c r="U53" i="1"/>
  <c r="W53" i="1"/>
  <c r="X53" i="1"/>
  <c r="AA53" i="1"/>
  <c r="AB53" i="1"/>
  <c r="AE53" i="1"/>
  <c r="AG53" i="1"/>
  <c r="AH53" i="1"/>
  <c r="AK53" i="1"/>
  <c r="AM53" i="1"/>
  <c r="AN53" i="1"/>
  <c r="AQ53" i="1"/>
  <c r="AS53" i="1"/>
  <c r="AT53" i="1"/>
  <c r="AW53" i="1"/>
  <c r="AY53" i="1"/>
  <c r="AZ53" i="1"/>
  <c r="E54" i="1"/>
  <c r="F54" i="1"/>
  <c r="I54" i="1"/>
  <c r="J54" i="1"/>
  <c r="M54" i="1"/>
  <c r="N54" i="1"/>
  <c r="Q54" i="1"/>
  <c r="T54" i="1"/>
  <c r="U54" i="1"/>
  <c r="W54" i="1"/>
  <c r="X54" i="1"/>
  <c r="AA54" i="1"/>
  <c r="AB54" i="1"/>
  <c r="AE54" i="1"/>
  <c r="AG54" i="1"/>
  <c r="AH54" i="1"/>
  <c r="AK54" i="1"/>
  <c r="AM54" i="1"/>
  <c r="AN54" i="1"/>
  <c r="AQ54" i="1"/>
  <c r="AS54" i="1"/>
  <c r="AT54" i="1"/>
  <c r="AW54" i="1"/>
  <c r="AY54" i="1"/>
  <c r="AZ54" i="1"/>
  <c r="E55" i="1"/>
  <c r="F55" i="1"/>
  <c r="I55" i="1"/>
  <c r="J55" i="1"/>
  <c r="M55" i="1"/>
  <c r="N55" i="1"/>
  <c r="P55" i="1"/>
  <c r="Q55" i="1"/>
  <c r="T55" i="1"/>
  <c r="U55" i="1"/>
  <c r="W55" i="1"/>
  <c r="X55" i="1"/>
  <c r="AA55" i="1"/>
  <c r="AB55" i="1"/>
  <c r="AE55" i="1"/>
  <c r="AG55" i="1"/>
  <c r="AH55" i="1"/>
  <c r="AK55" i="1"/>
  <c r="AM55" i="1"/>
  <c r="AN55" i="1"/>
  <c r="AQ55" i="1"/>
  <c r="AS55" i="1"/>
  <c r="AT55" i="1"/>
  <c r="AW55" i="1"/>
  <c r="AY55" i="1"/>
  <c r="AZ55" i="1"/>
  <c r="E58" i="1"/>
  <c r="F58" i="1"/>
  <c r="G58" i="1"/>
  <c r="I58" i="1"/>
  <c r="J58" i="1"/>
  <c r="K58" i="1"/>
  <c r="M58" i="1"/>
  <c r="N58" i="1"/>
  <c r="P58" i="1"/>
  <c r="Q58" i="1"/>
  <c r="R58" i="1"/>
  <c r="T58" i="1"/>
  <c r="U58" i="1"/>
  <c r="W58" i="1"/>
  <c r="X58" i="1"/>
  <c r="Y58" i="1"/>
  <c r="AA58" i="1"/>
  <c r="AB58" i="1"/>
  <c r="AD58" i="1"/>
  <c r="AE58" i="1"/>
  <c r="AG58" i="1"/>
  <c r="AH58" i="1"/>
  <c r="AJ58" i="1"/>
  <c r="AK58" i="1"/>
  <c r="AM58" i="1"/>
  <c r="AN58" i="1"/>
  <c r="AP58" i="1"/>
  <c r="AQ58" i="1"/>
  <c r="AS58" i="1"/>
  <c r="AT58" i="1"/>
  <c r="AV58" i="1"/>
  <c r="AW58" i="1"/>
  <c r="AY58" i="1"/>
  <c r="AZ58" i="1"/>
  <c r="C60" i="1"/>
  <c r="E60" i="1"/>
  <c r="F60" i="1"/>
  <c r="J60" i="1"/>
  <c r="Q60" i="1"/>
  <c r="X60" i="1"/>
  <c r="AD60" i="1"/>
  <c r="AE60" i="1"/>
  <c r="AG60" i="1"/>
  <c r="AH60" i="1"/>
  <c r="AK60" i="1"/>
  <c r="AM60" i="1"/>
  <c r="AN60" i="1"/>
  <c r="AQ60" i="1"/>
  <c r="AS60" i="1"/>
  <c r="AT60" i="1"/>
  <c r="AW60" i="1"/>
  <c r="AY60" i="1"/>
  <c r="AZ60" i="1"/>
  <c r="E63" i="1"/>
  <c r="F63" i="1"/>
  <c r="I63" i="1"/>
  <c r="J63" i="1"/>
  <c r="M63" i="1"/>
  <c r="N63" i="1"/>
  <c r="P63" i="1"/>
  <c r="Q63" i="1"/>
  <c r="T63" i="1"/>
  <c r="U63" i="1"/>
  <c r="W63" i="1"/>
  <c r="X63" i="1"/>
  <c r="AA63" i="1"/>
  <c r="AB63" i="1"/>
  <c r="AD63" i="1"/>
  <c r="AE63" i="1"/>
  <c r="AG63" i="1"/>
  <c r="AH63" i="1"/>
  <c r="AK63" i="1"/>
  <c r="AM63" i="1"/>
  <c r="AN63" i="1"/>
  <c r="AQ63" i="1"/>
  <c r="AS63" i="1"/>
  <c r="AT63" i="1"/>
  <c r="AW63" i="1"/>
  <c r="AY63" i="1"/>
  <c r="AZ63" i="1"/>
  <c r="F64" i="1"/>
  <c r="J64" i="1"/>
  <c r="M64" i="1"/>
  <c r="N64" i="1"/>
  <c r="Q64" i="1"/>
  <c r="T64" i="1"/>
  <c r="U64" i="1"/>
  <c r="X64" i="1"/>
  <c r="AA64" i="1"/>
  <c r="AB64" i="1"/>
  <c r="AD64" i="1"/>
  <c r="AE64" i="1"/>
  <c r="AG64" i="1"/>
  <c r="AH64" i="1"/>
  <c r="AK64" i="1"/>
  <c r="AM64" i="1"/>
  <c r="AN64" i="1"/>
  <c r="AQ64" i="1"/>
  <c r="AS64" i="1"/>
  <c r="AT64" i="1"/>
  <c r="AW64" i="1"/>
  <c r="AY64" i="1"/>
  <c r="AZ64" i="1"/>
  <c r="E65" i="1"/>
  <c r="F65" i="1"/>
  <c r="J65" i="1"/>
  <c r="M65" i="1"/>
  <c r="N65" i="1"/>
  <c r="Q65" i="1"/>
  <c r="T65" i="1"/>
  <c r="U65" i="1"/>
  <c r="X65" i="1"/>
  <c r="AA65" i="1"/>
  <c r="AB65" i="1"/>
  <c r="AD65" i="1"/>
  <c r="AE65" i="1"/>
  <c r="AG65" i="1"/>
  <c r="AH65" i="1"/>
  <c r="AK65" i="1"/>
  <c r="AM65" i="1"/>
  <c r="AN65" i="1"/>
  <c r="AQ65" i="1"/>
  <c r="AS65" i="1"/>
  <c r="AT65" i="1"/>
  <c r="AW65" i="1"/>
  <c r="AY65" i="1"/>
  <c r="AZ65" i="1"/>
  <c r="F66" i="1"/>
  <c r="J66" i="1"/>
  <c r="M66" i="1"/>
  <c r="N66" i="1"/>
  <c r="Q66" i="1"/>
  <c r="T66" i="1"/>
  <c r="U66" i="1"/>
  <c r="X66" i="1"/>
  <c r="AA66" i="1"/>
  <c r="AB66" i="1"/>
  <c r="AD66" i="1"/>
  <c r="AE66" i="1"/>
  <c r="AG66" i="1"/>
  <c r="AH66" i="1"/>
  <c r="AK66" i="1"/>
  <c r="AM66" i="1"/>
  <c r="AN66" i="1"/>
  <c r="AQ66" i="1"/>
  <c r="AS66" i="1"/>
  <c r="AT66" i="1"/>
  <c r="AW66" i="1"/>
  <c r="AY66" i="1"/>
  <c r="AZ66" i="1"/>
  <c r="F67" i="1"/>
  <c r="J67" i="1"/>
  <c r="M67" i="1"/>
  <c r="N67" i="1"/>
  <c r="Q67" i="1"/>
  <c r="T67" i="1"/>
  <c r="U67" i="1"/>
  <c r="X67" i="1"/>
  <c r="AA67" i="1"/>
  <c r="AB67" i="1"/>
  <c r="AD67" i="1"/>
  <c r="AE67" i="1"/>
  <c r="AG67" i="1"/>
  <c r="AH67" i="1"/>
  <c r="AK67" i="1"/>
  <c r="AM67" i="1"/>
  <c r="AN67" i="1"/>
  <c r="AQ67" i="1"/>
  <c r="AS67" i="1"/>
  <c r="AT67" i="1"/>
  <c r="AW67" i="1"/>
  <c r="AY67" i="1"/>
  <c r="AZ67" i="1"/>
  <c r="E70" i="1"/>
  <c r="F70" i="1"/>
  <c r="G70" i="1"/>
  <c r="I70" i="1"/>
  <c r="J70" i="1"/>
  <c r="K70" i="1"/>
  <c r="M70" i="1"/>
  <c r="N70" i="1"/>
  <c r="P70" i="1"/>
  <c r="Q70" i="1"/>
  <c r="R70" i="1"/>
  <c r="T70" i="1"/>
  <c r="U70" i="1"/>
  <c r="W70" i="1"/>
  <c r="X70" i="1"/>
  <c r="Y70" i="1"/>
  <c r="AA70" i="1"/>
  <c r="AB70" i="1"/>
  <c r="AD70" i="1"/>
  <c r="AE70" i="1"/>
  <c r="AG70" i="1"/>
  <c r="AH70" i="1"/>
  <c r="AJ70" i="1"/>
  <c r="AK70" i="1"/>
  <c r="AM70" i="1"/>
  <c r="AN70" i="1"/>
  <c r="AP70" i="1"/>
  <c r="AQ70" i="1"/>
  <c r="AS70" i="1"/>
  <c r="AT70" i="1"/>
  <c r="AV70" i="1"/>
  <c r="AW70" i="1"/>
  <c r="AY70" i="1"/>
  <c r="AZ70" i="1"/>
  <c r="E72" i="1"/>
  <c r="F72" i="1"/>
  <c r="I72" i="1"/>
  <c r="J72" i="1"/>
  <c r="M72" i="1"/>
  <c r="N72" i="1"/>
  <c r="P72" i="1"/>
  <c r="Q72" i="1"/>
  <c r="T72" i="1"/>
  <c r="U72" i="1"/>
  <c r="W72" i="1"/>
  <c r="X72" i="1"/>
  <c r="AA72" i="1"/>
  <c r="AB72" i="1"/>
  <c r="AD72" i="1"/>
  <c r="AE72" i="1"/>
  <c r="AG72" i="1"/>
  <c r="AH72" i="1"/>
  <c r="AK72" i="1"/>
  <c r="AM72" i="1"/>
  <c r="AN72" i="1"/>
  <c r="AQ72" i="1"/>
  <c r="AS72" i="1"/>
  <c r="AT72" i="1"/>
  <c r="AW72" i="1"/>
  <c r="AY72" i="1"/>
  <c r="AZ72" i="1"/>
  <c r="E73" i="1"/>
  <c r="F73" i="1"/>
  <c r="I73" i="1"/>
  <c r="J73" i="1"/>
  <c r="M73" i="1"/>
  <c r="N73" i="1"/>
  <c r="P73" i="1"/>
  <c r="Q73" i="1"/>
  <c r="T73" i="1"/>
  <c r="U73" i="1"/>
  <c r="W73" i="1"/>
  <c r="X73" i="1"/>
  <c r="AA73" i="1"/>
  <c r="AB73" i="1"/>
  <c r="AD73" i="1"/>
  <c r="AE73" i="1"/>
  <c r="AG73" i="1"/>
  <c r="AH73" i="1"/>
  <c r="AK73" i="1"/>
  <c r="AM73" i="1"/>
  <c r="AN73" i="1"/>
  <c r="AQ73" i="1"/>
  <c r="AS73" i="1"/>
  <c r="AT73" i="1"/>
  <c r="AW73" i="1"/>
  <c r="AY73" i="1"/>
  <c r="AZ73" i="1"/>
  <c r="E74" i="1"/>
  <c r="F74" i="1"/>
  <c r="I74" i="1"/>
  <c r="J74" i="1"/>
  <c r="M74" i="1"/>
  <c r="N74" i="1"/>
  <c r="P74" i="1"/>
  <c r="Q74" i="1"/>
  <c r="T74" i="1"/>
  <c r="U74" i="1"/>
  <c r="W74" i="1"/>
  <c r="X74" i="1"/>
  <c r="AA74" i="1"/>
  <c r="AB74" i="1"/>
  <c r="AD74" i="1"/>
  <c r="AE74" i="1"/>
  <c r="AG74" i="1"/>
  <c r="AH74" i="1"/>
  <c r="AK74" i="1"/>
  <c r="AM74" i="1"/>
  <c r="AN74" i="1"/>
  <c r="AQ74" i="1"/>
  <c r="AS74" i="1"/>
  <c r="AT74" i="1"/>
  <c r="AW74" i="1"/>
  <c r="AY74" i="1"/>
  <c r="AZ74" i="1"/>
  <c r="E77" i="1"/>
  <c r="F77" i="1"/>
  <c r="G77" i="1"/>
  <c r="I77" i="1"/>
  <c r="J77" i="1"/>
  <c r="K77" i="1"/>
  <c r="M77" i="1"/>
  <c r="N77" i="1"/>
  <c r="P77" i="1"/>
  <c r="Q77" i="1"/>
  <c r="R77" i="1"/>
  <c r="T77" i="1"/>
  <c r="U77" i="1"/>
  <c r="W77" i="1"/>
  <c r="X77" i="1"/>
  <c r="Y77" i="1"/>
  <c r="AA77" i="1"/>
  <c r="AB77" i="1"/>
  <c r="AD77" i="1"/>
  <c r="AE77" i="1"/>
  <c r="AG77" i="1"/>
  <c r="AH77" i="1"/>
  <c r="AJ77" i="1"/>
  <c r="AK77" i="1"/>
  <c r="AM77" i="1"/>
  <c r="AN77" i="1"/>
  <c r="AP77" i="1"/>
  <c r="AQ77" i="1"/>
  <c r="AS77" i="1"/>
  <c r="AT77" i="1"/>
  <c r="AV77" i="1"/>
  <c r="AW77" i="1"/>
  <c r="AY77" i="1"/>
  <c r="AZ77" i="1"/>
  <c r="E80" i="1"/>
  <c r="F80" i="1"/>
  <c r="G80" i="1"/>
  <c r="I80" i="1"/>
  <c r="J80" i="1"/>
  <c r="K80" i="1"/>
  <c r="M80" i="1"/>
  <c r="N80" i="1"/>
  <c r="P80" i="1"/>
  <c r="Q80" i="1"/>
  <c r="R80" i="1"/>
  <c r="T80" i="1"/>
  <c r="U80" i="1"/>
  <c r="W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C82" i="1"/>
  <c r="F82" i="1"/>
  <c r="J82" i="1"/>
  <c r="M82" i="1"/>
  <c r="N82" i="1"/>
  <c r="Q82" i="1"/>
  <c r="T82" i="1"/>
  <c r="U82" i="1"/>
  <c r="X82" i="1"/>
  <c r="AA82" i="1"/>
  <c r="AB82" i="1"/>
  <c r="AE82" i="1"/>
  <c r="AG82" i="1"/>
  <c r="AH82" i="1"/>
  <c r="AK82" i="1"/>
  <c r="AM82" i="1"/>
  <c r="AN82" i="1"/>
  <c r="AQ82" i="1"/>
  <c r="AS82" i="1"/>
  <c r="AT82" i="1"/>
  <c r="AW82" i="1"/>
  <c r="AY82" i="1"/>
  <c r="AZ82" i="1"/>
  <c r="C83" i="1"/>
  <c r="E83" i="1"/>
  <c r="F83" i="1"/>
  <c r="I83" i="1"/>
  <c r="J83" i="1"/>
  <c r="M83" i="1"/>
  <c r="N83" i="1"/>
  <c r="P83" i="1"/>
  <c r="Q83" i="1"/>
  <c r="T83" i="1"/>
  <c r="U83" i="1"/>
  <c r="W83" i="1"/>
  <c r="X83" i="1"/>
  <c r="AA83" i="1"/>
  <c r="AB83" i="1"/>
  <c r="AE83" i="1"/>
  <c r="AG83" i="1"/>
  <c r="AH83" i="1"/>
  <c r="AK83" i="1"/>
  <c r="AM83" i="1"/>
  <c r="AN83" i="1"/>
  <c r="AQ83" i="1"/>
  <c r="AS83" i="1"/>
  <c r="AT83" i="1"/>
  <c r="AW83" i="1"/>
  <c r="AY83" i="1"/>
  <c r="AZ83" i="1"/>
  <c r="C84" i="1"/>
  <c r="E84" i="1"/>
  <c r="F84" i="1"/>
  <c r="J84" i="1"/>
  <c r="M84" i="1"/>
  <c r="N84" i="1"/>
  <c r="P84" i="1"/>
  <c r="Q84" i="1"/>
  <c r="T84" i="1"/>
  <c r="U84" i="1"/>
  <c r="W84" i="1"/>
  <c r="X84" i="1"/>
  <c r="AA84" i="1"/>
  <c r="AB84" i="1"/>
  <c r="AD84" i="1"/>
  <c r="AE84" i="1"/>
  <c r="AG84" i="1"/>
  <c r="AH84" i="1"/>
  <c r="AK84" i="1"/>
  <c r="AM84" i="1"/>
  <c r="AN84" i="1"/>
  <c r="AQ84" i="1"/>
  <c r="AS84" i="1"/>
  <c r="AT84" i="1"/>
  <c r="AW84" i="1"/>
  <c r="AY84" i="1"/>
  <c r="AZ84" i="1"/>
  <c r="C85" i="1"/>
  <c r="E85" i="1"/>
  <c r="F85" i="1"/>
  <c r="I85" i="1"/>
  <c r="J85" i="1"/>
  <c r="M85" i="1"/>
  <c r="N85" i="1"/>
  <c r="P85" i="1"/>
  <c r="Q85" i="1"/>
  <c r="T85" i="1"/>
  <c r="U85" i="1"/>
  <c r="W85" i="1"/>
  <c r="X85" i="1"/>
  <c r="AA85" i="1"/>
  <c r="AB85" i="1"/>
  <c r="AD85" i="1"/>
  <c r="AE85" i="1"/>
  <c r="AG85" i="1"/>
  <c r="AH85" i="1"/>
  <c r="AK85" i="1"/>
  <c r="AM85" i="1"/>
  <c r="AN85" i="1"/>
  <c r="AQ85" i="1"/>
  <c r="AS85" i="1"/>
  <c r="AT85" i="1"/>
  <c r="AW85" i="1"/>
  <c r="AY85" i="1"/>
  <c r="AZ85" i="1"/>
  <c r="E88" i="1"/>
  <c r="F88" i="1"/>
  <c r="G88" i="1"/>
  <c r="I88" i="1"/>
  <c r="J88" i="1"/>
  <c r="K88" i="1"/>
  <c r="M88" i="1"/>
  <c r="N88" i="1"/>
  <c r="P88" i="1"/>
  <c r="Q88" i="1"/>
  <c r="R88" i="1"/>
  <c r="T88" i="1"/>
  <c r="U88" i="1"/>
  <c r="W88" i="1"/>
  <c r="X88" i="1"/>
  <c r="Y88" i="1"/>
  <c r="AA88" i="1"/>
  <c r="AB88" i="1"/>
  <c r="AD88" i="1"/>
  <c r="AE88" i="1"/>
  <c r="AG88" i="1"/>
  <c r="AH88" i="1"/>
  <c r="AJ88" i="1"/>
  <c r="AK88" i="1"/>
  <c r="AM88" i="1"/>
  <c r="AN88" i="1"/>
  <c r="AP88" i="1"/>
  <c r="AQ88" i="1"/>
  <c r="AS88" i="1"/>
  <c r="AT88" i="1"/>
  <c r="AV88" i="1"/>
  <c r="AW88" i="1"/>
  <c r="AY88" i="1"/>
  <c r="AZ88" i="1"/>
  <c r="E93" i="1"/>
  <c r="F93" i="1"/>
  <c r="I93" i="1"/>
  <c r="J93" i="1"/>
  <c r="M93" i="1"/>
  <c r="N93" i="1"/>
  <c r="P93" i="1"/>
  <c r="Q93" i="1"/>
  <c r="T93" i="1"/>
  <c r="U93" i="1"/>
  <c r="W93" i="1"/>
  <c r="X93" i="1"/>
  <c r="AA93" i="1"/>
  <c r="AB93" i="1"/>
  <c r="AD93" i="1"/>
  <c r="AE93" i="1"/>
  <c r="AG93" i="1"/>
  <c r="AH93" i="1"/>
  <c r="AJ93" i="1"/>
  <c r="AK93" i="1"/>
  <c r="AM93" i="1"/>
  <c r="AN93" i="1"/>
  <c r="AP93" i="1"/>
  <c r="AQ93" i="1"/>
  <c r="AS93" i="1"/>
  <c r="AT93" i="1"/>
  <c r="AV93" i="1"/>
  <c r="AW93" i="1"/>
  <c r="AY93" i="1"/>
  <c r="AZ93" i="1"/>
  <c r="F95" i="1"/>
  <c r="J95" i="1"/>
  <c r="N95" i="1"/>
  <c r="Q95" i="1"/>
  <c r="U95" i="1"/>
  <c r="X95" i="1"/>
  <c r="AB95" i="1"/>
  <c r="AE95" i="1"/>
  <c r="AH95" i="1"/>
  <c r="AK95" i="1"/>
  <c r="AN95" i="1"/>
  <c r="AQ95" i="1"/>
  <c r="AT95" i="1"/>
  <c r="AW95" i="1"/>
  <c r="AZ95" i="1"/>
  <c r="B4" i="4"/>
  <c r="F4" i="4"/>
  <c r="H4" i="4"/>
  <c r="B5" i="4"/>
  <c r="D15" i="4"/>
  <c r="F15" i="4"/>
  <c r="H15" i="4"/>
  <c r="J15" i="4"/>
  <c r="L15" i="4"/>
  <c r="N15" i="4"/>
  <c r="F16" i="4"/>
  <c r="H16" i="4"/>
  <c r="J16" i="4"/>
  <c r="D17" i="4"/>
  <c r="F17" i="4"/>
  <c r="H17" i="4"/>
  <c r="J17" i="4"/>
  <c r="L17" i="4"/>
  <c r="N17" i="4"/>
  <c r="D18" i="4"/>
  <c r="F18" i="4"/>
  <c r="H18" i="4"/>
  <c r="J18" i="4"/>
  <c r="L18" i="4"/>
  <c r="N18" i="4"/>
  <c r="D21" i="4"/>
  <c r="F21" i="4"/>
  <c r="H21" i="4"/>
  <c r="J21" i="4"/>
  <c r="L21" i="4"/>
  <c r="N21" i="4"/>
  <c r="C23" i="4"/>
  <c r="D23" i="4"/>
  <c r="F23" i="4"/>
  <c r="H23" i="4"/>
  <c r="J23" i="4"/>
  <c r="L23" i="4"/>
  <c r="N23" i="4"/>
  <c r="C24" i="4"/>
  <c r="D24" i="4"/>
  <c r="F24" i="4"/>
  <c r="H24" i="4"/>
  <c r="J24" i="4"/>
  <c r="L24" i="4"/>
  <c r="N24" i="4"/>
  <c r="D27" i="4"/>
  <c r="F27" i="4"/>
  <c r="H27" i="4"/>
  <c r="J27" i="4"/>
  <c r="L27" i="4"/>
  <c r="N27" i="4"/>
  <c r="C28" i="4"/>
  <c r="D28" i="4"/>
  <c r="F28" i="4"/>
  <c r="H28" i="4"/>
  <c r="J28" i="4"/>
  <c r="L28" i="4"/>
  <c r="N28" i="4"/>
  <c r="D29" i="4"/>
  <c r="F29" i="4"/>
  <c r="H29" i="4"/>
  <c r="J29" i="4"/>
  <c r="L29" i="4"/>
  <c r="N29" i="4"/>
  <c r="D30" i="4"/>
  <c r="F30" i="4"/>
  <c r="H30" i="4"/>
  <c r="J30" i="4"/>
  <c r="L30" i="4"/>
  <c r="N30" i="4"/>
  <c r="D31" i="4"/>
  <c r="F31" i="4"/>
  <c r="H31" i="4"/>
  <c r="J31" i="4"/>
  <c r="L31" i="4"/>
  <c r="N31" i="4"/>
  <c r="D32" i="4"/>
  <c r="F32" i="4"/>
  <c r="H32" i="4"/>
  <c r="J32" i="4"/>
  <c r="L32" i="4"/>
  <c r="N32" i="4"/>
  <c r="D35" i="4"/>
  <c r="F35" i="4"/>
  <c r="H35" i="4"/>
  <c r="J35" i="4"/>
  <c r="L35" i="4"/>
  <c r="N35" i="4"/>
  <c r="D37" i="4"/>
  <c r="F37" i="4"/>
  <c r="H37" i="4"/>
  <c r="J37" i="4"/>
  <c r="L37" i="4"/>
  <c r="N37" i="4"/>
  <c r="C39" i="4"/>
  <c r="D39" i="4"/>
  <c r="F39" i="4"/>
  <c r="H39" i="4"/>
  <c r="J39" i="4"/>
  <c r="L39" i="4"/>
  <c r="N39" i="4"/>
  <c r="C40" i="4"/>
  <c r="D40" i="4"/>
  <c r="F40" i="4"/>
  <c r="H40" i="4"/>
  <c r="J40" i="4"/>
  <c r="L40" i="4"/>
  <c r="N40" i="4"/>
  <c r="C41" i="4"/>
  <c r="D41" i="4"/>
  <c r="F41" i="4"/>
  <c r="H41" i="4"/>
  <c r="J41" i="4"/>
  <c r="L41" i="4"/>
  <c r="N41" i="4"/>
  <c r="C42" i="4"/>
  <c r="D42" i="4"/>
  <c r="F42" i="4"/>
  <c r="H42" i="4"/>
  <c r="J42" i="4"/>
  <c r="L42" i="4"/>
  <c r="N42" i="4"/>
  <c r="D45" i="4"/>
  <c r="F45" i="4"/>
  <c r="H45" i="4"/>
  <c r="J45" i="4"/>
  <c r="L45" i="4"/>
  <c r="N45" i="4"/>
  <c r="D48" i="4"/>
  <c r="F48" i="4"/>
  <c r="H48" i="4"/>
  <c r="J48" i="4"/>
  <c r="L48" i="4"/>
  <c r="N48" i="4"/>
  <c r="D50" i="4"/>
  <c r="F50" i="4"/>
  <c r="H50" i="4"/>
  <c r="J50" i="4"/>
  <c r="L50" i="4"/>
  <c r="N50" i="4"/>
  <c r="D51" i="4"/>
  <c r="F51" i="4"/>
  <c r="H51" i="4"/>
  <c r="J51" i="4"/>
  <c r="L51" i="4"/>
  <c r="N51" i="4"/>
  <c r="D54" i="4"/>
  <c r="F54" i="4"/>
  <c r="H54" i="4"/>
  <c r="J54" i="4"/>
  <c r="L54" i="4"/>
  <c r="N54" i="4"/>
</calcChain>
</file>

<file path=xl/comments1.xml><?xml version="1.0" encoding="utf-8"?>
<comments xmlns="http://schemas.openxmlformats.org/spreadsheetml/2006/main">
  <authors>
    <author>tthomas</author>
  </authors>
  <commentList>
    <comment ref="E54" authorId="0" shapeId="0">
      <text>
        <r>
          <rPr>
            <b/>
            <sz val="8"/>
            <color indexed="81"/>
            <rFont val="Tahoma"/>
          </rPr>
          <t>tthomas:</t>
        </r>
        <r>
          <rPr>
            <sz val="8"/>
            <color indexed="81"/>
            <rFont val="Tahoma"/>
          </rPr>
          <t xml:space="preserve">
Includes $50,000 for Geotechnical Survey</t>
        </r>
      </text>
    </comment>
  </commentList>
</comments>
</file>

<file path=xl/sharedStrings.xml><?xml version="1.0" encoding="utf-8"?>
<sst xmlns="http://schemas.openxmlformats.org/spreadsheetml/2006/main" count="249" uniqueCount="118">
  <si>
    <t>Item / Cost Description</t>
  </si>
  <si>
    <t>Qty</t>
  </si>
  <si>
    <t>Unit</t>
  </si>
  <si>
    <t>Cost</t>
  </si>
  <si>
    <t>Base Lay, Installation</t>
  </si>
  <si>
    <t xml:space="preserve">Subtotal  </t>
  </si>
  <si>
    <t>LF</t>
  </si>
  <si>
    <t>LS</t>
  </si>
  <si>
    <t>Freight</t>
  </si>
  <si>
    <t>Tax</t>
  </si>
  <si>
    <t>Indirect Costs</t>
  </si>
  <si>
    <t>Project Management</t>
  </si>
  <si>
    <t>Construction Support</t>
  </si>
  <si>
    <t>Survey</t>
  </si>
  <si>
    <t>X-Ray</t>
  </si>
  <si>
    <t>District Labor</t>
  </si>
  <si>
    <t>Overhead</t>
  </si>
  <si>
    <t>Contingency</t>
  </si>
  <si>
    <t>AFUDC</t>
  </si>
  <si>
    <t>Pipeline ROW</t>
  </si>
  <si>
    <t>Inspection</t>
  </si>
  <si>
    <t>Other - Balance of Project</t>
  </si>
  <si>
    <t>ENRON TRANSPORTATION SERVICES - ENGINEERING &amp; CONSTRUCTION</t>
  </si>
  <si>
    <t>?</t>
  </si>
  <si>
    <t>Florida</t>
  </si>
  <si>
    <t>Estimated</t>
  </si>
  <si>
    <t>Modified</t>
  </si>
  <si>
    <t>Item / Description</t>
  </si>
  <si>
    <t>$ / Inch-mi</t>
  </si>
  <si>
    <t>Escalation</t>
  </si>
  <si>
    <t>Subtotal</t>
  </si>
  <si>
    <t>Total Direct Cost</t>
  </si>
  <si>
    <t>Subtotal Construction Support</t>
  </si>
  <si>
    <t>Total Indirect Cost</t>
  </si>
  <si>
    <t>Subtotal Project Cost</t>
  </si>
  <si>
    <t>Total Estimated Project Cost</t>
  </si>
  <si>
    <t>Unit Cost per LF</t>
  </si>
  <si>
    <t>ESTIMATE - BENCHMARK COST COMPARISON / EVALUATION</t>
  </si>
  <si>
    <t>Environmental</t>
  </si>
  <si>
    <t>Construction Support / Mgmt</t>
  </si>
  <si>
    <t>As-Built Survey, Survey, Mapping</t>
  </si>
  <si>
    <t>EA</t>
  </si>
  <si>
    <t>Material Costs</t>
  </si>
  <si>
    <t>Other - Balance of Plant</t>
  </si>
  <si>
    <t>Direct Costs</t>
  </si>
  <si>
    <t>As-Builts, D&amp;R</t>
  </si>
  <si>
    <t>ESTIMATE - BENCHMARK SUMMARY / RECAPITULATION</t>
  </si>
  <si>
    <t>Not Applicable</t>
  </si>
  <si>
    <t>As-Builts, Design &amp; Records</t>
  </si>
  <si>
    <t xml:space="preserve">Modified </t>
  </si>
  <si>
    <t>Pipe Dia</t>
  </si>
  <si>
    <t>Lgth, miles</t>
  </si>
  <si>
    <t>Lgth, feet</t>
  </si>
  <si>
    <t>Inch-miles</t>
  </si>
  <si>
    <t>Subtotal Installation</t>
  </si>
  <si>
    <t>Subtotal Material</t>
  </si>
  <si>
    <t>Subtotal Other - BOP</t>
  </si>
  <si>
    <t>Subtotal Engieering &amp; Proj Mgmt</t>
  </si>
  <si>
    <t>Engineering &amp; Proj Mgmt</t>
  </si>
  <si>
    <r>
      <t xml:space="preserve">Freight   </t>
    </r>
    <r>
      <rPr>
        <sz val="10"/>
        <color indexed="18"/>
        <rFont val="Times New Roman"/>
        <family val="1"/>
      </rPr>
      <t>(% of Material)</t>
    </r>
  </si>
  <si>
    <r>
      <t xml:space="preserve">Tax   </t>
    </r>
    <r>
      <rPr>
        <sz val="10"/>
        <color indexed="18"/>
        <rFont val="Times New Roman"/>
        <family val="1"/>
      </rPr>
      <t>(% of Material)</t>
    </r>
  </si>
  <si>
    <t>Cost per mile</t>
  </si>
  <si>
    <t>Cost per lineal foot</t>
  </si>
  <si>
    <t>Benchmark</t>
  </si>
  <si>
    <t>Average</t>
  </si>
  <si>
    <t>3rd Party, Contract Engineering</t>
  </si>
  <si>
    <t>ETS Engineering</t>
  </si>
  <si>
    <t>Total Estimated Cost</t>
  </si>
  <si>
    <t xml:space="preserve">P:\ E&amp;C \ Nonproject Data \ Estimating \ MSTTGD \ ETS \ Benchmarks \ </t>
  </si>
  <si>
    <t>Pipeline Installation</t>
  </si>
  <si>
    <t>TW BAKERSFIELD PIPELINE</t>
  </si>
  <si>
    <t>California</t>
  </si>
  <si>
    <t>20" Pipeline Installation</t>
  </si>
  <si>
    <t>Storage &amp; Handling</t>
  </si>
  <si>
    <t>20" HDD, Including Mob/Demob</t>
  </si>
  <si>
    <t>Pipe Crossings</t>
  </si>
  <si>
    <t>Road, Stream, Conjestion, Environ</t>
  </si>
  <si>
    <t>Balance of Plant</t>
  </si>
  <si>
    <t>Hot Tap</t>
  </si>
  <si>
    <t>Pipe Material - ERW X Grade</t>
  </si>
  <si>
    <t>TN</t>
  </si>
  <si>
    <t>14 mil FBE Coating</t>
  </si>
  <si>
    <t>SF</t>
  </si>
  <si>
    <t>Geotechnical Survey</t>
  </si>
  <si>
    <t>Gas Loss / Line Pack</t>
  </si>
  <si>
    <t>% of DC</t>
  </si>
  <si>
    <t>FGT V Jackonville Loop</t>
  </si>
  <si>
    <t>Bradford, Florida</t>
  </si>
  <si>
    <t>December 2001 PSR, F@C</t>
  </si>
  <si>
    <t>Modified Jacksonville</t>
  </si>
  <si>
    <t>EXCLUDED</t>
  </si>
  <si>
    <t>20" Diameter x 20 Miles</t>
  </si>
  <si>
    <t>Installation</t>
  </si>
  <si>
    <t>Material</t>
  </si>
  <si>
    <t>Right of Way</t>
  </si>
  <si>
    <t>Subtotal Indirect Costs</t>
  </si>
  <si>
    <t>TOTAL ESTIMATED COST</t>
  </si>
  <si>
    <t>Description</t>
  </si>
  <si>
    <t>3rd Party Engineering</t>
  </si>
  <si>
    <t>As-Builts</t>
  </si>
  <si>
    <t>Tax Gross Up</t>
  </si>
  <si>
    <t>Measurement Facilities</t>
  </si>
  <si>
    <t>FGT V - KGPC</t>
  </si>
  <si>
    <t>Subtotal Direct Costs (DC)</t>
  </si>
  <si>
    <t>PERCENTAGE OF DIRECT COST (DC) COMPARISON</t>
  </si>
  <si>
    <t>Bakersfield Measurement Facility</t>
  </si>
  <si>
    <t>Incl'd. in Above</t>
  </si>
  <si>
    <t>California Construction Factor - 30%</t>
  </si>
  <si>
    <t>FGT V Sanford Lateral</t>
  </si>
  <si>
    <t>Modified Sanford Lat</t>
  </si>
  <si>
    <t>FGT V Gulf Power Lateral</t>
  </si>
  <si>
    <t>Modified Gulf Power</t>
  </si>
  <si>
    <t>20" Dia x 15.4 miles</t>
  </si>
  <si>
    <t>26" Dia x 14.6 miles</t>
  </si>
  <si>
    <t>18" Dia x 27.7 miles</t>
  </si>
  <si>
    <t>California Adjustment</t>
  </si>
  <si>
    <t>Incl'd. w/Engineering</t>
  </si>
  <si>
    <t>Construction Support,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</si>
</sst>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5" formatCode="_(* #,##0.0_);_(* \(#,##0.0\);_(* &quot;-&quot;_);_(@_)"/>
    <numFmt numFmtId="166" formatCode="_(* #,##0.00_);_(* \(#,##0.00\);_(* &quot;-&quot;_);_(@_)"/>
    <numFmt numFmtId="167" formatCode="0.0%"/>
    <numFmt numFmtId="168" formatCode="0.000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color indexed="18"/>
      <name val="Times New Roman"/>
      <family val="1"/>
    </font>
    <font>
      <b/>
      <sz val="10"/>
      <color indexed="1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8"/>
      <color indexed="18"/>
      <name val="Times New Roman"/>
      <family val="1"/>
    </font>
    <font>
      <sz val="10"/>
      <color indexed="22"/>
      <name val="Times New Roman"/>
      <family val="1"/>
    </font>
    <font>
      <sz val="6"/>
      <color indexed="1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9"/>
      <name val="Times New Roman"/>
      <family val="1"/>
    </font>
    <font>
      <sz val="9"/>
      <color indexed="18"/>
      <name val="Times New Roman"/>
      <family val="1"/>
    </font>
    <font>
      <sz val="12"/>
      <color indexed="18"/>
      <name val="Times New Roman"/>
      <family val="1"/>
    </font>
    <font>
      <sz val="12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4"/>
      <color indexed="1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18"/>
      </top>
      <bottom/>
      <diagonal/>
    </border>
    <border>
      <left/>
      <right/>
      <top/>
      <bottom style="thin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18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18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Fill="1" applyBorder="1"/>
    <xf numFmtId="0" fontId="2" fillId="0" borderId="1" xfId="0" applyFont="1" applyBorder="1"/>
    <xf numFmtId="0" fontId="5" fillId="0" borderId="0" xfId="0" applyFont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left"/>
    </xf>
    <xf numFmtId="0" fontId="2" fillId="4" borderId="0" xfId="0" applyFont="1" applyFill="1"/>
    <xf numFmtId="0" fontId="2" fillId="0" borderId="0" xfId="0" applyFont="1" applyBorder="1"/>
    <xf numFmtId="0" fontId="4" fillId="4" borderId="0" xfId="0" applyFont="1" applyFill="1" applyAlignment="1">
      <alignment horizontal="center"/>
    </xf>
    <xf numFmtId="0" fontId="2" fillId="2" borderId="1" xfId="0" applyFont="1" applyFill="1" applyBorder="1"/>
    <xf numFmtId="0" fontId="6" fillId="3" borderId="1" xfId="0" applyFont="1" applyFill="1" applyBorder="1"/>
    <xf numFmtId="0" fontId="6" fillId="0" borderId="0" xfId="0" applyFont="1" applyBorder="1"/>
    <xf numFmtId="42" fontId="7" fillId="0" borderId="0" xfId="0" applyNumberFormat="1" applyFont="1"/>
    <xf numFmtId="42" fontId="6" fillId="0" borderId="0" xfId="0" applyNumberFormat="1" applyFont="1"/>
    <xf numFmtId="0" fontId="7" fillId="0" borderId="0" xfId="0" applyFont="1" applyAlignment="1">
      <alignment horizontal="left" indent="1"/>
    </xf>
    <xf numFmtId="41" fontId="7" fillId="0" borderId="0" xfId="0" applyNumberFormat="1" applyFont="1"/>
    <xf numFmtId="41" fontId="6" fillId="0" borderId="0" xfId="0" applyNumberFormat="1" applyFont="1"/>
    <xf numFmtId="0" fontId="2" fillId="0" borderId="3" xfId="0" applyFont="1" applyBorder="1"/>
    <xf numFmtId="0" fontId="7" fillId="0" borderId="3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Border="1"/>
    <xf numFmtId="41" fontId="9" fillId="0" borderId="0" xfId="0" applyNumberFormat="1" applyFont="1"/>
    <xf numFmtId="41" fontId="2" fillId="0" borderId="0" xfId="0" applyNumberFormat="1" applyFont="1"/>
    <xf numFmtId="41" fontId="4" fillId="0" borderId="0" xfId="0" applyNumberFormat="1" applyFont="1"/>
    <xf numFmtId="41" fontId="5" fillId="0" borderId="0" xfId="0" applyNumberFormat="1" applyFont="1"/>
    <xf numFmtId="41" fontId="7" fillId="0" borderId="3" xfId="0" applyNumberFormat="1" applyFont="1" applyBorder="1"/>
    <xf numFmtId="41" fontId="8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Border="1"/>
    <xf numFmtId="0" fontId="2" fillId="4" borderId="2" xfId="0" applyFont="1" applyFill="1" applyBorder="1"/>
    <xf numFmtId="0" fontId="7" fillId="4" borderId="2" xfId="0" applyFont="1" applyFill="1" applyBorder="1"/>
    <xf numFmtId="0" fontId="6" fillId="3" borderId="2" xfId="0" applyFont="1" applyFill="1" applyBorder="1"/>
    <xf numFmtId="0" fontId="4" fillId="4" borderId="0" xfId="0" applyFont="1" applyFill="1" applyBorder="1" applyAlignment="1">
      <alignment horizontal="right"/>
    </xf>
    <xf numFmtId="42" fontId="3" fillId="4" borderId="0" xfId="0" applyNumberFormat="1" applyFont="1" applyFill="1" applyBorder="1"/>
    <xf numFmtId="42" fontId="8" fillId="0" borderId="0" xfId="0" applyNumberFormat="1" applyFont="1" applyBorder="1"/>
    <xf numFmtId="42" fontId="9" fillId="5" borderId="0" xfId="0" applyNumberFormat="1" applyFont="1" applyFill="1" applyBorder="1"/>
    <xf numFmtId="42" fontId="8" fillId="0" borderId="0" xfId="0" applyNumberFormat="1" applyFont="1"/>
    <xf numFmtId="0" fontId="2" fillId="4" borderId="1" xfId="0" applyFont="1" applyFill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1" fillId="0" borderId="2" xfId="0" applyFont="1" applyFill="1" applyBorder="1"/>
    <xf numFmtId="41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41" fontId="2" fillId="0" borderId="4" xfId="0" applyNumberFormat="1" applyFont="1" applyBorder="1"/>
    <xf numFmtId="0" fontId="2" fillId="0" borderId="4" xfId="0" applyFont="1" applyBorder="1"/>
    <xf numFmtId="0" fontId="2" fillId="0" borderId="2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6" borderId="2" xfId="0" applyFont="1" applyFill="1" applyBorder="1"/>
    <xf numFmtId="41" fontId="2" fillId="6" borderId="2" xfId="0" applyNumberFormat="1" applyFont="1" applyFill="1" applyBorder="1"/>
    <xf numFmtId="0" fontId="2" fillId="6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1" fontId="2" fillId="6" borderId="4" xfId="0" applyNumberFormat="1" applyFont="1" applyFill="1" applyBorder="1"/>
    <xf numFmtId="0" fontId="2" fillId="6" borderId="4" xfId="0" applyFont="1" applyFill="1" applyBorder="1"/>
    <xf numFmtId="0" fontId="7" fillId="6" borderId="2" xfId="0" applyFont="1" applyFill="1" applyBorder="1"/>
    <xf numFmtId="0" fontId="4" fillId="4" borderId="0" xfId="0" applyFont="1" applyFill="1" applyBorder="1" applyAlignment="1">
      <alignment horizontal="left" indent="1"/>
    </xf>
    <xf numFmtId="41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1" fontId="4" fillId="7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" fillId="6" borderId="1" xfId="0" applyFont="1" applyFill="1" applyBorder="1"/>
    <xf numFmtId="41" fontId="2" fillId="6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41" fontId="2" fillId="6" borderId="5" xfId="0" applyNumberFormat="1" applyFont="1" applyFill="1" applyBorder="1"/>
    <xf numFmtId="0" fontId="2" fillId="6" borderId="5" xfId="0" applyFont="1" applyFill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42" fontId="7" fillId="0" borderId="0" xfId="0" applyNumberFormat="1" applyFont="1" applyAlignment="1">
      <alignment horizontal="center"/>
    </xf>
    <xf numFmtId="42" fontId="2" fillId="3" borderId="0" xfId="0" applyNumberFormat="1" applyFont="1" applyFill="1"/>
    <xf numFmtId="0" fontId="7" fillId="0" borderId="0" xfId="0" applyFont="1" applyAlignment="1">
      <alignment horizontal="left" indent="2"/>
    </xf>
    <xf numFmtId="41" fontId="7" fillId="0" borderId="0" xfId="0" quotePrefix="1" applyNumberFormat="1" applyFont="1"/>
    <xf numFmtId="0" fontId="13" fillId="0" borderId="0" xfId="0" applyFont="1" applyFill="1" applyAlignment="1">
      <alignment horizontal="left" indent="1"/>
    </xf>
    <xf numFmtId="42" fontId="6" fillId="3" borderId="0" xfId="0" applyNumberFormat="1" applyFont="1" applyFill="1"/>
    <xf numFmtId="41" fontId="7" fillId="0" borderId="0" xfId="0" applyNumberFormat="1" applyFont="1" applyAlignment="1">
      <alignment horizontal="center"/>
    </xf>
    <xf numFmtId="41" fontId="2" fillId="3" borderId="0" xfId="0" applyNumberFormat="1" applyFont="1" applyFill="1"/>
    <xf numFmtId="41" fontId="7" fillId="0" borderId="0" xfId="0" applyNumberFormat="1" applyFont="1" applyAlignment="1">
      <alignment horizontal="right"/>
    </xf>
    <xf numFmtId="41" fontId="6" fillId="3" borderId="0" xfId="0" applyNumberFormat="1" applyFont="1" applyFill="1"/>
    <xf numFmtId="41" fontId="6" fillId="0" borderId="0" xfId="0" applyNumberFormat="1" applyFont="1" applyAlignment="1">
      <alignment horizontal="right"/>
    </xf>
    <xf numFmtId="0" fontId="7" fillId="0" borderId="6" xfId="0" applyFont="1" applyBorder="1"/>
    <xf numFmtId="41" fontId="7" fillId="0" borderId="6" xfId="0" applyNumberFormat="1" applyFont="1" applyBorder="1"/>
    <xf numFmtId="0" fontId="7" fillId="0" borderId="6" xfId="0" applyFont="1" applyBorder="1" applyAlignment="1">
      <alignment horizontal="center"/>
    </xf>
    <xf numFmtId="41" fontId="7" fillId="0" borderId="6" xfId="0" applyNumberFormat="1" applyFont="1" applyBorder="1" applyAlignment="1">
      <alignment horizontal="center"/>
    </xf>
    <xf numFmtId="41" fontId="2" fillId="0" borderId="7" xfId="0" applyNumberFormat="1" applyFont="1" applyBorder="1"/>
    <xf numFmtId="0" fontId="7" fillId="4" borderId="0" xfId="0" applyFont="1" applyFill="1" applyAlignment="1">
      <alignment horizontal="right"/>
    </xf>
    <xf numFmtId="41" fontId="7" fillId="4" borderId="0" xfId="0" applyNumberFormat="1" applyFont="1" applyFill="1"/>
    <xf numFmtId="0" fontId="7" fillId="4" borderId="0" xfId="0" applyFont="1" applyFill="1" applyAlignment="1">
      <alignment horizontal="center"/>
    </xf>
    <xf numFmtId="41" fontId="4" fillId="4" borderId="0" xfId="0" applyNumberFormat="1" applyFont="1" applyFill="1" applyAlignment="1">
      <alignment horizontal="center"/>
    </xf>
    <xf numFmtId="41" fontId="7" fillId="5" borderId="0" xfId="0" applyNumberFormat="1" applyFont="1" applyFill="1"/>
    <xf numFmtId="0" fontId="7" fillId="0" borderId="3" xfId="0" applyFont="1" applyBorder="1" applyAlignment="1">
      <alignment horizontal="center"/>
    </xf>
    <xf numFmtId="41" fontId="7" fillId="0" borderId="3" xfId="0" applyNumberFormat="1" applyFont="1" applyBorder="1" applyAlignment="1">
      <alignment horizontal="center"/>
    </xf>
    <xf numFmtId="41" fontId="2" fillId="0" borderId="8" xfId="0" applyNumberFormat="1" applyFont="1" applyBorder="1"/>
    <xf numFmtId="0" fontId="4" fillId="4" borderId="0" xfId="0" applyFont="1" applyFill="1" applyAlignment="1">
      <alignment horizontal="right"/>
    </xf>
    <xf numFmtId="41" fontId="4" fillId="4" borderId="0" xfId="0" applyNumberFormat="1" applyFont="1" applyFill="1"/>
    <xf numFmtId="41" fontId="5" fillId="3" borderId="0" xfId="0" applyNumberFormat="1" applyFont="1" applyFill="1"/>
    <xf numFmtId="10" fontId="7" fillId="0" borderId="0" xfId="1" applyNumberFormat="1" applyFont="1"/>
    <xf numFmtId="43" fontId="7" fillId="0" borderId="7" xfId="0" applyNumberFormat="1" applyFont="1" applyBorder="1"/>
    <xf numFmtId="41" fontId="7" fillId="0" borderId="7" xfId="0" applyNumberFormat="1" applyFont="1" applyBorder="1"/>
    <xf numFmtId="41" fontId="7" fillId="0" borderId="9" xfId="0" applyNumberFormat="1" applyFont="1" applyBorder="1"/>
    <xf numFmtId="0" fontId="6" fillId="3" borderId="0" xfId="0" applyNumberFormat="1" applyFont="1" applyFill="1"/>
    <xf numFmtId="41" fontId="4" fillId="5" borderId="0" xfId="0" applyNumberFormat="1" applyFont="1" applyFill="1"/>
    <xf numFmtId="0" fontId="7" fillId="0" borderId="1" xfId="0" applyFont="1" applyBorder="1"/>
    <xf numFmtId="41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41" fontId="7" fillId="0" borderId="1" xfId="0" applyNumberFormat="1" applyFont="1" applyBorder="1" applyAlignment="1">
      <alignment horizontal="center"/>
    </xf>
    <xf numFmtId="41" fontId="7" fillId="0" borderId="5" xfId="0" applyNumberFormat="1" applyFont="1" applyBorder="1"/>
    <xf numFmtId="41" fontId="2" fillId="0" borderId="5" xfId="0" applyNumberFormat="1" applyFont="1" applyBorder="1"/>
    <xf numFmtId="41" fontId="2" fillId="0" borderId="0" xfId="0" applyNumberFormat="1" applyFont="1" applyAlignment="1">
      <alignment horizontal="center"/>
    </xf>
    <xf numFmtId="10" fontId="7" fillId="0" borderId="0" xfId="1" applyNumberFormat="1" applyFont="1" applyAlignment="1">
      <alignment horizontal="right"/>
    </xf>
    <xf numFmtId="41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41" fontId="7" fillId="6" borderId="2" xfId="0" applyNumberFormat="1" applyFont="1" applyFill="1" applyBorder="1"/>
    <xf numFmtId="0" fontId="7" fillId="6" borderId="2" xfId="0" applyFont="1" applyFill="1" applyBorder="1" applyAlignment="1">
      <alignment horizontal="center"/>
    </xf>
    <xf numFmtId="41" fontId="7" fillId="6" borderId="4" xfId="0" applyNumberFormat="1" applyFont="1" applyFill="1" applyBorder="1"/>
    <xf numFmtId="43" fontId="2" fillId="6" borderId="4" xfId="0" applyNumberFormat="1" applyFont="1" applyFill="1" applyBorder="1"/>
    <xf numFmtId="41" fontId="4" fillId="4" borderId="0" xfId="0" applyNumberFormat="1" applyFont="1" applyFill="1" applyBorder="1"/>
    <xf numFmtId="42" fontId="4" fillId="4" borderId="0" xfId="0" applyNumberFormat="1" applyFont="1" applyFill="1" applyBorder="1" applyAlignment="1">
      <alignment horizontal="center"/>
    </xf>
    <xf numFmtId="42" fontId="5" fillId="3" borderId="0" xfId="0" applyNumberFormat="1" applyFont="1" applyFill="1" applyBorder="1"/>
    <xf numFmtId="41" fontId="4" fillId="5" borderId="0" xfId="0" applyNumberFormat="1" applyFont="1" applyFill="1" applyBorder="1"/>
    <xf numFmtId="41" fontId="7" fillId="5" borderId="0" xfId="0" applyNumberFormat="1" applyFont="1" applyFill="1" applyBorder="1"/>
    <xf numFmtId="0" fontId="7" fillId="6" borderId="1" xfId="0" applyFont="1" applyFill="1" applyBorder="1"/>
    <xf numFmtId="41" fontId="7" fillId="6" borderId="1" xfId="0" applyNumberFormat="1" applyFont="1" applyFill="1" applyBorder="1"/>
    <xf numFmtId="0" fontId="7" fillId="6" borderId="1" xfId="0" applyFont="1" applyFill="1" applyBorder="1" applyAlignment="1">
      <alignment horizontal="center"/>
    </xf>
    <xf numFmtId="41" fontId="11" fillId="6" borderId="5" xfId="0" applyNumberFormat="1" applyFont="1" applyFill="1" applyBorder="1"/>
    <xf numFmtId="43" fontId="11" fillId="6" borderId="5" xfId="0" applyNumberFormat="1" applyFont="1" applyFill="1" applyBorder="1"/>
    <xf numFmtId="41" fontId="7" fillId="0" borderId="0" xfId="0" applyNumberFormat="1" applyFont="1" applyAlignment="1">
      <alignment horizontal="left"/>
    </xf>
    <xf numFmtId="42" fontId="2" fillId="0" borderId="0" xfId="0" applyNumberFormat="1" applyFont="1"/>
    <xf numFmtId="0" fontId="4" fillId="4" borderId="0" xfId="0" applyFont="1" applyFill="1" applyAlignment="1">
      <alignment horizontal="left"/>
    </xf>
    <xf numFmtId="41" fontId="2" fillId="3" borderId="0" xfId="0" applyNumberFormat="1" applyFont="1" applyFill="1" applyAlignment="1">
      <alignment horizontal="center"/>
    </xf>
    <xf numFmtId="42" fontId="4" fillId="5" borderId="0" xfId="0" applyNumberFormat="1" applyFont="1" applyFill="1" applyBorder="1"/>
    <xf numFmtId="0" fontId="15" fillId="0" borderId="0" xfId="0" applyFont="1"/>
    <xf numFmtId="42" fontId="6" fillId="3" borderId="0" xfId="0" applyNumberFormat="1" applyFont="1" applyFill="1" applyBorder="1"/>
    <xf numFmtId="0" fontId="7" fillId="5" borderId="0" xfId="0" applyFont="1" applyFill="1" applyBorder="1"/>
    <xf numFmtId="41" fontId="3" fillId="4" borderId="0" xfId="0" applyNumberFormat="1" applyFont="1" applyFill="1"/>
    <xf numFmtId="0" fontId="7" fillId="4" borderId="0" xfId="0" applyFont="1" applyFill="1" applyAlignment="1">
      <alignment horizontal="left" indent="1"/>
    </xf>
    <xf numFmtId="165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center"/>
    </xf>
    <xf numFmtId="41" fontId="7" fillId="0" borderId="0" xfId="0" applyNumberFormat="1" applyFont="1" applyFill="1"/>
    <xf numFmtId="0" fontId="7" fillId="0" borderId="0" xfId="0" applyFont="1" applyFill="1" applyAlignment="1">
      <alignment horizontal="center"/>
    </xf>
    <xf numFmtId="41" fontId="7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6" fillId="0" borderId="0" xfId="0" applyNumberFormat="1" applyFont="1" applyFill="1"/>
    <xf numFmtId="0" fontId="2" fillId="0" borderId="0" xfId="0" applyFont="1" applyFill="1"/>
    <xf numFmtId="41" fontId="7" fillId="0" borderId="0" xfId="0" quotePrefix="1" applyNumberFormat="1" applyFont="1" applyFill="1"/>
    <xf numFmtId="41" fontId="7" fillId="4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0" fontId="6" fillId="0" borderId="3" xfId="0" applyFont="1" applyBorder="1"/>
    <xf numFmtId="0" fontId="7" fillId="4" borderId="0" xfId="0" applyFont="1" applyFill="1" applyBorder="1" applyAlignment="1">
      <alignment horizontal="right"/>
    </xf>
    <xf numFmtId="42" fontId="17" fillId="4" borderId="0" xfId="0" applyNumberFormat="1" applyFont="1" applyFill="1" applyBorder="1"/>
    <xf numFmtId="42" fontId="18" fillId="5" borderId="0" xfId="0" applyNumberFormat="1" applyFont="1" applyFill="1" applyBorder="1"/>
    <xf numFmtId="0" fontId="18" fillId="5" borderId="0" xfId="0" applyNumberFormat="1" applyFont="1" applyFill="1" applyBorder="1"/>
    <xf numFmtId="0" fontId="6" fillId="5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1" fontId="14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9" fontId="7" fillId="4" borderId="0" xfId="1" applyFont="1" applyFill="1"/>
    <xf numFmtId="9" fontId="4" fillId="4" borderId="0" xfId="1" applyFont="1" applyFill="1" applyAlignment="1">
      <alignment horizontal="right"/>
    </xf>
    <xf numFmtId="0" fontId="19" fillId="0" borderId="0" xfId="0" applyFont="1" applyAlignment="1">
      <alignment horizontal="left" indent="1"/>
    </xf>
    <xf numFmtId="42" fontId="7" fillId="0" borderId="0" xfId="0" quotePrefix="1" applyNumberFormat="1" applyFont="1"/>
    <xf numFmtId="41" fontId="19" fillId="0" borderId="0" xfId="0" quotePrefix="1" applyNumberFormat="1" applyFont="1"/>
    <xf numFmtId="9" fontId="6" fillId="3" borderId="0" xfId="1" applyFont="1" applyFill="1"/>
    <xf numFmtId="9" fontId="7" fillId="4" borderId="0" xfId="1" applyFont="1" applyFill="1" applyAlignment="1">
      <alignment horizontal="right"/>
    </xf>
    <xf numFmtId="167" fontId="7" fillId="4" borderId="0" xfId="1" applyNumberFormat="1" applyFont="1" applyFill="1" applyAlignment="1">
      <alignment horizontal="right"/>
    </xf>
    <xf numFmtId="41" fontId="19" fillId="0" borderId="0" xfId="0" applyNumberFormat="1" applyFont="1"/>
    <xf numFmtId="9" fontId="2" fillId="0" borderId="0" xfId="1" applyFont="1"/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41" fontId="19" fillId="0" borderId="0" xfId="0" applyNumberFormat="1" applyFont="1" applyAlignment="1">
      <alignment horizontal="center"/>
    </xf>
    <xf numFmtId="41" fontId="6" fillId="0" borderId="0" xfId="0" applyNumberFormat="1" applyFont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2" fillId="0" borderId="10" xfId="0" applyFont="1" applyBorder="1"/>
    <xf numFmtId="41" fontId="2" fillId="0" borderId="10" xfId="0" applyNumberFormat="1" applyFont="1" applyBorder="1"/>
    <xf numFmtId="0" fontId="2" fillId="0" borderId="11" xfId="0" applyFont="1" applyBorder="1"/>
    <xf numFmtId="41" fontId="2" fillId="0" borderId="11" xfId="0" applyNumberFormat="1" applyFont="1" applyBorder="1"/>
    <xf numFmtId="167" fontId="2" fillId="0" borderId="0" xfId="1" applyNumberFormat="1" applyFont="1"/>
    <xf numFmtId="0" fontId="2" fillId="0" borderId="0" xfId="0" applyFont="1" applyBorder="1" applyAlignment="1">
      <alignment horizontal="center"/>
    </xf>
    <xf numFmtId="41" fontId="2" fillId="3" borderId="4" xfId="0" applyNumberFormat="1" applyFont="1" applyFill="1" applyBorder="1"/>
    <xf numFmtId="0" fontId="2" fillId="3" borderId="4" xfId="0" applyFont="1" applyFill="1" applyBorder="1"/>
    <xf numFmtId="41" fontId="20" fillId="3" borderId="0" xfId="0" applyNumberFormat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41" fontId="2" fillId="3" borderId="5" xfId="0" applyNumberFormat="1" applyFont="1" applyFill="1" applyBorder="1"/>
    <xf numFmtId="0" fontId="2" fillId="3" borderId="5" xfId="0" applyFont="1" applyFill="1" applyBorder="1"/>
    <xf numFmtId="41" fontId="20" fillId="3" borderId="0" xfId="0" applyNumberFormat="1" applyFont="1" applyFill="1"/>
    <xf numFmtId="9" fontId="7" fillId="0" borderId="0" xfId="1" applyFont="1"/>
    <xf numFmtId="0" fontId="7" fillId="0" borderId="8" xfId="0" applyFont="1" applyBorder="1"/>
    <xf numFmtId="9" fontId="4" fillId="3" borderId="0" xfId="1" applyFont="1" applyFill="1"/>
    <xf numFmtId="0" fontId="7" fillId="0" borderId="5" xfId="0" applyFont="1" applyBorder="1"/>
    <xf numFmtId="0" fontId="7" fillId="0" borderId="10" xfId="0" applyFont="1" applyBorder="1"/>
    <xf numFmtId="0" fontId="2" fillId="4" borderId="4" xfId="0" applyFont="1" applyFill="1" applyBorder="1"/>
    <xf numFmtId="0" fontId="20" fillId="4" borderId="0" xfId="0" applyFont="1" applyFill="1" applyAlignment="1">
      <alignment horizontal="center"/>
    </xf>
    <xf numFmtId="41" fontId="20" fillId="4" borderId="0" xfId="0" applyNumberFormat="1" applyFont="1" applyFill="1" applyAlignment="1">
      <alignment horizontal="center"/>
    </xf>
    <xf numFmtId="0" fontId="2" fillId="4" borderId="5" xfId="0" applyFont="1" applyFill="1" applyBorder="1"/>
    <xf numFmtId="0" fontId="20" fillId="4" borderId="0" xfId="0" applyFont="1" applyFill="1" applyAlignment="1">
      <alignment horizontal="right"/>
    </xf>
    <xf numFmtId="41" fontId="20" fillId="4" borderId="0" xfId="0" applyNumberFormat="1" applyFont="1" applyFill="1"/>
    <xf numFmtId="9" fontId="20" fillId="4" borderId="0" xfId="1" applyFont="1" applyFill="1"/>
    <xf numFmtId="0" fontId="20" fillId="4" borderId="0" xfId="0" applyFont="1" applyFill="1"/>
    <xf numFmtId="41" fontId="22" fillId="0" borderId="0" xfId="0" applyNumberFormat="1" applyFont="1"/>
    <xf numFmtId="42" fontId="23" fillId="4" borderId="0" xfId="0" applyNumberFormat="1" applyFont="1" applyFill="1"/>
    <xf numFmtId="42" fontId="23" fillId="3" borderId="0" xfId="0" applyNumberFormat="1" applyFont="1" applyFill="1"/>
    <xf numFmtId="9" fontId="23" fillId="4" borderId="0" xfId="1" applyFont="1" applyFill="1"/>
    <xf numFmtId="9" fontId="3" fillId="3" borderId="0" xfId="1" applyFont="1" applyFill="1"/>
    <xf numFmtId="41" fontId="10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4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1" fontId="6" fillId="0" borderId="0" xfId="0" applyNumberFormat="1" applyFont="1" applyAlignment="1">
      <alignment horizontal="center"/>
    </xf>
    <xf numFmtId="41" fontId="2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1" fontId="2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5"/>
  <sheetViews>
    <sheetView tabSelected="1" zoomScale="75" workbookViewId="0"/>
  </sheetViews>
  <sheetFormatPr defaultRowHeight="12.75" x14ac:dyDescent="0.2"/>
  <cols>
    <col min="1" max="1" width="5.28515625" style="1" customWidth="1"/>
    <col min="2" max="2" width="23.140625" style="1" customWidth="1"/>
    <col min="3" max="3" width="7.5703125" style="1" customWidth="1"/>
    <col min="4" max="4" width="14.42578125" style="1" bestFit="1" customWidth="1"/>
    <col min="5" max="5" width="1.7109375" style="15" customWidth="1"/>
    <col min="6" max="6" width="22.7109375" style="1" customWidth="1"/>
    <col min="7" max="7" width="1.7109375" style="1" customWidth="1"/>
    <col min="8" max="8" width="22.7109375" style="1" customWidth="1"/>
    <col min="9" max="9" width="1.7109375" style="1" customWidth="1"/>
    <col min="10" max="10" width="22.7109375" style="1" customWidth="1"/>
    <col min="11" max="11" width="1.7109375" style="1" hidden="1" customWidth="1"/>
    <col min="12" max="12" width="20.140625" style="1" hidden="1" customWidth="1"/>
    <col min="13" max="13" width="1.7109375" style="1" hidden="1" customWidth="1"/>
    <col min="14" max="14" width="20.140625" style="1" hidden="1" customWidth="1"/>
    <col min="15" max="15" width="1.7109375" style="1" hidden="1" customWidth="1"/>
    <col min="16" max="16" width="12.5703125" style="1" hidden="1" customWidth="1"/>
    <col min="17" max="16384" width="9.140625" style="1"/>
  </cols>
  <sheetData>
    <row r="1" spans="2:16" ht="15.75" x14ac:dyDescent="0.25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167"/>
      <c r="L1" s="167"/>
      <c r="M1" s="167"/>
      <c r="N1" s="167"/>
      <c r="O1" s="167"/>
      <c r="P1" s="167"/>
    </row>
    <row r="2" spans="2:16" ht="15.75" x14ac:dyDescent="0.25">
      <c r="B2" s="221" t="s">
        <v>46</v>
      </c>
      <c r="C2" s="221"/>
      <c r="D2" s="221"/>
      <c r="E2" s="221"/>
      <c r="F2" s="221"/>
      <c r="G2" s="221"/>
      <c r="H2" s="221"/>
      <c r="I2" s="221"/>
      <c r="J2" s="221"/>
    </row>
    <row r="4" spans="2:16" x14ac:dyDescent="0.2">
      <c r="B4" s="218" t="str">
        <f>'Pipeline Benchmark'!C5</f>
        <v>TW BAKERSFIELD PIPELINE</v>
      </c>
      <c r="C4" s="218"/>
      <c r="D4" s="218"/>
      <c r="E4" s="3"/>
      <c r="F4" s="57" t="str">
        <f>'Pipeline Benchmark'!I5</f>
        <v>FGT V Jackonville Loop</v>
      </c>
      <c r="G4" s="5"/>
      <c r="H4" s="57" t="str">
        <f>'Pipeline Benchmark'!P5</f>
        <v>FGT V Sanford Lateral</v>
      </c>
      <c r="J4" s="49" t="s">
        <v>110</v>
      </c>
      <c r="K4" s="49"/>
      <c r="L4" s="49"/>
      <c r="N4" s="4"/>
    </row>
    <row r="5" spans="2:16" x14ac:dyDescent="0.2">
      <c r="B5" s="218" t="str">
        <f>'Pipeline Benchmark'!C6</f>
        <v>California</v>
      </c>
      <c r="C5" s="218"/>
      <c r="D5" s="218"/>
      <c r="E5" s="6"/>
      <c r="F5" s="57" t="s">
        <v>24</v>
      </c>
      <c r="G5" s="56"/>
      <c r="H5" s="57" t="s">
        <v>24</v>
      </c>
      <c r="I5" s="49"/>
      <c r="J5" s="57" t="s">
        <v>24</v>
      </c>
      <c r="L5" s="7"/>
      <c r="N5" s="7"/>
    </row>
    <row r="6" spans="2:16" x14ac:dyDescent="0.2">
      <c r="B6" s="219" t="s">
        <v>91</v>
      </c>
      <c r="C6" s="219"/>
      <c r="D6" s="219"/>
      <c r="E6" s="6"/>
      <c r="F6" s="57" t="s">
        <v>112</v>
      </c>
      <c r="G6" s="8"/>
      <c r="H6" s="57" t="s">
        <v>113</v>
      </c>
      <c r="J6" s="57" t="s">
        <v>114</v>
      </c>
      <c r="L6" s="4"/>
      <c r="N6" s="4"/>
    </row>
    <row r="7" spans="2:16" ht="6" customHeight="1" thickBot="1" x14ac:dyDescent="0.25">
      <c r="B7" s="10"/>
      <c r="C7" s="10"/>
      <c r="D7" s="10"/>
      <c r="E7" s="6"/>
      <c r="F7" s="11"/>
      <c r="G7" s="8"/>
      <c r="H7" s="11"/>
      <c r="J7" s="11"/>
      <c r="L7" s="11"/>
      <c r="N7" s="11"/>
    </row>
    <row r="8" spans="2:16" ht="3" customHeight="1" x14ac:dyDescent="0.2">
      <c r="B8" s="12"/>
      <c r="C8" s="12"/>
      <c r="D8" s="12"/>
      <c r="E8" s="6"/>
      <c r="F8" s="13"/>
      <c r="G8" s="8"/>
      <c r="H8" s="13"/>
      <c r="J8" s="13"/>
      <c r="L8" s="13"/>
      <c r="N8" s="13"/>
      <c r="P8" s="13"/>
    </row>
    <row r="9" spans="2:16" x14ac:dyDescent="0.2">
      <c r="B9" s="14"/>
      <c r="C9" s="14"/>
      <c r="D9" s="14"/>
      <c r="F9" s="166" t="s">
        <v>26</v>
      </c>
      <c r="H9" s="166" t="s">
        <v>26</v>
      </c>
      <c r="J9" s="166" t="s">
        <v>26</v>
      </c>
      <c r="L9" s="166" t="s">
        <v>26</v>
      </c>
      <c r="N9" s="166" t="s">
        <v>26</v>
      </c>
      <c r="P9" s="166" t="s">
        <v>63</v>
      </c>
    </row>
    <row r="10" spans="2:16" x14ac:dyDescent="0.2">
      <c r="B10" s="14"/>
      <c r="C10" s="14"/>
      <c r="D10" s="16" t="s">
        <v>25</v>
      </c>
      <c r="F10" s="166" t="s">
        <v>25</v>
      </c>
      <c r="H10" s="166" t="s">
        <v>25</v>
      </c>
      <c r="J10" s="166" t="s">
        <v>25</v>
      </c>
      <c r="L10" s="166" t="s">
        <v>25</v>
      </c>
      <c r="N10" s="166" t="s">
        <v>25</v>
      </c>
      <c r="P10" s="166" t="s">
        <v>64</v>
      </c>
    </row>
    <row r="11" spans="2:16" x14ac:dyDescent="0.2">
      <c r="B11" s="141" t="s">
        <v>27</v>
      </c>
      <c r="C11" s="16"/>
      <c r="D11" s="16" t="s">
        <v>3</v>
      </c>
      <c r="F11" s="166" t="s">
        <v>3</v>
      </c>
      <c r="H11" s="166" t="s">
        <v>3</v>
      </c>
      <c r="J11" s="166" t="s">
        <v>3</v>
      </c>
      <c r="L11" s="166" t="s">
        <v>3</v>
      </c>
      <c r="N11" s="166" t="s">
        <v>3</v>
      </c>
      <c r="P11" s="166" t="s">
        <v>3</v>
      </c>
    </row>
    <row r="12" spans="2:16" ht="3" customHeight="1" thickBot="1" x14ac:dyDescent="0.25">
      <c r="B12" s="17"/>
      <c r="C12" s="17"/>
      <c r="D12" s="17"/>
      <c r="F12" s="18"/>
      <c r="H12" s="18"/>
      <c r="J12" s="18"/>
      <c r="L12" s="18"/>
      <c r="N12" s="18"/>
      <c r="P12" s="18"/>
    </row>
    <row r="13" spans="2:16" ht="6" customHeight="1" x14ac:dyDescent="0.2">
      <c r="F13" s="19"/>
      <c r="H13" s="19"/>
      <c r="J13" s="19"/>
      <c r="L13" s="19"/>
      <c r="N13" s="19"/>
    </row>
    <row r="14" spans="2:16" x14ac:dyDescent="0.2">
      <c r="B14" s="8" t="s">
        <v>44</v>
      </c>
      <c r="C14" s="8"/>
      <c r="D14" s="20"/>
      <c r="F14" s="21"/>
      <c r="H14" s="21"/>
      <c r="J14" s="21"/>
      <c r="L14" s="21"/>
      <c r="N14" s="21"/>
    </row>
    <row r="15" spans="2:16" x14ac:dyDescent="0.2">
      <c r="B15" s="22" t="s">
        <v>69</v>
      </c>
      <c r="C15" s="22"/>
      <c r="D15" s="20">
        <f>'Pipeline Benchmark'!E29</f>
        <v>9319588</v>
      </c>
      <c r="F15" s="21">
        <f>'Pipeline Benchmark'!M18</f>
        <v>6234000</v>
      </c>
      <c r="H15" s="21">
        <f>'Pipeline Benchmark'!T18</f>
        <v>14737000</v>
      </c>
      <c r="J15" s="21">
        <f>'Pipeline Benchmark'!AA18</f>
        <v>7615000</v>
      </c>
      <c r="L15" s="21" t="e">
        <f>'Pipeline Benchmark'!AG29</f>
        <v>#DIV/0!</v>
      </c>
      <c r="N15" s="21" t="e">
        <f>'Pipeline Benchmark'!AM29</f>
        <v>#DIV/0!</v>
      </c>
      <c r="P15" s="21"/>
    </row>
    <row r="16" spans="2:16" x14ac:dyDescent="0.2">
      <c r="B16" s="172" t="s">
        <v>115</v>
      </c>
      <c r="C16" s="22"/>
      <c r="D16" s="23">
        <v>0</v>
      </c>
      <c r="F16" s="178">
        <f>'Pipeline Benchmark'!M19</f>
        <v>1870000</v>
      </c>
      <c r="H16" s="178">
        <f>'Pipeline Benchmark'!T19</f>
        <v>4421000</v>
      </c>
      <c r="J16" s="178">
        <f>'Pipeline Benchmark'!AA19</f>
        <v>2285000</v>
      </c>
      <c r="L16" s="21"/>
      <c r="N16" s="21"/>
      <c r="P16" s="21"/>
    </row>
    <row r="17" spans="2:16" x14ac:dyDescent="0.2">
      <c r="B17" s="22" t="s">
        <v>42</v>
      </c>
      <c r="C17" s="22"/>
      <c r="D17" s="23">
        <f>'Pipeline Benchmark'!E37</f>
        <v>2157814</v>
      </c>
      <c r="F17" s="24">
        <f>'Pipeline Benchmark'!M37</f>
        <v>3310000</v>
      </c>
      <c r="H17" s="24">
        <f>'Pipeline Benchmark'!T37</f>
        <v>3865000</v>
      </c>
      <c r="J17" s="24">
        <f>'Pipeline Benchmark'!AA37</f>
        <v>2849000</v>
      </c>
      <c r="L17" s="24" t="e">
        <f>'Pipeline Benchmark'!AG37</f>
        <v>#DIV/0!</v>
      </c>
      <c r="N17" s="24" t="e">
        <f>'Pipeline Benchmark'!AM37</f>
        <v>#DIV/0!</v>
      </c>
      <c r="P17" s="24"/>
    </row>
    <row r="18" spans="2:16" x14ac:dyDescent="0.2">
      <c r="B18" s="22" t="s">
        <v>43</v>
      </c>
      <c r="C18" s="22"/>
      <c r="D18" s="23">
        <f>'Pipeline Benchmark'!E44</f>
        <v>0</v>
      </c>
      <c r="F18" s="24">
        <f>'Pipeline Benchmark'!M44</f>
        <v>0</v>
      </c>
      <c r="H18" s="24">
        <f>'Pipeline Benchmark'!T44</f>
        <v>0</v>
      </c>
      <c r="J18" s="24">
        <f>'Pipeline Benchmark'!AA44</f>
        <v>0</v>
      </c>
      <c r="L18" s="24" t="e">
        <f>'Pipeline Benchmark'!AG44</f>
        <v>#DIV/0!</v>
      </c>
      <c r="N18" s="24" t="e">
        <f>'Pipeline Benchmark'!AM44</f>
        <v>#DIV/0!</v>
      </c>
      <c r="P18" s="24"/>
    </row>
    <row r="19" spans="2:16" ht="6" customHeight="1" x14ac:dyDescent="0.2">
      <c r="B19" s="25"/>
      <c r="C19" s="25"/>
      <c r="D19" s="26"/>
      <c r="F19" s="161"/>
      <c r="H19" s="161"/>
      <c r="J19" s="161"/>
      <c r="L19" s="161"/>
      <c r="N19" s="161"/>
      <c r="P19" s="161"/>
    </row>
    <row r="20" spans="2:16" ht="6" customHeight="1" x14ac:dyDescent="0.2">
      <c r="D20" s="27"/>
      <c r="F20" s="7"/>
      <c r="H20" s="7"/>
      <c r="J20" s="7"/>
      <c r="L20" s="7"/>
      <c r="N20" s="7"/>
      <c r="P20" s="7"/>
    </row>
    <row r="21" spans="2:16" s="28" customFormat="1" ht="15.75" x14ac:dyDescent="0.25">
      <c r="B21" s="98" t="s">
        <v>30</v>
      </c>
      <c r="C21" s="98"/>
      <c r="D21" s="147">
        <f>SUM(D15:D20)</f>
        <v>11477402</v>
      </c>
      <c r="E21" s="30"/>
      <c r="F21" s="31">
        <f>SUM(F15:F20)</f>
        <v>11414000</v>
      </c>
      <c r="H21" s="31">
        <f>SUM(H15:H20)</f>
        <v>23023000</v>
      </c>
      <c r="J21" s="31">
        <f>SUM(J15:J20)</f>
        <v>12749000</v>
      </c>
      <c r="L21" s="31" t="e">
        <f>SUM(L15:L20)</f>
        <v>#DIV/0!</v>
      </c>
      <c r="N21" s="31" t="e">
        <f>SUM(N15:N20)</f>
        <v>#DIV/0!</v>
      </c>
      <c r="P21" s="31"/>
    </row>
    <row r="22" spans="2:16" x14ac:dyDescent="0.2">
      <c r="D22" s="27"/>
      <c r="F22" s="7"/>
      <c r="H22" s="7"/>
      <c r="J22" s="7"/>
      <c r="L22" s="7"/>
      <c r="N22" s="7"/>
      <c r="P22" s="7"/>
    </row>
    <row r="23" spans="2:16" x14ac:dyDescent="0.2">
      <c r="B23" s="8" t="s">
        <v>8</v>
      </c>
      <c r="C23" s="160">
        <f>'Pipeline Benchmark'!C49</f>
        <v>8.1304505392957874E-2</v>
      </c>
      <c r="D23" s="23">
        <f>'Pipeline Benchmark'!E49</f>
        <v>175440</v>
      </c>
      <c r="F23" s="24">
        <f>'Pipeline Benchmark'!M49</f>
        <v>161000</v>
      </c>
      <c r="G23" s="32"/>
      <c r="H23" s="24">
        <f>'Pipeline Benchmark'!T49</f>
        <v>352000</v>
      </c>
      <c r="J23" s="24">
        <f>'Pipeline Benchmark'!AA49</f>
        <v>304000</v>
      </c>
      <c r="L23" s="24" t="e">
        <f>'Pipeline Benchmark'!AG49</f>
        <v>#DIV/0!</v>
      </c>
      <c r="N23" s="24" t="e">
        <f>'Pipeline Benchmark'!AM49</f>
        <v>#DIV/0!</v>
      </c>
      <c r="P23" s="24"/>
    </row>
    <row r="24" spans="2:16" x14ac:dyDescent="0.2">
      <c r="B24" s="8" t="s">
        <v>9</v>
      </c>
      <c r="C24" s="160">
        <f>'Pipeline Benchmark'!C50</f>
        <v>7.6222973805898001E-2</v>
      </c>
      <c r="D24" s="23">
        <f>'Pipeline Benchmark'!E50</f>
        <v>164475</v>
      </c>
      <c r="F24" s="24">
        <f>'Pipeline Benchmark'!M50</f>
        <v>161000</v>
      </c>
      <c r="G24" s="32"/>
      <c r="H24" s="24">
        <f>'Pipeline Benchmark'!T50</f>
        <v>329000</v>
      </c>
      <c r="J24" s="24">
        <f>'Pipeline Benchmark'!AA50</f>
        <v>225000</v>
      </c>
      <c r="L24" s="24" t="e">
        <f>'Pipeline Benchmark'!AG50</f>
        <v>#DIV/0!</v>
      </c>
      <c r="N24" s="24" t="e">
        <f>'Pipeline Benchmark'!AM50</f>
        <v>#DIV/0!</v>
      </c>
      <c r="P24" s="24"/>
    </row>
    <row r="25" spans="2:16" x14ac:dyDescent="0.2">
      <c r="D25" s="27"/>
      <c r="F25" s="7"/>
      <c r="G25" s="32"/>
      <c r="H25" s="7"/>
      <c r="J25" s="7"/>
      <c r="L25" s="7"/>
      <c r="N25" s="7"/>
      <c r="P25" s="7"/>
    </row>
    <row r="26" spans="2:16" x14ac:dyDescent="0.2">
      <c r="B26" s="8" t="s">
        <v>10</v>
      </c>
      <c r="C26" s="8"/>
      <c r="D26" s="33"/>
      <c r="F26" s="34"/>
      <c r="G26" s="32"/>
      <c r="H26" s="34"/>
      <c r="J26" s="34"/>
      <c r="L26" s="34"/>
      <c r="N26" s="34"/>
      <c r="P26" s="34"/>
    </row>
    <row r="27" spans="2:16" x14ac:dyDescent="0.2">
      <c r="B27" s="22" t="s">
        <v>58</v>
      </c>
      <c r="C27" s="22"/>
      <c r="D27" s="23">
        <f>'Pipeline Benchmark'!E58</f>
        <v>3850000</v>
      </c>
      <c r="F27" s="24">
        <f>'Pipeline Benchmark'!M58</f>
        <v>4031000</v>
      </c>
      <c r="G27" s="32"/>
      <c r="H27" s="24">
        <f>'Pipeline Benchmark'!T58</f>
        <v>2432000</v>
      </c>
      <c r="J27" s="24">
        <f>'Pipeline Benchmark'!AA58</f>
        <v>3374000</v>
      </c>
      <c r="L27" s="24" t="e">
        <f>'Pipeline Benchmark'!AG58</f>
        <v>#DIV/0!</v>
      </c>
      <c r="N27" s="24" t="e">
        <f>'Pipeline Benchmark'!AM58</f>
        <v>#DIV/0!</v>
      </c>
      <c r="P27" s="24"/>
    </row>
    <row r="28" spans="2:16" x14ac:dyDescent="0.2">
      <c r="B28" s="22" t="s">
        <v>45</v>
      </c>
      <c r="C28" s="160">
        <f>'Pipeline Benchmark'!C60</f>
        <v>7.0637836351770495E-3</v>
      </c>
      <c r="D28" s="23">
        <f>'Pipeline Benchmark'!E60</f>
        <v>200000</v>
      </c>
      <c r="F28" s="183" t="str">
        <f>'Pipeline Benchmark'!M60</f>
        <v>Incl'd. w/Engineering</v>
      </c>
      <c r="G28" s="32"/>
      <c r="H28" s="183" t="str">
        <f>'Pipeline Benchmark'!T60</f>
        <v>Incl'd. w/Engineering</v>
      </c>
      <c r="J28" s="183" t="str">
        <f>'Pipeline Benchmark'!AA60</f>
        <v>Incl'd. w/Engineering</v>
      </c>
      <c r="L28" s="24" t="e">
        <f>'Pipeline Benchmark'!AG60</f>
        <v>#DIV/0!</v>
      </c>
      <c r="N28" s="24" t="e">
        <f>'Pipeline Benchmark'!AM60</f>
        <v>#DIV/0!</v>
      </c>
      <c r="P28" s="24"/>
    </row>
    <row r="29" spans="2:16" x14ac:dyDescent="0.2">
      <c r="B29" s="22" t="s">
        <v>12</v>
      </c>
      <c r="C29" s="22"/>
      <c r="D29" s="23">
        <f>'Pipeline Benchmark'!E70</f>
        <v>1400000</v>
      </c>
      <c r="F29" s="24">
        <f>'Pipeline Benchmark'!M70</f>
        <v>961000</v>
      </c>
      <c r="G29" s="32"/>
      <c r="H29" s="24">
        <f>'Pipeline Benchmark'!T70</f>
        <v>827000</v>
      </c>
      <c r="J29" s="24">
        <f>'Pipeline Benchmark'!AA70</f>
        <v>877000</v>
      </c>
      <c r="L29" s="24" t="e">
        <f>'Pipeline Benchmark'!AG70</f>
        <v>#DIV/0!</v>
      </c>
      <c r="N29" s="24" t="e">
        <f>'Pipeline Benchmark'!AM70</f>
        <v>#DIV/0!</v>
      </c>
      <c r="P29" s="24"/>
    </row>
    <row r="30" spans="2:16" x14ac:dyDescent="0.2">
      <c r="B30" s="22" t="s">
        <v>19</v>
      </c>
      <c r="C30" s="22"/>
      <c r="D30" s="23">
        <f>'Pipeline Benchmark'!E72</f>
        <v>4000000</v>
      </c>
      <c r="F30" s="178">
        <f>'Pipeline Benchmark'!M72</f>
        <v>4000000</v>
      </c>
      <c r="G30" s="32"/>
      <c r="H30" s="178">
        <f>'Pipeline Benchmark'!T72</f>
        <v>4000000</v>
      </c>
      <c r="J30" s="178">
        <f>'Pipeline Benchmark'!AA72</f>
        <v>4000000</v>
      </c>
      <c r="L30" s="24" t="e">
        <f>'Pipeline Benchmark'!AG72</f>
        <v>#DIV/0!</v>
      </c>
      <c r="N30" s="24" t="e">
        <f>'Pipeline Benchmark'!AM72</f>
        <v>#DIV/0!</v>
      </c>
      <c r="P30" s="24"/>
    </row>
    <row r="31" spans="2:16" x14ac:dyDescent="0.2">
      <c r="B31" s="22" t="s">
        <v>38</v>
      </c>
      <c r="C31" s="22"/>
      <c r="D31" s="23">
        <f>'Pipeline Benchmark'!E73</f>
        <v>1000000</v>
      </c>
      <c r="F31" s="178">
        <f>'Pipeline Benchmark'!M73</f>
        <v>1000000</v>
      </c>
      <c r="G31" s="32"/>
      <c r="H31" s="178">
        <f>'Pipeline Benchmark'!T73</f>
        <v>1000000</v>
      </c>
      <c r="J31" s="178">
        <f>'Pipeline Benchmark'!AA73</f>
        <v>1000000</v>
      </c>
      <c r="L31" s="24" t="e">
        <f>'Pipeline Benchmark'!AG73</f>
        <v>#DIV/0!</v>
      </c>
      <c r="N31" s="24" t="e">
        <f>'Pipeline Benchmark'!AM73</f>
        <v>#DIV/0!</v>
      </c>
      <c r="P31" s="24"/>
    </row>
    <row r="32" spans="2:16" x14ac:dyDescent="0.2">
      <c r="B32" s="22" t="s">
        <v>15</v>
      </c>
      <c r="C32" s="22"/>
      <c r="D32" s="23">
        <f>'Pipeline Benchmark'!E74</f>
        <v>45000</v>
      </c>
      <c r="F32" s="24">
        <f>'Pipeline Benchmark'!M74</f>
        <v>45000</v>
      </c>
      <c r="G32" s="32"/>
      <c r="H32" s="24">
        <f>'Pipeline Benchmark'!T74</f>
        <v>37000</v>
      </c>
      <c r="J32" s="24">
        <f>'Pipeline Benchmark'!AA74</f>
        <v>28000</v>
      </c>
      <c r="L32" s="24" t="e">
        <f>'Pipeline Benchmark'!AG74</f>
        <v>#DIV/0!</v>
      </c>
      <c r="N32" s="24" t="e">
        <f>'Pipeline Benchmark'!AM74</f>
        <v>#DIV/0!</v>
      </c>
      <c r="P32" s="24"/>
    </row>
    <row r="33" spans="2:16" ht="6" customHeight="1" x14ac:dyDescent="0.2">
      <c r="B33" s="25"/>
      <c r="C33" s="25"/>
      <c r="D33" s="26"/>
      <c r="F33" s="161"/>
      <c r="G33" s="32"/>
      <c r="H33" s="161"/>
      <c r="J33" s="161"/>
      <c r="L33" s="161"/>
      <c r="N33" s="161"/>
      <c r="P33" s="161"/>
    </row>
    <row r="34" spans="2:16" ht="6" customHeight="1" x14ac:dyDescent="0.2">
      <c r="D34" s="27"/>
      <c r="F34" s="7"/>
      <c r="G34" s="32"/>
      <c r="H34" s="7"/>
      <c r="J34" s="7"/>
      <c r="L34" s="7"/>
      <c r="N34" s="7"/>
      <c r="P34" s="7"/>
    </row>
    <row r="35" spans="2:16" s="28" customFormat="1" ht="15.75" x14ac:dyDescent="0.25">
      <c r="B35" s="98" t="s">
        <v>30</v>
      </c>
      <c r="C35" s="98"/>
      <c r="D35" s="147">
        <f>SUM(D27:D34)</f>
        <v>10495000</v>
      </c>
      <c r="E35" s="30"/>
      <c r="F35" s="31">
        <f>SUM(F27:F34)</f>
        <v>10037000</v>
      </c>
      <c r="G35" s="36"/>
      <c r="H35" s="31">
        <f>SUM(H27:H34)</f>
        <v>8296000</v>
      </c>
      <c r="J35" s="31">
        <f>SUM(J27:J34)</f>
        <v>9279000</v>
      </c>
      <c r="L35" s="31" t="e">
        <f>SUM(L27:L34)</f>
        <v>#DIV/0!</v>
      </c>
      <c r="N35" s="31" t="e">
        <f>SUM(N27:N34)</f>
        <v>#DIV/0!</v>
      </c>
      <c r="P35" s="31"/>
    </row>
    <row r="36" spans="2:16" x14ac:dyDescent="0.2">
      <c r="B36" s="22"/>
      <c r="C36" s="22"/>
      <c r="D36" s="23"/>
      <c r="F36" s="24"/>
      <c r="G36" s="32"/>
      <c r="H36" s="24"/>
      <c r="J36" s="24"/>
      <c r="L36" s="24"/>
      <c r="N36" s="24"/>
      <c r="P36" s="24"/>
    </row>
    <row r="37" spans="2:16" ht="15.75" x14ac:dyDescent="0.25">
      <c r="B37" s="98" t="s">
        <v>34</v>
      </c>
      <c r="C37" s="148"/>
      <c r="D37" s="147">
        <f>D35+D24+D23+D21</f>
        <v>22312317</v>
      </c>
      <c r="F37" s="31">
        <f>F35+F24+F23+F21</f>
        <v>21773000</v>
      </c>
      <c r="G37" s="32"/>
      <c r="H37" s="31">
        <f>H35+H21</f>
        <v>31319000</v>
      </c>
      <c r="J37" s="31">
        <f>J35+J21</f>
        <v>22028000</v>
      </c>
      <c r="L37" s="31" t="e">
        <f>L35+L24+L23+L21</f>
        <v>#DIV/0!</v>
      </c>
      <c r="N37" s="31" t="e">
        <f>N35+N24+N23+N21</f>
        <v>#DIV/0!</v>
      </c>
      <c r="P37" s="31"/>
    </row>
    <row r="38" spans="2:16" x14ac:dyDescent="0.2">
      <c r="B38" s="22"/>
      <c r="C38" s="22"/>
      <c r="D38" s="23"/>
      <c r="F38" s="24"/>
      <c r="G38" s="32"/>
      <c r="H38" s="24"/>
      <c r="J38" s="24"/>
      <c r="L38" s="24"/>
      <c r="N38" s="24"/>
      <c r="P38" s="24"/>
    </row>
    <row r="39" spans="2:16" x14ac:dyDescent="0.2">
      <c r="B39" s="8" t="s">
        <v>29</v>
      </c>
      <c r="C39" s="160">
        <f>'Pipeline Benchmark'!C82</f>
        <v>0</v>
      </c>
      <c r="D39" s="23">
        <f>'Pipeline Benchmark'!E82</f>
        <v>0</v>
      </c>
      <c r="F39" s="24">
        <f>'Pipeline Benchmark'!M82</f>
        <v>0</v>
      </c>
      <c r="G39" s="32"/>
      <c r="H39" s="24">
        <f>'Pipeline Benchmark'!T82</f>
        <v>0</v>
      </c>
      <c r="J39" s="24">
        <f>'Pipeline Benchmark'!AA82</f>
        <v>0</v>
      </c>
      <c r="L39" s="24" t="e">
        <f>'Pipeline Benchmark'!AG82</f>
        <v>#DIV/0!</v>
      </c>
      <c r="N39" s="24" t="e">
        <f>'Pipeline Benchmark'!AM82</f>
        <v>#DIV/0!</v>
      </c>
      <c r="P39" s="24"/>
    </row>
    <row r="40" spans="2:16" x14ac:dyDescent="0.2">
      <c r="B40" s="8" t="s">
        <v>17</v>
      </c>
      <c r="C40" s="160">
        <f>'Pipeline Benchmark'!C83</f>
        <v>0.10000001344548842</v>
      </c>
      <c r="D40" s="23">
        <f>'Pipeline Benchmark'!E83</f>
        <v>2231232</v>
      </c>
      <c r="F40" s="24">
        <f>'Pipeline Benchmark'!M83</f>
        <v>2177000</v>
      </c>
      <c r="G40" s="32"/>
      <c r="H40" s="24">
        <f>'Pipeline Benchmark'!T83</f>
        <v>3132000</v>
      </c>
      <c r="J40" s="24">
        <f>'Pipeline Benchmark'!AA83</f>
        <v>2203000</v>
      </c>
      <c r="L40" s="24" t="e">
        <f>'Pipeline Benchmark'!AG83</f>
        <v>#DIV/0!</v>
      </c>
      <c r="N40" s="24" t="e">
        <f>'Pipeline Benchmark'!AM83</f>
        <v>#DIV/0!</v>
      </c>
      <c r="P40" s="24"/>
    </row>
    <row r="41" spans="2:16" x14ac:dyDescent="0.2">
      <c r="B41" s="8" t="s">
        <v>16</v>
      </c>
      <c r="C41" s="160">
        <f>'Pipeline Benchmark'!C84</f>
        <v>2.9999980850365201E-2</v>
      </c>
      <c r="D41" s="23">
        <f>'Pipeline Benchmark'!E84</f>
        <v>736306</v>
      </c>
      <c r="F41" s="24">
        <f>'Pipeline Benchmark'!M84</f>
        <v>718000</v>
      </c>
      <c r="G41" s="32"/>
      <c r="H41" s="24">
        <f>'Pipeline Benchmark'!T84</f>
        <v>1034000</v>
      </c>
      <c r="J41" s="24">
        <f>'Pipeline Benchmark'!AA84</f>
        <v>727000</v>
      </c>
      <c r="L41" s="24" t="e">
        <f>'Pipeline Benchmark'!AG84</f>
        <v>#DIV/0!</v>
      </c>
      <c r="N41" s="24" t="e">
        <f>'Pipeline Benchmark'!AM84</f>
        <v>#DIV/0!</v>
      </c>
      <c r="P41" s="24"/>
    </row>
    <row r="42" spans="2:16" x14ac:dyDescent="0.2">
      <c r="B42" s="8" t="s">
        <v>18</v>
      </c>
      <c r="C42" s="160">
        <f>'Pipeline Benchmark'!C85</f>
        <v>0.12000001582287556</v>
      </c>
      <c r="D42" s="23">
        <f>'Pipeline Benchmark'!E85</f>
        <v>3033583</v>
      </c>
      <c r="F42" s="24">
        <f>'Pipeline Benchmark'!M85</f>
        <v>2960000</v>
      </c>
      <c r="G42" s="32"/>
      <c r="H42" s="24">
        <f>'Pipeline Benchmark'!T85</f>
        <v>4258000</v>
      </c>
      <c r="J42" s="24">
        <f>'Pipeline Benchmark'!AA85</f>
        <v>2995000</v>
      </c>
      <c r="L42" s="24" t="e">
        <f>'Pipeline Benchmark'!AG85</f>
        <v>#DIV/0!</v>
      </c>
      <c r="N42" s="24" t="e">
        <f>'Pipeline Benchmark'!AM85</f>
        <v>#DIV/0!</v>
      </c>
      <c r="P42" s="24"/>
    </row>
    <row r="43" spans="2:16" ht="6" customHeight="1" x14ac:dyDescent="0.2">
      <c r="B43" s="25"/>
      <c r="C43" s="25"/>
      <c r="D43" s="26"/>
      <c r="F43" s="161"/>
      <c r="G43" s="32"/>
      <c r="H43" s="161"/>
      <c r="J43" s="161"/>
      <c r="L43" s="161"/>
      <c r="N43" s="161"/>
      <c r="P43" s="161"/>
    </row>
    <row r="44" spans="2:16" ht="6" customHeight="1" x14ac:dyDescent="0.2">
      <c r="D44" s="27"/>
      <c r="F44" s="7"/>
      <c r="G44" s="32"/>
      <c r="H44" s="7"/>
      <c r="J44" s="7"/>
      <c r="L44" s="7"/>
      <c r="N44" s="7"/>
      <c r="P44" s="7"/>
    </row>
    <row r="45" spans="2:16" s="28" customFormat="1" ht="15.75" x14ac:dyDescent="0.25">
      <c r="B45" s="98" t="s">
        <v>30</v>
      </c>
      <c r="C45" s="98"/>
      <c r="D45" s="147">
        <f>SUM(D39:D44)</f>
        <v>6001121</v>
      </c>
      <c r="E45" s="30"/>
      <c r="F45" s="31">
        <f>SUM(F39:F44)</f>
        <v>5855000</v>
      </c>
      <c r="G45" s="36"/>
      <c r="H45" s="31">
        <f>SUM(H39:H44)</f>
        <v>8424000</v>
      </c>
      <c r="J45" s="31">
        <f>SUM(J39:J44)</f>
        <v>5925000</v>
      </c>
      <c r="L45" s="31" t="e">
        <f>SUM(L39:L44)</f>
        <v>#DIV/0!</v>
      </c>
      <c r="N45" s="31" t="e">
        <f>SUM(N39:N44)</f>
        <v>#DIV/0!</v>
      </c>
      <c r="P45" s="31"/>
    </row>
    <row r="46" spans="2:16" ht="6" customHeight="1" thickBot="1" x14ac:dyDescent="0.25">
      <c r="B46" s="15"/>
      <c r="C46" s="15"/>
      <c r="D46" s="38"/>
      <c r="F46" s="38"/>
      <c r="H46" s="38"/>
      <c r="J46" s="38"/>
      <c r="L46" s="38"/>
      <c r="N46" s="38"/>
      <c r="P46" s="38"/>
    </row>
    <row r="47" spans="2:16" ht="3" customHeight="1" x14ac:dyDescent="0.2">
      <c r="B47" s="39"/>
      <c r="C47" s="39"/>
      <c r="D47" s="40"/>
      <c r="F47" s="41"/>
      <c r="H47" s="41"/>
      <c r="J47" s="41"/>
      <c r="L47" s="41"/>
      <c r="N47" s="41"/>
      <c r="P47" s="41"/>
    </row>
    <row r="48" spans="2:16" s="28" customFormat="1" ht="15.75" x14ac:dyDescent="0.25">
      <c r="B48" s="42" t="s">
        <v>67</v>
      </c>
      <c r="C48" s="42"/>
      <c r="D48" s="43">
        <f>D45+D37</f>
        <v>28313438</v>
      </c>
      <c r="E48" s="44"/>
      <c r="F48" s="45">
        <f>F45+F37</f>
        <v>27628000</v>
      </c>
      <c r="G48" s="46"/>
      <c r="H48" s="45">
        <f>H45+H37</f>
        <v>39743000</v>
      </c>
      <c r="J48" s="45">
        <f>J45+J37</f>
        <v>27953000</v>
      </c>
      <c r="L48" s="45" t="e">
        <f>L45+L37</f>
        <v>#DIV/0!</v>
      </c>
      <c r="N48" s="45" t="e">
        <f>N45+N37</f>
        <v>#DIV/0!</v>
      </c>
      <c r="P48" s="45"/>
    </row>
    <row r="49" spans="2:16" s="28" customFormat="1" ht="6" customHeight="1" x14ac:dyDescent="0.25">
      <c r="B49" s="42"/>
      <c r="C49" s="42"/>
      <c r="D49" s="43"/>
      <c r="E49" s="44"/>
      <c r="F49" s="45"/>
      <c r="G49" s="46"/>
      <c r="H49" s="45"/>
      <c r="J49" s="45"/>
      <c r="L49" s="45"/>
      <c r="N49" s="45"/>
      <c r="P49" s="45"/>
    </row>
    <row r="50" spans="2:16" s="28" customFormat="1" ht="15.75" x14ac:dyDescent="0.25">
      <c r="B50" s="42"/>
      <c r="C50" s="162" t="s">
        <v>61</v>
      </c>
      <c r="D50" s="163">
        <f>D48/'Pipeline Benchmark'!F9</f>
        <v>1415671.9</v>
      </c>
      <c r="E50" s="44"/>
      <c r="F50" s="164">
        <f>F48/'Pipeline Benchmark'!F9</f>
        <v>1381400</v>
      </c>
      <c r="G50" s="46"/>
      <c r="H50" s="164">
        <f>H48/'Pipeline Benchmark'!F9</f>
        <v>1987150</v>
      </c>
      <c r="J50" s="164">
        <f>J48/'Pipeline Benchmark'!F9</f>
        <v>1397650</v>
      </c>
      <c r="L50" s="164" t="e">
        <f>L48/'Pipeline Benchmark'!F9</f>
        <v>#DIV/0!</v>
      </c>
      <c r="N50" s="165" t="e">
        <f>N48/'Pipeline Benchmark'!F9</f>
        <v>#DIV/0!</v>
      </c>
      <c r="P50" s="165"/>
    </row>
    <row r="51" spans="2:16" s="28" customFormat="1" ht="15.75" x14ac:dyDescent="0.25">
      <c r="B51" s="42"/>
      <c r="C51" s="162" t="s">
        <v>62</v>
      </c>
      <c r="D51" s="163">
        <f>D48/'Pipeline Benchmark'!F10</f>
        <v>268.11967803030302</v>
      </c>
      <c r="E51" s="44"/>
      <c r="F51" s="164">
        <f>F48/'Pipeline Benchmark'!F10</f>
        <v>261.62878787878788</v>
      </c>
      <c r="G51" s="46"/>
      <c r="H51" s="164">
        <f>H48/'Pipeline Benchmark'!F10</f>
        <v>376.35416666666669</v>
      </c>
      <c r="J51" s="164">
        <f>J48/'Pipeline Benchmark'!F10</f>
        <v>264.70643939393938</v>
      </c>
      <c r="L51" s="164" t="e">
        <f>L48/'Pipeline Benchmark'!F10</f>
        <v>#DIV/0!</v>
      </c>
      <c r="N51" s="164" t="e">
        <f>N48/'Pipeline Benchmark'!F10</f>
        <v>#DIV/0!</v>
      </c>
      <c r="P51" s="164"/>
    </row>
    <row r="52" spans="2:16" ht="3" customHeight="1" thickBot="1" x14ac:dyDescent="0.25">
      <c r="B52" s="47"/>
      <c r="C52" s="47"/>
      <c r="D52" s="47"/>
      <c r="F52" s="18"/>
      <c r="H52" s="18"/>
      <c r="J52" s="18"/>
      <c r="L52" s="18"/>
      <c r="N52" s="18"/>
      <c r="P52" s="18"/>
    </row>
    <row r="53" spans="2:16" ht="6" customHeight="1" x14ac:dyDescent="0.2"/>
    <row r="54" spans="2:16" x14ac:dyDescent="0.2">
      <c r="D54" s="32">
        <f>D48-'Pipeline Benchmark'!E93</f>
        <v>0</v>
      </c>
      <c r="F54" s="32">
        <f>F48-'Pipeline Benchmark'!M93</f>
        <v>0</v>
      </c>
      <c r="H54" s="32">
        <f>H48-'Pipeline Benchmark'!T93</f>
        <v>0</v>
      </c>
      <c r="J54" s="32">
        <f>J48-'Pipeline Benchmark'!AA93</f>
        <v>0</v>
      </c>
      <c r="L54" s="32" t="e">
        <f>L48-'Pipeline Benchmark'!AG93</f>
        <v>#DIV/0!</v>
      </c>
      <c r="N54" s="32" t="e">
        <f>N48-'Pipeline Benchmark'!AY93</f>
        <v>#DIV/0!</v>
      </c>
      <c r="P54" s="32"/>
    </row>
    <row r="55" spans="2:16" x14ac:dyDescent="0.2">
      <c r="B55" s="48" t="s">
        <v>68</v>
      </c>
      <c r="C55" s="48"/>
    </row>
    <row r="57" spans="2:16" x14ac:dyDescent="0.2">
      <c r="J57" s="9"/>
    </row>
    <row r="58" spans="2:16" x14ac:dyDescent="0.2">
      <c r="J58" s="9"/>
    </row>
    <row r="59" spans="2:16" x14ac:dyDescent="0.2">
      <c r="J59" s="9"/>
    </row>
    <row r="60" spans="2:16" x14ac:dyDescent="0.2">
      <c r="J60" s="9"/>
    </row>
    <row r="61" spans="2:16" x14ac:dyDescent="0.2">
      <c r="J61" s="9"/>
    </row>
    <row r="62" spans="2:16" x14ac:dyDescent="0.2">
      <c r="J62" s="9"/>
    </row>
    <row r="63" spans="2:16" x14ac:dyDescent="0.2">
      <c r="J63" s="9"/>
    </row>
    <row r="64" spans="2:16" x14ac:dyDescent="0.2">
      <c r="J64" s="9"/>
    </row>
    <row r="65" spans="10:10" x14ac:dyDescent="0.2">
      <c r="J65" s="9"/>
    </row>
  </sheetData>
  <mergeCells count="5">
    <mergeCell ref="B4:D4"/>
    <mergeCell ref="B5:D5"/>
    <mergeCell ref="B6:D6"/>
    <mergeCell ref="B1:J1"/>
    <mergeCell ref="B2:J2"/>
  </mergeCells>
  <phoneticPr fontId="0" type="noConversion"/>
  <printOptions horizontalCentered="1"/>
  <pageMargins left="0.25" right="0" top="0.46" bottom="0.91" header="0.12" footer="0.26"/>
  <pageSetup scale="85" orientation="landscape" horizontalDpi="300" verticalDpi="300" r:id="rId1"/>
  <headerFooter alignWithMargins="0">
    <oddFooter>&amp;L&amp;"Times New Roman,Regular"&amp;F  -  &amp;A
REVISION NO. 1 (02.07.02)&amp;C&amp;"Times New Roman,Regular"Page  1  of  1
&amp;"Times New Roman,Bold"SENSITIVE AND CONFIDENTIAL INFORMATION&amp;R&amp;"Times New Roman,Regular"iDATE - February 7, 2002
Print Date - 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Z535"/>
  <sheetViews>
    <sheetView zoomScale="75" workbookViewId="0"/>
  </sheetViews>
  <sheetFormatPr defaultRowHeight="12.75" x14ac:dyDescent="0.2"/>
  <cols>
    <col min="1" max="1" width="4.140625" style="1" customWidth="1"/>
    <col min="2" max="2" width="33" style="1" customWidth="1"/>
    <col min="3" max="3" width="10.28515625" style="32" bestFit="1" customWidth="1"/>
    <col min="4" max="4" width="4.7109375" style="49" customWidth="1"/>
    <col min="5" max="5" width="14.28515625" style="49" bestFit="1" customWidth="1"/>
    <col min="6" max="6" width="12" style="49" bestFit="1" customWidth="1"/>
    <col min="7" max="7" width="10.7109375" style="49" customWidth="1"/>
    <col min="8" max="8" width="1.7109375" style="49" customWidth="1"/>
    <col min="9" max="9" width="12.7109375" style="32" customWidth="1"/>
    <col min="10" max="11" width="10.7109375" style="1" customWidth="1"/>
    <col min="12" max="12" width="1.7109375" style="1" customWidth="1"/>
    <col min="13" max="13" width="16.85546875" style="1" bestFit="1" customWidth="1"/>
    <col min="14" max="14" width="10.7109375" style="1" customWidth="1"/>
    <col min="15" max="15" width="1.7109375" style="1" customWidth="1"/>
    <col min="16" max="16" width="13.5703125" style="1" customWidth="1"/>
    <col min="17" max="18" width="10.7109375" style="1" customWidth="1"/>
    <col min="19" max="19" width="1.7109375" style="1" customWidth="1"/>
    <col min="20" max="20" width="16.85546875" style="1" bestFit="1" customWidth="1"/>
    <col min="21" max="21" width="10.7109375" style="1" customWidth="1"/>
    <col min="22" max="22" width="1.7109375" style="1" customWidth="1"/>
    <col min="23" max="23" width="13.5703125" style="1" bestFit="1" customWidth="1"/>
    <col min="24" max="25" width="10.7109375" style="1" customWidth="1"/>
    <col min="26" max="26" width="1.7109375" style="1" customWidth="1"/>
    <col min="27" max="27" width="16.85546875" style="1" bestFit="1" customWidth="1"/>
    <col min="28" max="28" width="10.7109375" style="1" customWidth="1"/>
    <col min="29" max="29" width="1.7109375" style="1" hidden="1" customWidth="1"/>
    <col min="30" max="30" width="12.7109375" style="1" hidden="1" customWidth="1"/>
    <col min="31" max="31" width="10.7109375" style="1" hidden="1" customWidth="1"/>
    <col min="32" max="32" width="1.7109375" style="1" hidden="1" customWidth="1"/>
    <col min="33" max="33" width="14.5703125" style="1" hidden="1" customWidth="1"/>
    <col min="34" max="34" width="10.140625" style="1" hidden="1" customWidth="1"/>
    <col min="35" max="35" width="1.7109375" style="1" hidden="1" customWidth="1"/>
    <col min="36" max="36" width="0" style="1" hidden="1" customWidth="1"/>
    <col min="37" max="37" width="9.5703125" style="1" hidden="1" customWidth="1"/>
    <col min="38" max="38" width="1.7109375" style="1" hidden="1" customWidth="1"/>
    <col min="39" max="39" width="0" style="1" hidden="1" customWidth="1"/>
    <col min="40" max="40" width="10.140625" style="1" hidden="1" customWidth="1"/>
    <col min="41" max="41" width="1.7109375" style="1" hidden="1" customWidth="1"/>
    <col min="42" max="42" width="0" style="1" hidden="1" customWidth="1"/>
    <col min="43" max="43" width="9.5703125" style="1" hidden="1" customWidth="1"/>
    <col min="44" max="44" width="1.7109375" style="1" hidden="1" customWidth="1"/>
    <col min="45" max="45" width="0" style="1" hidden="1" customWidth="1"/>
    <col min="46" max="46" width="10.140625" style="1" hidden="1" customWidth="1"/>
    <col min="47" max="47" width="1.7109375" style="1" hidden="1" customWidth="1"/>
    <col min="48" max="48" width="0" style="1" hidden="1" customWidth="1"/>
    <col min="49" max="49" width="9.5703125" style="1" hidden="1" customWidth="1"/>
    <col min="50" max="50" width="1.7109375" style="1" hidden="1" customWidth="1"/>
    <col min="51" max="51" width="0" style="1" hidden="1" customWidth="1"/>
    <col min="52" max="52" width="10.140625" style="1" hidden="1" customWidth="1"/>
    <col min="53" max="16384" width="9.140625" style="1"/>
  </cols>
  <sheetData>
    <row r="1" spans="2:52" ht="15.75" x14ac:dyDescent="0.25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</row>
    <row r="2" spans="2:52" ht="15.75" x14ac:dyDescent="0.25">
      <c r="B2" s="220" t="s">
        <v>37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167"/>
      <c r="AD2" s="167"/>
    </row>
    <row r="3" spans="2:52" ht="13.5" thickBot="1" x14ac:dyDescent="0.25"/>
    <row r="4" spans="2:52" ht="6.75" customHeight="1" x14ac:dyDescent="0.2">
      <c r="B4" s="50"/>
      <c r="C4" s="51"/>
      <c r="D4" s="52"/>
      <c r="E4" s="52"/>
      <c r="F4" s="52"/>
      <c r="G4" s="52"/>
      <c r="I4" s="53"/>
      <c r="J4" s="54"/>
      <c r="K4" s="54"/>
      <c r="M4" s="55"/>
      <c r="N4" s="55"/>
      <c r="P4" s="53"/>
      <c r="Q4" s="54"/>
      <c r="R4" s="54"/>
      <c r="T4" s="55"/>
      <c r="U4" s="55"/>
      <c r="W4" s="53"/>
      <c r="X4" s="54"/>
      <c r="Y4" s="54"/>
      <c r="AA4" s="55"/>
      <c r="AB4" s="55"/>
      <c r="AD4" s="53"/>
      <c r="AE4" s="54"/>
      <c r="AG4" s="55"/>
      <c r="AH4" s="55"/>
      <c r="AJ4" s="53"/>
      <c r="AK4" s="54"/>
      <c r="AM4" s="55"/>
      <c r="AN4" s="55"/>
      <c r="AP4" s="53"/>
      <c r="AQ4" s="54"/>
      <c r="AS4" s="55"/>
      <c r="AT4" s="55"/>
      <c r="AV4" s="53"/>
      <c r="AW4" s="54"/>
      <c r="AY4" s="55"/>
      <c r="AZ4" s="55"/>
    </row>
    <row r="5" spans="2:52" x14ac:dyDescent="0.2">
      <c r="B5" s="27"/>
      <c r="C5" s="222" t="s">
        <v>70</v>
      </c>
      <c r="D5" s="222"/>
      <c r="E5" s="222"/>
      <c r="F5" s="222"/>
      <c r="G5" s="56"/>
      <c r="H5" s="2"/>
      <c r="I5" s="224" t="s">
        <v>86</v>
      </c>
      <c r="J5" s="224"/>
      <c r="K5" s="224"/>
      <c r="M5" s="222" t="s">
        <v>89</v>
      </c>
      <c r="N5" s="222"/>
      <c r="P5" s="223" t="s">
        <v>108</v>
      </c>
      <c r="Q5" s="223"/>
      <c r="R5" s="223"/>
      <c r="T5" s="222" t="s">
        <v>109</v>
      </c>
      <c r="U5" s="222"/>
      <c r="W5" s="223" t="s">
        <v>110</v>
      </c>
      <c r="X5" s="223"/>
      <c r="Y5" s="223"/>
      <c r="AA5" s="222" t="s">
        <v>111</v>
      </c>
      <c r="AB5" s="222"/>
      <c r="AD5" s="223" t="s">
        <v>23</v>
      </c>
      <c r="AE5" s="223"/>
      <c r="AG5" s="222" t="s">
        <v>49</v>
      </c>
      <c r="AH5" s="222"/>
      <c r="AJ5" s="223" t="s">
        <v>23</v>
      </c>
      <c r="AK5" s="223"/>
      <c r="AM5" s="222" t="s">
        <v>49</v>
      </c>
      <c r="AN5" s="222"/>
      <c r="AP5" s="223" t="s">
        <v>23</v>
      </c>
      <c r="AQ5" s="223"/>
      <c r="AS5" s="222" t="s">
        <v>49</v>
      </c>
      <c r="AT5" s="222"/>
      <c r="AV5" s="223" t="s">
        <v>23</v>
      </c>
      <c r="AW5" s="223"/>
      <c r="AY5" s="222" t="s">
        <v>49</v>
      </c>
      <c r="AZ5" s="222"/>
    </row>
    <row r="6" spans="2:52" x14ac:dyDescent="0.2">
      <c r="B6" s="27"/>
      <c r="C6" s="222" t="s">
        <v>71</v>
      </c>
      <c r="D6" s="222"/>
      <c r="E6" s="222"/>
      <c r="F6" s="222"/>
      <c r="G6" s="56"/>
      <c r="H6" s="56"/>
      <c r="I6" s="223" t="s">
        <v>87</v>
      </c>
      <c r="J6" s="223"/>
      <c r="K6" s="223"/>
      <c r="M6" s="222" t="str">
        <f>I6</f>
        <v>Bradford, Florida</v>
      </c>
      <c r="N6" s="222"/>
      <c r="P6" s="223" t="s">
        <v>24</v>
      </c>
      <c r="Q6" s="223"/>
      <c r="R6" s="223"/>
      <c r="T6" s="222" t="str">
        <f>P6</f>
        <v>Florida</v>
      </c>
      <c r="U6" s="222"/>
      <c r="W6" s="223" t="s">
        <v>24</v>
      </c>
      <c r="X6" s="223"/>
      <c r="Y6" s="223"/>
      <c r="AA6" s="227" t="str">
        <f>W6</f>
        <v>Florida</v>
      </c>
      <c r="AB6" s="227"/>
      <c r="AD6" s="223" t="s">
        <v>23</v>
      </c>
      <c r="AE6" s="223"/>
      <c r="AG6" s="222" t="str">
        <f>AD6</f>
        <v>?</v>
      </c>
      <c r="AH6" s="222"/>
      <c r="AJ6" s="223" t="s">
        <v>23</v>
      </c>
      <c r="AK6" s="223"/>
      <c r="AM6" s="27"/>
      <c r="AN6" s="27"/>
      <c r="AP6" s="223" t="s">
        <v>23</v>
      </c>
      <c r="AQ6" s="223"/>
      <c r="AS6" s="27"/>
      <c r="AT6" s="27"/>
      <c r="AV6" s="223" t="s">
        <v>23</v>
      </c>
      <c r="AW6" s="223"/>
      <c r="AY6" s="27"/>
      <c r="AZ6" s="27"/>
    </row>
    <row r="7" spans="2:52" ht="6" customHeight="1" x14ac:dyDescent="0.2">
      <c r="B7" s="56"/>
      <c r="C7" s="56"/>
      <c r="D7" s="56"/>
      <c r="E7" s="56"/>
      <c r="F7" s="56"/>
      <c r="G7" s="56"/>
      <c r="H7" s="56"/>
      <c r="I7" s="49"/>
      <c r="J7" s="49"/>
      <c r="K7" s="49"/>
      <c r="M7" s="56"/>
      <c r="N7" s="56"/>
      <c r="P7" s="49"/>
      <c r="Q7" s="49"/>
      <c r="R7" s="49"/>
      <c r="T7" s="56"/>
      <c r="U7" s="56"/>
      <c r="W7" s="49"/>
      <c r="X7" s="49"/>
      <c r="Y7" s="49"/>
      <c r="AA7" s="79"/>
      <c r="AB7" s="79"/>
      <c r="AD7" s="49"/>
      <c r="AE7" s="49"/>
      <c r="AG7" s="56"/>
      <c r="AH7" s="56"/>
      <c r="AJ7" s="49"/>
      <c r="AK7" s="49"/>
      <c r="AM7" s="27"/>
      <c r="AN7" s="27"/>
      <c r="AP7" s="49"/>
      <c r="AQ7" s="49"/>
      <c r="AS7" s="27"/>
      <c r="AT7" s="27"/>
      <c r="AV7" s="49"/>
      <c r="AW7" s="49"/>
      <c r="AY7" s="27"/>
      <c r="AZ7" s="27"/>
    </row>
    <row r="8" spans="2:52" x14ac:dyDescent="0.2">
      <c r="B8" s="8"/>
      <c r="C8" s="8"/>
      <c r="D8" s="8"/>
      <c r="E8" s="29" t="s">
        <v>50</v>
      </c>
      <c r="F8" s="90">
        <v>20</v>
      </c>
      <c r="G8" s="90"/>
      <c r="H8" s="56"/>
      <c r="I8" s="57"/>
      <c r="J8" s="92">
        <v>20</v>
      </c>
      <c r="K8" s="92"/>
      <c r="M8" s="56"/>
      <c r="N8" s="88">
        <f>F8</f>
        <v>20</v>
      </c>
      <c r="P8" s="49"/>
      <c r="Q8" s="92">
        <v>26</v>
      </c>
      <c r="R8" s="92"/>
      <c r="T8" s="56"/>
      <c r="U8" s="88">
        <f>F8</f>
        <v>20</v>
      </c>
      <c r="W8" s="49"/>
      <c r="X8" s="92">
        <v>18</v>
      </c>
      <c r="Y8" s="92"/>
      <c r="AA8" s="56"/>
      <c r="AB8" s="88">
        <f>F8</f>
        <v>20</v>
      </c>
      <c r="AD8" s="49"/>
      <c r="AE8" s="92">
        <v>0</v>
      </c>
      <c r="AG8" s="56"/>
      <c r="AH8" s="88">
        <f>F8</f>
        <v>20</v>
      </c>
      <c r="AJ8" s="49"/>
      <c r="AK8" s="92">
        <v>0</v>
      </c>
      <c r="AM8" s="56"/>
      <c r="AN8" s="88">
        <f>N8</f>
        <v>20</v>
      </c>
      <c r="AP8" s="49"/>
      <c r="AQ8" s="92">
        <v>0</v>
      </c>
      <c r="AS8" s="56"/>
      <c r="AT8" s="88">
        <f>F8</f>
        <v>20</v>
      </c>
      <c r="AV8" s="49"/>
      <c r="AW8" s="92">
        <v>0</v>
      </c>
      <c r="AY8" s="56"/>
      <c r="AZ8" s="88">
        <f>F8</f>
        <v>20</v>
      </c>
    </row>
    <row r="9" spans="2:52" x14ac:dyDescent="0.2">
      <c r="B9" s="8"/>
      <c r="C9" s="8"/>
      <c r="D9" s="8"/>
      <c r="E9" s="29" t="s">
        <v>51</v>
      </c>
      <c r="F9" s="149">
        <v>20</v>
      </c>
      <c r="G9" s="149"/>
      <c r="H9" s="56"/>
      <c r="I9" s="57"/>
      <c r="J9" s="150">
        <v>15.4</v>
      </c>
      <c r="K9" s="150"/>
      <c r="M9" s="56"/>
      <c r="N9" s="151">
        <f>F9</f>
        <v>20</v>
      </c>
      <c r="P9" s="49"/>
      <c r="Q9" s="150">
        <v>14.6</v>
      </c>
      <c r="R9" s="150"/>
      <c r="T9" s="56"/>
      <c r="U9" s="151">
        <f>F9</f>
        <v>20</v>
      </c>
      <c r="W9" s="49"/>
      <c r="X9" s="150">
        <v>27.7</v>
      </c>
      <c r="Y9" s="150"/>
      <c r="AA9" s="56"/>
      <c r="AB9" s="151">
        <f>F9</f>
        <v>20</v>
      </c>
      <c r="AD9" s="49"/>
      <c r="AE9" s="150">
        <v>0</v>
      </c>
      <c r="AG9" s="56"/>
      <c r="AH9" s="151">
        <f>F9</f>
        <v>20</v>
      </c>
      <c r="AJ9" s="49"/>
      <c r="AK9" s="150">
        <v>0</v>
      </c>
      <c r="AM9" s="56"/>
      <c r="AN9" s="151">
        <f>N9</f>
        <v>20</v>
      </c>
      <c r="AP9" s="49"/>
      <c r="AQ9" s="150">
        <v>0</v>
      </c>
      <c r="AS9" s="56"/>
      <c r="AT9" s="151">
        <f>F9</f>
        <v>20</v>
      </c>
      <c r="AV9" s="49"/>
      <c r="AW9" s="150">
        <v>0</v>
      </c>
      <c r="AY9" s="56"/>
      <c r="AZ9" s="151">
        <f>F9</f>
        <v>20</v>
      </c>
    </row>
    <row r="10" spans="2:52" x14ac:dyDescent="0.2">
      <c r="B10" s="8"/>
      <c r="C10" s="8"/>
      <c r="D10" s="8"/>
      <c r="E10" s="29" t="s">
        <v>52</v>
      </c>
      <c r="F10" s="90">
        <f>F9*5280</f>
        <v>105600</v>
      </c>
      <c r="G10" s="90"/>
      <c r="H10" s="56"/>
      <c r="I10" s="57"/>
      <c r="J10" s="92">
        <f>ROUND(J9*5280,0)</f>
        <v>81312</v>
      </c>
      <c r="K10" s="92"/>
      <c r="M10" s="56"/>
      <c r="N10" s="88">
        <f>F10</f>
        <v>105600</v>
      </c>
      <c r="P10" s="49"/>
      <c r="Q10" s="92">
        <f>ROUND(Q9*5280,0)</f>
        <v>77088</v>
      </c>
      <c r="R10" s="92"/>
      <c r="T10" s="56"/>
      <c r="U10" s="88">
        <f>F10</f>
        <v>105600</v>
      </c>
      <c r="W10" s="49"/>
      <c r="X10" s="92">
        <f>ROUND(X9*5280,0)</f>
        <v>146256</v>
      </c>
      <c r="Y10" s="92"/>
      <c r="AA10" s="56"/>
      <c r="AB10" s="88">
        <f>F10</f>
        <v>105600</v>
      </c>
      <c r="AD10" s="49"/>
      <c r="AE10" s="92">
        <f>ROUND(AE9*5280,0)</f>
        <v>0</v>
      </c>
      <c r="AG10" s="56"/>
      <c r="AH10" s="88">
        <f>F10</f>
        <v>105600</v>
      </c>
      <c r="AJ10" s="49"/>
      <c r="AK10" s="92">
        <f>ROUND(AK9*5280,0)</f>
        <v>0</v>
      </c>
      <c r="AM10" s="56"/>
      <c r="AN10" s="88">
        <f>N10</f>
        <v>105600</v>
      </c>
      <c r="AP10" s="49"/>
      <c r="AQ10" s="92">
        <f>ROUND(AQ9*5280,0)</f>
        <v>0</v>
      </c>
      <c r="AS10" s="56"/>
      <c r="AT10" s="88">
        <f>F10</f>
        <v>105600</v>
      </c>
      <c r="AV10" s="49"/>
      <c r="AW10" s="92">
        <f>ROUND(AW9*5280,0)</f>
        <v>0</v>
      </c>
      <c r="AY10" s="56"/>
      <c r="AZ10" s="88">
        <f>F10</f>
        <v>105600</v>
      </c>
    </row>
    <row r="11" spans="2:52" x14ac:dyDescent="0.2">
      <c r="B11" s="8"/>
      <c r="C11" s="8"/>
      <c r="D11" s="8"/>
      <c r="E11" s="29" t="s">
        <v>53</v>
      </c>
      <c r="F11" s="90">
        <f>F9*F8</f>
        <v>400</v>
      </c>
      <c r="G11" s="90"/>
      <c r="H11" s="56"/>
      <c r="I11" s="57"/>
      <c r="J11" s="92">
        <f>ROUND(J9*J8,0)</f>
        <v>308</v>
      </c>
      <c r="K11" s="92"/>
      <c r="M11" s="56"/>
      <c r="N11" s="88">
        <f>F11</f>
        <v>400</v>
      </c>
      <c r="P11" s="49"/>
      <c r="Q11" s="92">
        <f>ROUND(Q9*Q8,0)</f>
        <v>380</v>
      </c>
      <c r="R11" s="92"/>
      <c r="T11" s="56"/>
      <c r="U11" s="88">
        <f>F11</f>
        <v>400</v>
      </c>
      <c r="W11" s="49"/>
      <c r="X11" s="92">
        <f>ROUND(X9*X8,0)</f>
        <v>499</v>
      </c>
      <c r="Y11" s="92"/>
      <c r="AA11" s="56"/>
      <c r="AB11" s="88">
        <f>F11</f>
        <v>400</v>
      </c>
      <c r="AD11" s="49"/>
      <c r="AE11" s="92">
        <f>ROUND(AE9*AE8,0)</f>
        <v>0</v>
      </c>
      <c r="AG11" s="56"/>
      <c r="AH11" s="88">
        <f>F11</f>
        <v>400</v>
      </c>
      <c r="AJ11" s="49"/>
      <c r="AK11" s="92">
        <f>ROUND(AK9*AK8,0)</f>
        <v>0</v>
      </c>
      <c r="AM11" s="56"/>
      <c r="AN11" s="88">
        <f>N11</f>
        <v>400</v>
      </c>
      <c r="AP11" s="49"/>
      <c r="AQ11" s="92">
        <f>ROUND(AQ9*AQ8,0)</f>
        <v>0</v>
      </c>
      <c r="AS11" s="56"/>
      <c r="AT11" s="88">
        <f>F11</f>
        <v>400</v>
      </c>
      <c r="AV11" s="49"/>
      <c r="AW11" s="92">
        <f>ROUND(AW9*AW8,0)</f>
        <v>0</v>
      </c>
      <c r="AY11" s="56"/>
      <c r="AZ11" s="88">
        <f>F11</f>
        <v>400</v>
      </c>
    </row>
    <row r="12" spans="2:52" ht="8.1" customHeight="1" thickBot="1" x14ac:dyDescent="0.25">
      <c r="M12" s="27"/>
      <c r="N12" s="27"/>
      <c r="T12" s="27"/>
      <c r="U12" s="27"/>
      <c r="AA12" s="27"/>
      <c r="AB12" s="27"/>
      <c r="AG12" s="27"/>
      <c r="AH12" s="27"/>
      <c r="AM12" s="27"/>
      <c r="AN12" s="27"/>
      <c r="AS12" s="27"/>
      <c r="AT12" s="27"/>
      <c r="AY12" s="27"/>
      <c r="AZ12" s="27"/>
    </row>
    <row r="13" spans="2:52" ht="3" customHeight="1" x14ac:dyDescent="0.2">
      <c r="B13" s="58"/>
      <c r="C13" s="59"/>
      <c r="D13" s="60"/>
      <c r="E13" s="60"/>
      <c r="F13" s="60"/>
      <c r="G13" s="60"/>
      <c r="H13" s="61"/>
      <c r="I13" s="62"/>
      <c r="J13" s="63"/>
      <c r="K13" s="63"/>
      <c r="M13" s="64"/>
      <c r="N13" s="64"/>
      <c r="P13" s="62"/>
      <c r="Q13" s="63"/>
      <c r="R13" s="63"/>
      <c r="T13" s="64"/>
      <c r="U13" s="64"/>
      <c r="W13" s="62"/>
      <c r="X13" s="63"/>
      <c r="Y13" s="63"/>
      <c r="AA13" s="64"/>
      <c r="AB13" s="64"/>
      <c r="AD13" s="62"/>
      <c r="AE13" s="63"/>
      <c r="AG13" s="64"/>
      <c r="AH13" s="64"/>
      <c r="AJ13" s="62"/>
      <c r="AK13" s="63"/>
      <c r="AM13" s="64"/>
      <c r="AN13" s="64"/>
      <c r="AP13" s="62"/>
      <c r="AQ13" s="63"/>
      <c r="AS13" s="64"/>
      <c r="AT13" s="64"/>
      <c r="AV13" s="62"/>
      <c r="AW13" s="63"/>
      <c r="AY13" s="64"/>
      <c r="AZ13" s="64"/>
    </row>
    <row r="14" spans="2:52" x14ac:dyDescent="0.2">
      <c r="B14" s="65" t="s">
        <v>0</v>
      </c>
      <c r="C14" s="66" t="s">
        <v>1</v>
      </c>
      <c r="D14" s="67" t="s">
        <v>2</v>
      </c>
      <c r="E14" s="67" t="s">
        <v>3</v>
      </c>
      <c r="F14" s="67" t="s">
        <v>28</v>
      </c>
      <c r="G14" s="67" t="s">
        <v>85</v>
      </c>
      <c r="H14" s="68"/>
      <c r="I14" s="69" t="s">
        <v>3</v>
      </c>
      <c r="J14" s="70" t="s">
        <v>28</v>
      </c>
      <c r="K14" s="70" t="s">
        <v>85</v>
      </c>
      <c r="M14" s="71" t="s">
        <v>3</v>
      </c>
      <c r="N14" s="72" t="s">
        <v>28</v>
      </c>
      <c r="P14" s="69" t="s">
        <v>3</v>
      </c>
      <c r="Q14" s="70" t="s">
        <v>28</v>
      </c>
      <c r="R14" s="70" t="s">
        <v>85</v>
      </c>
      <c r="T14" s="71" t="s">
        <v>3</v>
      </c>
      <c r="U14" s="72" t="s">
        <v>28</v>
      </c>
      <c r="W14" s="69" t="s">
        <v>3</v>
      </c>
      <c r="X14" s="70" t="s">
        <v>28</v>
      </c>
      <c r="Y14" s="70" t="s">
        <v>85</v>
      </c>
      <c r="AA14" s="71" t="s">
        <v>3</v>
      </c>
      <c r="AB14" s="72" t="s">
        <v>28</v>
      </c>
      <c r="AD14" s="69" t="s">
        <v>3</v>
      </c>
      <c r="AE14" s="70" t="s">
        <v>28</v>
      </c>
      <c r="AG14" s="71" t="s">
        <v>3</v>
      </c>
      <c r="AH14" s="72" t="s">
        <v>28</v>
      </c>
      <c r="AJ14" s="69" t="s">
        <v>3</v>
      </c>
      <c r="AK14" s="70" t="s">
        <v>28</v>
      </c>
      <c r="AM14" s="71" t="s">
        <v>3</v>
      </c>
      <c r="AN14" s="72" t="s">
        <v>28</v>
      </c>
      <c r="AP14" s="69" t="s">
        <v>3</v>
      </c>
      <c r="AQ14" s="70" t="s">
        <v>28</v>
      </c>
      <c r="AS14" s="71" t="s">
        <v>3</v>
      </c>
      <c r="AT14" s="72" t="s">
        <v>28</v>
      </c>
      <c r="AV14" s="69" t="s">
        <v>3</v>
      </c>
      <c r="AW14" s="70" t="s">
        <v>28</v>
      </c>
      <c r="AY14" s="71" t="s">
        <v>3</v>
      </c>
      <c r="AZ14" s="72" t="s">
        <v>28</v>
      </c>
    </row>
    <row r="15" spans="2:52" ht="3" customHeight="1" thickBot="1" x14ac:dyDescent="0.25">
      <c r="B15" s="73"/>
      <c r="C15" s="74"/>
      <c r="D15" s="75"/>
      <c r="E15" s="75"/>
      <c r="F15" s="75"/>
      <c r="G15" s="75"/>
      <c r="H15" s="61"/>
      <c r="I15" s="76"/>
      <c r="J15" s="77"/>
      <c r="K15" s="77"/>
      <c r="M15" s="73"/>
      <c r="N15" s="73"/>
      <c r="P15" s="76"/>
      <c r="Q15" s="77"/>
      <c r="R15" s="77"/>
      <c r="T15" s="73"/>
      <c r="U15" s="73"/>
      <c r="W15" s="76"/>
      <c r="X15" s="77"/>
      <c r="Y15" s="77"/>
      <c r="AA15" s="73"/>
      <c r="AB15" s="73"/>
      <c r="AD15" s="76"/>
      <c r="AE15" s="77"/>
      <c r="AG15" s="73"/>
      <c r="AH15" s="73"/>
      <c r="AJ15" s="76"/>
      <c r="AK15" s="77"/>
      <c r="AM15" s="73"/>
      <c r="AN15" s="73"/>
      <c r="AP15" s="76"/>
      <c r="AQ15" s="77"/>
      <c r="AS15" s="73"/>
      <c r="AT15" s="73"/>
      <c r="AV15" s="76"/>
      <c r="AW15" s="77"/>
      <c r="AY15" s="73"/>
      <c r="AZ15" s="73"/>
    </row>
    <row r="16" spans="2:52" ht="6" customHeight="1" x14ac:dyDescent="0.2">
      <c r="H16" s="61"/>
      <c r="I16" s="1"/>
    </row>
    <row r="17" spans="2:52" x14ac:dyDescent="0.2">
      <c r="B17" s="78" t="s">
        <v>72</v>
      </c>
      <c r="C17" s="23"/>
      <c r="D17" s="79"/>
      <c r="E17" s="79"/>
      <c r="F17" s="79"/>
      <c r="G17" s="79"/>
      <c r="H17" s="80"/>
      <c r="I17" s="1"/>
      <c r="M17" s="81">
        <v>1</v>
      </c>
      <c r="N17" s="81">
        <v>1</v>
      </c>
      <c r="T17" s="81">
        <v>1</v>
      </c>
      <c r="U17" s="81">
        <f>1</f>
        <v>1</v>
      </c>
      <c r="AA17" s="81">
        <f>1</f>
        <v>1</v>
      </c>
      <c r="AB17" s="81">
        <v>1</v>
      </c>
      <c r="AG17" s="81">
        <f>1</f>
        <v>1</v>
      </c>
      <c r="AH17" s="81">
        <v>1</v>
      </c>
      <c r="AM17" s="81">
        <f>1</f>
        <v>1</v>
      </c>
      <c r="AN17" s="81">
        <v>1</v>
      </c>
      <c r="AS17" s="81">
        <f>1</f>
        <v>1</v>
      </c>
      <c r="AT17" s="81">
        <v>1</v>
      </c>
      <c r="AY17" s="81">
        <f>1</f>
        <v>1</v>
      </c>
      <c r="AZ17" s="81">
        <v>1</v>
      </c>
    </row>
    <row r="18" spans="2:52" x14ac:dyDescent="0.2">
      <c r="B18" s="22" t="s">
        <v>4</v>
      </c>
      <c r="C18" s="23">
        <v>105600</v>
      </c>
      <c r="D18" s="79" t="s">
        <v>6</v>
      </c>
      <c r="E18" s="82">
        <f>4224000</f>
        <v>4224000</v>
      </c>
      <c r="F18" s="82">
        <f>E18/F11</f>
        <v>10560</v>
      </c>
      <c r="G18" s="82"/>
      <c r="H18" s="80"/>
      <c r="I18" s="83">
        <f>4800000</f>
        <v>4800000</v>
      </c>
      <c r="J18" s="87">
        <f>I18/J11</f>
        <v>15584.415584415585</v>
      </c>
      <c r="K18" s="87"/>
      <c r="M18" s="173">
        <f>ROUND(J18*N11*M17*N17,-3)</f>
        <v>6234000</v>
      </c>
      <c r="N18" s="82">
        <f>M18/N11</f>
        <v>15585</v>
      </c>
      <c r="P18" s="83">
        <f>14000000</f>
        <v>14000000</v>
      </c>
      <c r="Q18" s="87">
        <f>P18/Q11</f>
        <v>36842.105263157893</v>
      </c>
      <c r="R18" s="87"/>
      <c r="T18" s="20">
        <f>ROUND(Q18*U11*T17*U17,-3)</f>
        <v>14737000</v>
      </c>
      <c r="U18" s="82">
        <f>T18/U11</f>
        <v>36842.5</v>
      </c>
      <c r="W18" s="83">
        <f>9500000</f>
        <v>9500000</v>
      </c>
      <c r="X18" s="87">
        <f>W18/X11</f>
        <v>19038.076152304609</v>
      </c>
      <c r="Y18" s="87"/>
      <c r="AA18" s="20">
        <f>ROUND(X18*AB11*AA17*AB17,-3)</f>
        <v>7615000</v>
      </c>
      <c r="AB18" s="82">
        <f>AA18/AB11</f>
        <v>19037.5</v>
      </c>
      <c r="AD18" s="83">
        <v>0</v>
      </c>
      <c r="AE18" s="87" t="e">
        <f>AD18/AE11</f>
        <v>#DIV/0!</v>
      </c>
      <c r="AG18" s="20" t="e">
        <f>ROUND(AE18*AH11*AG17*AH17,-3)</f>
        <v>#DIV/0!</v>
      </c>
      <c r="AH18" s="82" t="e">
        <f>AG18/AH11</f>
        <v>#DIV/0!</v>
      </c>
      <c r="AJ18" s="83">
        <v>0</v>
      </c>
      <c r="AK18" s="87" t="e">
        <f>AJ18/AK11</f>
        <v>#DIV/0!</v>
      </c>
      <c r="AM18" s="20" t="e">
        <f>ROUND(AK18*AN11*AM17*AN17,-3)</f>
        <v>#DIV/0!</v>
      </c>
      <c r="AN18" s="82" t="e">
        <f>AM18/AN11</f>
        <v>#DIV/0!</v>
      </c>
      <c r="AP18" s="83">
        <v>0</v>
      </c>
      <c r="AQ18" s="87" t="e">
        <f>AP18/AQ11</f>
        <v>#DIV/0!</v>
      </c>
      <c r="AS18" s="20" t="e">
        <f>ROUND(AQ18*AT11*AS17*AT17,-3)</f>
        <v>#DIV/0!</v>
      </c>
      <c r="AT18" s="82" t="e">
        <f>AS18/AT11</f>
        <v>#DIV/0!</v>
      </c>
      <c r="AV18" s="83">
        <v>0</v>
      </c>
      <c r="AW18" s="87" t="e">
        <f>AV18/AW11</f>
        <v>#DIV/0!</v>
      </c>
      <c r="AY18" s="20" t="e">
        <f>ROUND(AW18*AZ11*AY17*AZ17,-3)</f>
        <v>#DIV/0!</v>
      </c>
      <c r="AZ18" s="82" t="e">
        <f>AY18/AZ11</f>
        <v>#DIV/0!</v>
      </c>
    </row>
    <row r="19" spans="2:52" x14ac:dyDescent="0.2">
      <c r="B19" s="172" t="s">
        <v>107</v>
      </c>
      <c r="C19" s="23">
        <v>0</v>
      </c>
      <c r="D19" s="88">
        <v>0</v>
      </c>
      <c r="E19" s="88">
        <v>0</v>
      </c>
      <c r="F19" s="88">
        <v>0</v>
      </c>
      <c r="G19" s="82"/>
      <c r="H19" s="80"/>
      <c r="I19" s="89">
        <v>0</v>
      </c>
      <c r="J19" s="89">
        <f>I19/J11</f>
        <v>0</v>
      </c>
      <c r="K19" s="89"/>
      <c r="M19" s="174">
        <f>ROUND(M18*0.3,-3)</f>
        <v>1870000</v>
      </c>
      <c r="N19" s="182">
        <f>M19/N11</f>
        <v>4675</v>
      </c>
      <c r="P19" s="89">
        <v>0</v>
      </c>
      <c r="Q19" s="89">
        <f>P19/Q11</f>
        <v>0</v>
      </c>
      <c r="R19" s="89"/>
      <c r="T19" s="174">
        <f>ROUND(T18*0.3,-3)</f>
        <v>4421000</v>
      </c>
      <c r="U19" s="182">
        <f>T19/U11</f>
        <v>11052.5</v>
      </c>
      <c r="W19" s="89">
        <v>0</v>
      </c>
      <c r="X19" s="89">
        <f>W19/X11</f>
        <v>0</v>
      </c>
      <c r="Y19" s="89"/>
      <c r="AA19" s="174">
        <f>ROUND(AA18*0.3,-3)</f>
        <v>2285000</v>
      </c>
      <c r="AB19" s="182">
        <f>AA19/AB11</f>
        <v>5712.5</v>
      </c>
      <c r="AD19" s="89">
        <v>0</v>
      </c>
      <c r="AE19" s="87" t="e">
        <f>AD19/AE11</f>
        <v>#DIV/0!</v>
      </c>
      <c r="AG19" s="173" t="e">
        <f>ROUND(AE19*AH11*AG17*AH17,-3)</f>
        <v>#DIV/0!</v>
      </c>
      <c r="AH19" s="82" t="e">
        <f>AG19/AH11</f>
        <v>#DIV/0!</v>
      </c>
      <c r="AJ19" s="89">
        <v>0</v>
      </c>
      <c r="AK19" s="87" t="e">
        <f>AJ19/AK11</f>
        <v>#DIV/0!</v>
      </c>
      <c r="AM19" s="173" t="e">
        <f>ROUND(AK19*AN11*AM17*AN17,-3)</f>
        <v>#DIV/0!</v>
      </c>
      <c r="AN19" s="82" t="e">
        <f>AM19/AN11</f>
        <v>#DIV/0!</v>
      </c>
      <c r="AP19" s="89">
        <v>0</v>
      </c>
      <c r="AQ19" s="87" t="e">
        <f>AP19/AQ11</f>
        <v>#DIV/0!</v>
      </c>
      <c r="AS19" s="173" t="e">
        <f>ROUND(AQ19*AT11*AS17*AT17,-3)</f>
        <v>#DIV/0!</v>
      </c>
      <c r="AT19" s="82" t="e">
        <f>AS19/AT11</f>
        <v>#DIV/0!</v>
      </c>
      <c r="AV19" s="89">
        <v>0</v>
      </c>
      <c r="AW19" s="87" t="e">
        <f>AV19/AW11</f>
        <v>#DIV/0!</v>
      </c>
      <c r="AY19" s="173" t="e">
        <f>ROUND(AW19*AZ11*AY17*AZ17,-3)</f>
        <v>#DIV/0!</v>
      </c>
      <c r="AZ19" s="82" t="e">
        <f>AY19/AZ11</f>
        <v>#DIV/0!</v>
      </c>
    </row>
    <row r="20" spans="2:52" x14ac:dyDescent="0.2">
      <c r="B20" s="22" t="s">
        <v>73</v>
      </c>
      <c r="C20" s="23">
        <v>105600</v>
      </c>
      <c r="D20" s="79" t="s">
        <v>6</v>
      </c>
      <c r="E20" s="88">
        <f>132000</f>
        <v>132000</v>
      </c>
      <c r="F20" s="88">
        <f>E20/F11</f>
        <v>330</v>
      </c>
      <c r="G20" s="88"/>
      <c r="H20" s="80"/>
      <c r="I20" s="89">
        <v>0</v>
      </c>
      <c r="J20" s="89">
        <f>I20/J11</f>
        <v>0</v>
      </c>
      <c r="K20" s="89"/>
      <c r="M20" s="85">
        <f>ROUND(J20*N11*M17*N17,-3)</f>
        <v>0</v>
      </c>
      <c r="N20" s="88">
        <f>M20/N11</f>
        <v>0</v>
      </c>
      <c r="P20" s="89">
        <v>0</v>
      </c>
      <c r="Q20" s="89">
        <f>P20/Q11</f>
        <v>0</v>
      </c>
      <c r="R20" s="89"/>
      <c r="T20" s="85">
        <f>ROUND(Q20*U11*T17*U17,-3)</f>
        <v>0</v>
      </c>
      <c r="U20" s="88">
        <f>T20/U11</f>
        <v>0</v>
      </c>
      <c r="W20" s="89">
        <v>0</v>
      </c>
      <c r="X20" s="89">
        <f>W20/X11</f>
        <v>0</v>
      </c>
      <c r="Y20" s="89"/>
      <c r="AA20" s="85">
        <f>ROUND(X20*AB11*AA17*AB17,-3)</f>
        <v>0</v>
      </c>
      <c r="AB20" s="88">
        <f>AA20/AB11</f>
        <v>0</v>
      </c>
      <c r="AD20" s="89">
        <v>0</v>
      </c>
      <c r="AE20" s="89" t="e">
        <f>AD20/AE11</f>
        <v>#DIV/0!</v>
      </c>
      <c r="AG20" s="85" t="e">
        <f>ROUND(AE20*AH11*AG17*AH17,-3)</f>
        <v>#DIV/0!</v>
      </c>
      <c r="AH20" s="88" t="e">
        <f>AG20/AH11</f>
        <v>#DIV/0!</v>
      </c>
      <c r="AJ20" s="89">
        <v>0</v>
      </c>
      <c r="AK20" s="89" t="e">
        <f>AJ20/AK11</f>
        <v>#DIV/0!</v>
      </c>
      <c r="AM20" s="85" t="e">
        <f>ROUND(AK20*AN11*AM17*AN17,-3)</f>
        <v>#DIV/0!</v>
      </c>
      <c r="AN20" s="88" t="e">
        <f>AM20/AN11</f>
        <v>#DIV/0!</v>
      </c>
      <c r="AP20" s="89">
        <v>0</v>
      </c>
      <c r="AQ20" s="89" t="e">
        <f>AP20/AQ11</f>
        <v>#DIV/0!</v>
      </c>
      <c r="AS20" s="85" t="e">
        <f>ROUND(AQ20*AT11*AS17*AT17,-3)</f>
        <v>#DIV/0!</v>
      </c>
      <c r="AT20" s="88" t="e">
        <f>AS20/AT11</f>
        <v>#DIV/0!</v>
      </c>
      <c r="AV20" s="89">
        <v>0</v>
      </c>
      <c r="AW20" s="89" t="e">
        <f>AV20/AW11</f>
        <v>#DIV/0!</v>
      </c>
      <c r="AY20" s="85" t="e">
        <f>ROUND(AW20*AZ11*AY17*AZ17,-3)</f>
        <v>#DIV/0!</v>
      </c>
      <c r="AZ20" s="88" t="e">
        <f>AY20/AZ11</f>
        <v>#DIV/0!</v>
      </c>
    </row>
    <row r="21" spans="2:52" x14ac:dyDescent="0.2">
      <c r="B21" s="22" t="s">
        <v>77</v>
      </c>
      <c r="C21" s="90">
        <v>1</v>
      </c>
      <c r="D21" s="79" t="s">
        <v>7</v>
      </c>
      <c r="E21" s="88">
        <f>18503+2000+7000</f>
        <v>27503</v>
      </c>
      <c r="F21" s="88">
        <f>E21/F11</f>
        <v>68.757499999999993</v>
      </c>
      <c r="G21" s="88"/>
      <c r="H21" s="80"/>
      <c r="I21" s="89">
        <v>0</v>
      </c>
      <c r="J21" s="89">
        <f>I21/J11</f>
        <v>0</v>
      </c>
      <c r="K21" s="89"/>
      <c r="M21" s="85">
        <f>ROUND(J21*N11*M17*N17,-3)</f>
        <v>0</v>
      </c>
      <c r="N21" s="88">
        <f>M21/N11</f>
        <v>0</v>
      </c>
      <c r="P21" s="89">
        <v>0</v>
      </c>
      <c r="Q21" s="89">
        <f>P21/Q11</f>
        <v>0</v>
      </c>
      <c r="R21" s="89"/>
      <c r="T21" s="85">
        <f>ROUND(Q21*U11*T17*U17,-3)</f>
        <v>0</v>
      </c>
      <c r="U21" s="88">
        <f>T21/U11</f>
        <v>0</v>
      </c>
      <c r="W21" s="89">
        <v>0</v>
      </c>
      <c r="X21" s="89">
        <f>W21/X11</f>
        <v>0</v>
      </c>
      <c r="Y21" s="89"/>
      <c r="AA21" s="85">
        <f>ROUND(X21*AB11*AA17*AB17,-3)</f>
        <v>0</v>
      </c>
      <c r="AB21" s="88">
        <f>AA21/AB11</f>
        <v>0</v>
      </c>
      <c r="AD21" s="89">
        <v>0</v>
      </c>
      <c r="AE21" s="89" t="e">
        <f>AD21/AE11</f>
        <v>#DIV/0!</v>
      </c>
      <c r="AG21" s="85" t="e">
        <f>ROUND(AE21*AH11*AG17*AH17,-3)</f>
        <v>#DIV/0!</v>
      </c>
      <c r="AH21" s="88" t="e">
        <f>AG21/AH11</f>
        <v>#DIV/0!</v>
      </c>
      <c r="AJ21" s="89">
        <v>0</v>
      </c>
      <c r="AK21" s="89" t="e">
        <f>AJ21/AK11</f>
        <v>#DIV/0!</v>
      </c>
      <c r="AM21" s="85" t="e">
        <f>ROUND(AK21*AN11*AM17*AN17,-3)</f>
        <v>#DIV/0!</v>
      </c>
      <c r="AN21" s="88" t="e">
        <f>AM21/AN11</f>
        <v>#DIV/0!</v>
      </c>
      <c r="AP21" s="89">
        <v>0</v>
      </c>
      <c r="AQ21" s="89" t="e">
        <f>AP21/AQ11</f>
        <v>#DIV/0!</v>
      </c>
      <c r="AS21" s="85" t="e">
        <f>ROUND(AQ21*AT11*AS17*AT17,-3)</f>
        <v>#DIV/0!</v>
      </c>
      <c r="AT21" s="88" t="e">
        <f>AS21/AT11</f>
        <v>#DIV/0!</v>
      </c>
      <c r="AV21" s="89">
        <v>0</v>
      </c>
      <c r="AW21" s="89" t="e">
        <f>AV21/AW11</f>
        <v>#DIV/0!</v>
      </c>
      <c r="AY21" s="85" t="e">
        <f>ROUND(AW21*AZ11*AY17*AZ17,-3)</f>
        <v>#DIV/0!</v>
      </c>
      <c r="AZ21" s="88" t="e">
        <f>AY21/AZ11</f>
        <v>#DIV/0!</v>
      </c>
    </row>
    <row r="22" spans="2:52" ht="6" customHeight="1" x14ac:dyDescent="0.2">
      <c r="B22" s="27"/>
      <c r="C22" s="23"/>
      <c r="D22" s="79"/>
      <c r="E22" s="88"/>
      <c r="F22" s="79"/>
      <c r="G22" s="79"/>
      <c r="H22" s="80"/>
      <c r="J22" s="32"/>
      <c r="K22" s="32"/>
      <c r="M22" s="23"/>
      <c r="N22" s="79"/>
      <c r="P22" s="32"/>
      <c r="Q22" s="32"/>
      <c r="R22" s="32"/>
      <c r="T22" s="23"/>
      <c r="U22" s="79"/>
      <c r="W22" s="32"/>
      <c r="X22" s="32"/>
      <c r="Y22" s="32"/>
      <c r="AA22" s="23"/>
      <c r="AB22" s="79"/>
      <c r="AD22" s="32"/>
      <c r="AE22" s="32"/>
      <c r="AG22" s="23"/>
      <c r="AH22" s="79"/>
      <c r="AJ22" s="32"/>
      <c r="AK22" s="32"/>
      <c r="AM22" s="23"/>
      <c r="AN22" s="79"/>
      <c r="AP22" s="32"/>
      <c r="AQ22" s="32"/>
      <c r="AS22" s="23"/>
      <c r="AT22" s="79"/>
      <c r="AV22" s="32"/>
      <c r="AW22" s="32"/>
      <c r="AY22" s="23"/>
      <c r="AZ22" s="79"/>
    </row>
    <row r="23" spans="2:52" x14ac:dyDescent="0.2">
      <c r="B23" s="22" t="s">
        <v>74</v>
      </c>
      <c r="C23" s="90">
        <v>1000</v>
      </c>
      <c r="D23" s="79" t="s">
        <v>6</v>
      </c>
      <c r="E23" s="88">
        <f>234412+82688</f>
        <v>317100</v>
      </c>
      <c r="F23" s="88">
        <f>E23/F11</f>
        <v>792.75</v>
      </c>
      <c r="G23" s="88"/>
      <c r="H23" s="80"/>
      <c r="I23" s="89">
        <v>0</v>
      </c>
      <c r="J23" s="91">
        <v>0</v>
      </c>
      <c r="K23" s="91"/>
      <c r="M23" s="85">
        <f>ROUND(J23*N11*M17*N17,-3)</f>
        <v>0</v>
      </c>
      <c r="N23" s="88">
        <f>M23/N11</f>
        <v>0</v>
      </c>
      <c r="P23" s="89">
        <v>0</v>
      </c>
      <c r="Q23" s="91">
        <v>0</v>
      </c>
      <c r="R23" s="91"/>
      <c r="T23" s="85">
        <f>ROUND(Q23*U11*T17*U17,-3)</f>
        <v>0</v>
      </c>
      <c r="U23" s="88">
        <f>T23/U11</f>
        <v>0</v>
      </c>
      <c r="W23" s="89">
        <v>0</v>
      </c>
      <c r="X23" s="91">
        <v>0</v>
      </c>
      <c r="Y23" s="91"/>
      <c r="AA23" s="85">
        <f>ROUND(X23*AB11*AA17*AB17,-3)</f>
        <v>0</v>
      </c>
      <c r="AB23" s="88">
        <f>AA23/AB11</f>
        <v>0</v>
      </c>
      <c r="AD23" s="89">
        <v>0</v>
      </c>
      <c r="AE23" s="91">
        <v>0</v>
      </c>
      <c r="AG23" s="85">
        <f>ROUND(AE23*AH11*AG17*AH17,-3)</f>
        <v>0</v>
      </c>
      <c r="AH23" s="88">
        <f>AG23/AH11</f>
        <v>0</v>
      </c>
      <c r="AJ23" s="89">
        <v>0</v>
      </c>
      <c r="AK23" s="113" t="e">
        <f>AJ23/AK11</f>
        <v>#DIV/0!</v>
      </c>
      <c r="AM23" s="85" t="e">
        <f>ROUND(AK23*AN11*AM17*AN17,-3)</f>
        <v>#DIV/0!</v>
      </c>
      <c r="AN23" s="88" t="e">
        <f>AM23/AN11</f>
        <v>#DIV/0!</v>
      </c>
      <c r="AP23" s="89">
        <v>0</v>
      </c>
      <c r="AQ23" s="113" t="e">
        <f>AP23/AQ11</f>
        <v>#DIV/0!</v>
      </c>
      <c r="AS23" s="85" t="e">
        <f>ROUND(AQ23*AT11*AS17*AT17,-3)</f>
        <v>#DIV/0!</v>
      </c>
      <c r="AT23" s="88" t="e">
        <f>AS23/AT11</f>
        <v>#DIV/0!</v>
      </c>
      <c r="AV23" s="89">
        <v>0</v>
      </c>
      <c r="AW23" s="113" t="e">
        <f>AV23/AW11</f>
        <v>#DIV/0!</v>
      </c>
      <c r="AY23" s="85" t="e">
        <f>ROUND(AW23*AZ11*AY17*AZ17,-3)</f>
        <v>#DIV/0!</v>
      </c>
      <c r="AZ23" s="88" t="e">
        <f>AY23/AZ11</f>
        <v>#DIV/0!</v>
      </c>
    </row>
    <row r="24" spans="2:52" x14ac:dyDescent="0.2">
      <c r="B24" s="22" t="s">
        <v>75</v>
      </c>
      <c r="C24" s="90">
        <v>2</v>
      </c>
      <c r="D24" s="79" t="s">
        <v>41</v>
      </c>
      <c r="E24" s="88">
        <v>12000</v>
      </c>
      <c r="F24" s="88">
        <f>E24/F11</f>
        <v>30</v>
      </c>
      <c r="G24" s="88"/>
      <c r="H24" s="80"/>
      <c r="I24" s="89">
        <v>0</v>
      </c>
      <c r="J24" s="91">
        <f>I24/J11</f>
        <v>0</v>
      </c>
      <c r="K24" s="91"/>
      <c r="M24" s="85">
        <f>ROUND(J24*N11*M17*N17,-3)</f>
        <v>0</v>
      </c>
      <c r="N24" s="88">
        <f>M24/N11</f>
        <v>0</v>
      </c>
      <c r="P24" s="89">
        <v>0</v>
      </c>
      <c r="Q24" s="91">
        <f>P24/Q11</f>
        <v>0</v>
      </c>
      <c r="R24" s="91"/>
      <c r="T24" s="85">
        <f>ROUND(Q24*U11*T17*U17,-3)</f>
        <v>0</v>
      </c>
      <c r="U24" s="88">
        <f>T24/U11</f>
        <v>0</v>
      </c>
      <c r="W24" s="89">
        <v>0</v>
      </c>
      <c r="X24" s="91">
        <f>W24/X11</f>
        <v>0</v>
      </c>
      <c r="Y24" s="91"/>
      <c r="AA24" s="85">
        <f>ROUND(X24*AB11*AA17*AB17,-3)</f>
        <v>0</v>
      </c>
      <c r="AB24" s="88">
        <f>AA24/AB11</f>
        <v>0</v>
      </c>
      <c r="AD24" s="89">
        <v>0</v>
      </c>
      <c r="AE24" s="91" t="e">
        <f>AD24/AE11</f>
        <v>#DIV/0!</v>
      </c>
      <c r="AG24" s="85" t="e">
        <f>ROUND(AE24*AH11*AG17*AH17,-3)</f>
        <v>#DIV/0!</v>
      </c>
      <c r="AH24" s="88" t="e">
        <f>AG24/AH11</f>
        <v>#DIV/0!</v>
      </c>
      <c r="AJ24" s="89">
        <v>0</v>
      </c>
      <c r="AK24" s="113" t="e">
        <f>AJ24/AK11</f>
        <v>#DIV/0!</v>
      </c>
      <c r="AM24" s="85" t="e">
        <f>ROUND(AK24*AN11*AM17*AN17,-3)</f>
        <v>#DIV/0!</v>
      </c>
      <c r="AN24" s="88" t="e">
        <f>AM24/AN11</f>
        <v>#DIV/0!</v>
      </c>
      <c r="AP24" s="89">
        <v>0</v>
      </c>
      <c r="AQ24" s="113" t="e">
        <f>AP24/AQ11</f>
        <v>#DIV/0!</v>
      </c>
      <c r="AS24" s="85" t="e">
        <f>ROUND(AQ24*AT11*AS17*AT17,-3)</f>
        <v>#DIV/0!</v>
      </c>
      <c r="AT24" s="88" t="e">
        <f>AS24/AT11</f>
        <v>#DIV/0!</v>
      </c>
      <c r="AV24" s="89">
        <v>0</v>
      </c>
      <c r="AW24" s="113" t="e">
        <f>AV24/AW11</f>
        <v>#DIV/0!</v>
      </c>
      <c r="AY24" s="85" t="e">
        <f>ROUND(AW24*AZ11*AY17*AZ17,-3)</f>
        <v>#DIV/0!</v>
      </c>
      <c r="AZ24" s="88" t="e">
        <f>AY24/AZ11</f>
        <v>#DIV/0!</v>
      </c>
    </row>
    <row r="25" spans="2:52" x14ac:dyDescent="0.2">
      <c r="B25" s="22" t="s">
        <v>76</v>
      </c>
      <c r="C25" s="90">
        <v>105600</v>
      </c>
      <c r="D25" s="79" t="s">
        <v>6</v>
      </c>
      <c r="E25" s="88">
        <v>4419398</v>
      </c>
      <c r="F25" s="88">
        <f>E25/F11</f>
        <v>11048.495000000001</v>
      </c>
      <c r="G25" s="88"/>
      <c r="H25" s="80"/>
      <c r="I25" s="89">
        <v>0</v>
      </c>
      <c r="J25" s="91">
        <f>I25/J11</f>
        <v>0</v>
      </c>
      <c r="K25" s="91"/>
      <c r="M25" s="88">
        <v>0</v>
      </c>
      <c r="N25" s="88">
        <f>M25/N11</f>
        <v>0</v>
      </c>
      <c r="P25" s="89">
        <v>0</v>
      </c>
      <c r="Q25" s="91">
        <f>P25/Q11</f>
        <v>0</v>
      </c>
      <c r="R25" s="91"/>
      <c r="T25" s="85">
        <f>ROUND(Q25*U11*T17*U17,-3)</f>
        <v>0</v>
      </c>
      <c r="U25" s="88">
        <f>T25/U11</f>
        <v>0</v>
      </c>
      <c r="W25" s="89">
        <v>0</v>
      </c>
      <c r="X25" s="91">
        <f>W25/X11</f>
        <v>0</v>
      </c>
      <c r="Y25" s="91"/>
      <c r="AA25" s="85">
        <f>ROUND(X25*AB11*AA17*AB17,-3)</f>
        <v>0</v>
      </c>
      <c r="AB25" s="88">
        <f>AA25/AB11</f>
        <v>0</v>
      </c>
      <c r="AD25" s="89">
        <v>0</v>
      </c>
      <c r="AE25" s="91" t="e">
        <f>AD25/AE11</f>
        <v>#DIV/0!</v>
      </c>
      <c r="AG25" s="85" t="e">
        <f>ROUND(AE25*AH11*AG17*AH17,-3)</f>
        <v>#DIV/0!</v>
      </c>
      <c r="AH25" s="88" t="e">
        <f>AG25/AH11</f>
        <v>#DIV/0!</v>
      </c>
      <c r="AJ25" s="89">
        <v>0</v>
      </c>
      <c r="AK25" s="113" t="e">
        <f>AJ25/AK11</f>
        <v>#DIV/0!</v>
      </c>
      <c r="AM25" s="85" t="e">
        <f>ROUND(AK25*AN11*AM17*AN17,-3)</f>
        <v>#DIV/0!</v>
      </c>
      <c r="AN25" s="88" t="e">
        <f>AM25/AN11</f>
        <v>#DIV/0!</v>
      </c>
      <c r="AP25" s="89">
        <v>0</v>
      </c>
      <c r="AQ25" s="113" t="e">
        <f>AP25/AQ11</f>
        <v>#DIV/0!</v>
      </c>
      <c r="AS25" s="85" t="e">
        <f>ROUND(AQ25*AT11*AS17*AT17,-3)</f>
        <v>#DIV/0!</v>
      </c>
      <c r="AT25" s="88" t="e">
        <f>AS25/AT11</f>
        <v>#DIV/0!</v>
      </c>
      <c r="AV25" s="89">
        <v>0</v>
      </c>
      <c r="AW25" s="113" t="e">
        <f>AV25/AW11</f>
        <v>#DIV/0!</v>
      </c>
      <c r="AY25" s="85" t="e">
        <f>ROUND(AW25*AZ11*AY17*AZ17,-3)</f>
        <v>#DIV/0!</v>
      </c>
      <c r="AZ25" s="88" t="e">
        <f>AY25/AZ11</f>
        <v>#DIV/0!</v>
      </c>
    </row>
    <row r="26" spans="2:52" x14ac:dyDescent="0.2">
      <c r="B26" s="22" t="s">
        <v>78</v>
      </c>
      <c r="C26" s="90">
        <v>1</v>
      </c>
      <c r="D26" s="79" t="s">
        <v>7</v>
      </c>
      <c r="E26" s="88">
        <f>187587</f>
        <v>187587</v>
      </c>
      <c r="F26" s="88">
        <f>E26/F11</f>
        <v>468.96749999999997</v>
      </c>
      <c r="G26" s="88"/>
      <c r="H26" s="80"/>
      <c r="I26" s="89">
        <v>0</v>
      </c>
      <c r="J26" s="91">
        <f>I26/J11</f>
        <v>0</v>
      </c>
      <c r="K26" s="91"/>
      <c r="M26" s="88">
        <v>0</v>
      </c>
      <c r="N26" s="88">
        <f>M26/N11</f>
        <v>0</v>
      </c>
      <c r="P26" s="89">
        <v>0</v>
      </c>
      <c r="Q26" s="91">
        <f>P26/Q11</f>
        <v>0</v>
      </c>
      <c r="R26" s="91"/>
      <c r="T26" s="85">
        <f>ROUND(Q26*U11*T17*U17,-3)</f>
        <v>0</v>
      </c>
      <c r="U26" s="88">
        <f>T26/U11</f>
        <v>0</v>
      </c>
      <c r="W26" s="89">
        <v>0</v>
      </c>
      <c r="X26" s="91">
        <f>W26/X11</f>
        <v>0</v>
      </c>
      <c r="Y26" s="91"/>
      <c r="AA26" s="85">
        <f>ROUND(X26*AB11*AA17*AB17,-3)</f>
        <v>0</v>
      </c>
      <c r="AB26" s="88">
        <f>AA26/AB11</f>
        <v>0</v>
      </c>
      <c r="AD26" s="89">
        <v>0</v>
      </c>
      <c r="AE26" s="91" t="e">
        <f>AD26/AE11</f>
        <v>#DIV/0!</v>
      </c>
      <c r="AG26" s="85" t="e">
        <f>ROUND(AE26*AH11*AG17*AH17,-3)</f>
        <v>#DIV/0!</v>
      </c>
      <c r="AH26" s="88" t="e">
        <f>AG26/AH11</f>
        <v>#DIV/0!</v>
      </c>
      <c r="AJ26" s="89">
        <v>0</v>
      </c>
      <c r="AK26" s="113" t="e">
        <f>AJ26/AK11</f>
        <v>#DIV/0!</v>
      </c>
      <c r="AM26" s="85" t="e">
        <f>ROUND(AK26*AN11*AM17*AN17,-3)</f>
        <v>#DIV/0!</v>
      </c>
      <c r="AN26" s="88" t="e">
        <f>AM26/AN11</f>
        <v>#DIV/0!</v>
      </c>
      <c r="AP26" s="89">
        <v>0</v>
      </c>
      <c r="AQ26" s="113" t="e">
        <f>AP26/AQ11</f>
        <v>#DIV/0!</v>
      </c>
      <c r="AS26" s="85" t="e">
        <f>ROUND(AQ26*AT11*AS17*AT17,-3)</f>
        <v>#DIV/0!</v>
      </c>
      <c r="AT26" s="88" t="e">
        <f>AS26/AT11</f>
        <v>#DIV/0!</v>
      </c>
      <c r="AV26" s="89">
        <v>0</v>
      </c>
      <c r="AW26" s="113" t="e">
        <f>AV26/AW11</f>
        <v>#DIV/0!</v>
      </c>
      <c r="AY26" s="85" t="e">
        <f>ROUND(AW26*AZ11*AY17*AZ17,-3)</f>
        <v>#DIV/0!</v>
      </c>
      <c r="AZ26" s="88" t="e">
        <f>AY26/AZ11</f>
        <v>#DIV/0!</v>
      </c>
    </row>
    <row r="27" spans="2:52" ht="6" customHeight="1" x14ac:dyDescent="0.2">
      <c r="B27" s="93"/>
      <c r="C27" s="94"/>
      <c r="D27" s="95"/>
      <c r="E27" s="96"/>
      <c r="F27" s="95"/>
      <c r="G27" s="95"/>
      <c r="H27" s="80"/>
      <c r="I27" s="97"/>
      <c r="J27" s="97"/>
      <c r="K27" s="97"/>
      <c r="M27" s="94"/>
      <c r="N27" s="95"/>
      <c r="P27" s="97"/>
      <c r="Q27" s="97"/>
      <c r="R27" s="97"/>
      <c r="T27" s="94"/>
      <c r="U27" s="95"/>
      <c r="W27" s="97"/>
      <c r="X27" s="97"/>
      <c r="Y27" s="97"/>
      <c r="AA27" s="94"/>
      <c r="AB27" s="95"/>
      <c r="AD27" s="97"/>
      <c r="AE27" s="97"/>
      <c r="AG27" s="94"/>
      <c r="AH27" s="95"/>
      <c r="AJ27" s="97"/>
      <c r="AK27" s="97"/>
      <c r="AM27" s="94"/>
      <c r="AN27" s="95"/>
      <c r="AP27" s="97"/>
      <c r="AQ27" s="97"/>
      <c r="AS27" s="94"/>
      <c r="AT27" s="95"/>
      <c r="AV27" s="97"/>
      <c r="AW27" s="97"/>
      <c r="AY27" s="94"/>
      <c r="AZ27" s="95"/>
    </row>
    <row r="28" spans="2:52" ht="6" customHeight="1" x14ac:dyDescent="0.2">
      <c r="B28" s="27"/>
      <c r="C28" s="23"/>
      <c r="D28" s="79"/>
      <c r="E28" s="88"/>
      <c r="F28" s="79"/>
      <c r="G28" s="79"/>
      <c r="H28" s="80"/>
      <c r="J28" s="32"/>
      <c r="K28" s="32"/>
      <c r="M28" s="23"/>
      <c r="N28" s="79"/>
      <c r="P28" s="32"/>
      <c r="Q28" s="32"/>
      <c r="R28" s="32"/>
      <c r="T28" s="23"/>
      <c r="U28" s="79"/>
      <c r="W28" s="32"/>
      <c r="X28" s="32"/>
      <c r="Y28" s="32"/>
      <c r="AA28" s="23"/>
      <c r="AB28" s="79"/>
      <c r="AD28" s="32"/>
      <c r="AE28" s="32"/>
      <c r="AG28" s="23"/>
      <c r="AH28" s="79"/>
      <c r="AJ28" s="32"/>
      <c r="AK28" s="32"/>
      <c r="AM28" s="23"/>
      <c r="AN28" s="79"/>
      <c r="AP28" s="32"/>
      <c r="AQ28" s="32"/>
      <c r="AS28" s="23"/>
      <c r="AT28" s="79"/>
      <c r="AV28" s="32"/>
      <c r="AW28" s="32"/>
      <c r="AY28" s="23"/>
      <c r="AZ28" s="79"/>
    </row>
    <row r="29" spans="2:52" x14ac:dyDescent="0.2">
      <c r="B29" s="98" t="s">
        <v>54</v>
      </c>
      <c r="C29" s="99">
        <f>C25</f>
        <v>105600</v>
      </c>
      <c r="D29" s="100" t="s">
        <v>6</v>
      </c>
      <c r="E29" s="99">
        <f>SUM(E18:E28)</f>
        <v>9319588</v>
      </c>
      <c r="F29" s="99">
        <f>E29/F11</f>
        <v>23298.97</v>
      </c>
      <c r="G29" s="170">
        <f>E29/$E$47</f>
        <v>0.81199456113848756</v>
      </c>
      <c r="H29" s="80"/>
      <c r="I29" s="91">
        <f>SUM(I18:I28)</f>
        <v>4800000</v>
      </c>
      <c r="J29" s="91">
        <f>I29/J11</f>
        <v>15584.415584415585</v>
      </c>
      <c r="K29" s="175">
        <f>I29/$I$47</f>
        <v>0.64278196032428347</v>
      </c>
      <c r="M29" s="102">
        <f>SUM(M18:M28)</f>
        <v>8104000</v>
      </c>
      <c r="N29" s="102">
        <f>M29/N11</f>
        <v>20260</v>
      </c>
      <c r="P29" s="91">
        <f>SUM(P18:P28)</f>
        <v>14000000</v>
      </c>
      <c r="Q29" s="91">
        <f>P29/Q11</f>
        <v>36842.105263157893</v>
      </c>
      <c r="R29" s="175">
        <f>P29/$P$47</f>
        <v>0.77887573293597323</v>
      </c>
      <c r="T29" s="102">
        <f>SUM(T18:T28)</f>
        <v>19158000</v>
      </c>
      <c r="U29" s="102">
        <f>T29/U11</f>
        <v>47895</v>
      </c>
      <c r="W29" s="91">
        <f>SUM(W18:W28)</f>
        <v>9500000</v>
      </c>
      <c r="X29" s="91">
        <f>W29/X11</f>
        <v>19038.076152304609</v>
      </c>
      <c r="Y29" s="175">
        <f>W29/$W$47</f>
        <v>0.70759453016021134</v>
      </c>
      <c r="AA29" s="102">
        <f>SUM(AA18:AA28)</f>
        <v>9900000</v>
      </c>
      <c r="AB29" s="102">
        <f>AA29/AB11</f>
        <v>24750</v>
      </c>
      <c r="AD29" s="91">
        <f>SUM(AD18:AD28)</f>
        <v>0</v>
      </c>
      <c r="AE29" s="91" t="e">
        <f>AD29/AE11</f>
        <v>#DIV/0!</v>
      </c>
      <c r="AG29" s="102" t="e">
        <f>SUM(AG18:AG28)</f>
        <v>#DIV/0!</v>
      </c>
      <c r="AH29" s="102" t="e">
        <f>AG29/AH11</f>
        <v>#DIV/0!</v>
      </c>
      <c r="AJ29" s="91">
        <f>SUM(AJ18:AJ28)</f>
        <v>0</v>
      </c>
      <c r="AK29" s="91" t="e">
        <f>AJ29/AK11</f>
        <v>#DIV/0!</v>
      </c>
      <c r="AM29" s="102" t="e">
        <f>SUM(AM18:AM28)</f>
        <v>#DIV/0!</v>
      </c>
      <c r="AN29" s="102" t="e">
        <f>AM29/AN11</f>
        <v>#DIV/0!</v>
      </c>
      <c r="AP29" s="91">
        <f>SUM(AP18:AP28)</f>
        <v>0</v>
      </c>
      <c r="AQ29" s="91" t="e">
        <f>AP29/AQ11</f>
        <v>#DIV/0!</v>
      </c>
      <c r="AS29" s="102" t="e">
        <f>SUM(AS18:AS28)</f>
        <v>#DIV/0!</v>
      </c>
      <c r="AT29" s="102" t="e">
        <f>AS29/AT11</f>
        <v>#DIV/0!</v>
      </c>
      <c r="AV29" s="91">
        <f>SUM(AV18:AV28)</f>
        <v>0</v>
      </c>
      <c r="AW29" s="91" t="e">
        <f>AV29/AW11</f>
        <v>#DIV/0!</v>
      </c>
      <c r="AY29" s="102" t="e">
        <f>SUM(AY18:AY28)</f>
        <v>#DIV/0!</v>
      </c>
      <c r="AZ29" s="102" t="e">
        <f>AY29/AZ11</f>
        <v>#DIV/0!</v>
      </c>
    </row>
    <row r="30" spans="2:52" ht="12.75" customHeight="1" x14ac:dyDescent="0.2">
      <c r="B30" s="27"/>
      <c r="C30" s="23"/>
      <c r="D30" s="79"/>
      <c r="E30" s="88"/>
      <c r="F30" s="79"/>
      <c r="G30" s="79"/>
      <c r="H30" s="80"/>
      <c r="J30" s="32"/>
      <c r="K30" s="32"/>
      <c r="M30" s="23"/>
      <c r="N30" s="79"/>
      <c r="P30" s="32"/>
      <c r="Q30" s="32"/>
      <c r="R30" s="32"/>
      <c r="T30" s="23"/>
      <c r="U30" s="79"/>
      <c r="W30" s="32"/>
      <c r="X30" s="32"/>
      <c r="Y30" s="32"/>
      <c r="AA30" s="23"/>
      <c r="AB30" s="79"/>
      <c r="AD30" s="32"/>
      <c r="AE30" s="32"/>
      <c r="AG30" s="23"/>
      <c r="AH30" s="79"/>
      <c r="AJ30" s="32"/>
      <c r="AK30" s="32"/>
      <c r="AM30" s="23"/>
      <c r="AN30" s="79"/>
      <c r="AP30" s="32"/>
      <c r="AQ30" s="32"/>
      <c r="AS30" s="23"/>
      <c r="AT30" s="79"/>
      <c r="AV30" s="32"/>
      <c r="AW30" s="32"/>
      <c r="AY30" s="23"/>
      <c r="AZ30" s="79"/>
    </row>
    <row r="31" spans="2:52" ht="12.75" customHeight="1" x14ac:dyDescent="0.2">
      <c r="B31" s="78" t="s">
        <v>42</v>
      </c>
      <c r="C31" s="23"/>
      <c r="D31" s="79"/>
      <c r="E31" s="88"/>
      <c r="F31" s="79"/>
      <c r="G31" s="79"/>
      <c r="H31" s="80"/>
      <c r="J31" s="32"/>
      <c r="K31" s="32"/>
      <c r="M31" s="23"/>
      <c r="N31" s="79"/>
      <c r="P31" s="32"/>
      <c r="Q31" s="32"/>
      <c r="R31" s="32"/>
      <c r="T31" s="23"/>
      <c r="U31" s="79"/>
      <c r="W31" s="32"/>
      <c r="X31" s="32"/>
      <c r="Y31" s="32"/>
      <c r="AA31" s="23"/>
      <c r="AB31" s="79"/>
      <c r="AD31" s="32"/>
      <c r="AE31" s="32"/>
      <c r="AG31" s="23"/>
      <c r="AH31" s="79"/>
      <c r="AJ31" s="32"/>
      <c r="AK31" s="32"/>
      <c r="AM31" s="23"/>
      <c r="AN31" s="79"/>
      <c r="AP31" s="32"/>
      <c r="AQ31" s="32"/>
      <c r="AS31" s="23"/>
      <c r="AT31" s="79"/>
      <c r="AV31" s="32"/>
      <c r="AW31" s="32"/>
      <c r="AY31" s="23"/>
      <c r="AZ31" s="79"/>
    </row>
    <row r="32" spans="2:52" x14ac:dyDescent="0.2">
      <c r="B32" s="22" t="s">
        <v>79</v>
      </c>
      <c r="C32" s="23">
        <v>2787</v>
      </c>
      <c r="D32" s="79" t="s">
        <v>80</v>
      </c>
      <c r="E32" s="88">
        <f>1705595</f>
        <v>1705595</v>
      </c>
      <c r="F32" s="88">
        <f>E32/F11</f>
        <v>4263.9875000000002</v>
      </c>
      <c r="G32" s="88"/>
      <c r="H32" s="80"/>
      <c r="I32" s="89">
        <f>2548956</f>
        <v>2548956</v>
      </c>
      <c r="J32" s="91">
        <f>I32/J11</f>
        <v>8275.8311688311696</v>
      </c>
      <c r="K32" s="91"/>
      <c r="M32" s="85">
        <f>ROUND(J32*N11*M17*N17,-3)</f>
        <v>3310000</v>
      </c>
      <c r="N32" s="88">
        <f>M32/N11</f>
        <v>8275</v>
      </c>
      <c r="P32" s="89">
        <f>3671767</f>
        <v>3671767</v>
      </c>
      <c r="Q32" s="91">
        <f>P32/Q11</f>
        <v>9662.5447368421046</v>
      </c>
      <c r="R32" s="91"/>
      <c r="T32" s="85">
        <f>ROUND(Q32*U11*T17*U17,-3)</f>
        <v>3865000</v>
      </c>
      <c r="U32" s="88">
        <f>T32/U11</f>
        <v>9662.5</v>
      </c>
      <c r="W32" s="89">
        <f>3553593</f>
        <v>3553593</v>
      </c>
      <c r="X32" s="91">
        <f>W32/X11</f>
        <v>7121.4288577154311</v>
      </c>
      <c r="Y32" s="91"/>
      <c r="AA32" s="85">
        <f>ROUND(X32*AB11*AA17*AB17,-3)</f>
        <v>2849000</v>
      </c>
      <c r="AB32" s="88">
        <f>AA32/AB11</f>
        <v>7122.5</v>
      </c>
      <c r="AD32" s="89">
        <v>0</v>
      </c>
      <c r="AE32" s="91" t="e">
        <f>AD32/AE11</f>
        <v>#DIV/0!</v>
      </c>
      <c r="AG32" s="85" t="e">
        <f>ROUND(AE32*AH11*AG17*AH17,-3)</f>
        <v>#DIV/0!</v>
      </c>
      <c r="AH32" s="88" t="e">
        <f>AG32/AH11</f>
        <v>#DIV/0!</v>
      </c>
      <c r="AJ32" s="89">
        <v>0</v>
      </c>
      <c r="AK32" s="91" t="e">
        <f>AJ32/AK11</f>
        <v>#DIV/0!</v>
      </c>
      <c r="AM32" s="85" t="e">
        <f>ROUND(AK32*AN11*AM17*AN17,-3)</f>
        <v>#DIV/0!</v>
      </c>
      <c r="AN32" s="88" t="e">
        <f>AM32/AN11</f>
        <v>#DIV/0!</v>
      </c>
      <c r="AP32" s="89">
        <v>0</v>
      </c>
      <c r="AQ32" s="91" t="e">
        <f>AP32/AQ11</f>
        <v>#DIV/0!</v>
      </c>
      <c r="AS32" s="85" t="e">
        <f>ROUND(AQ32*AT11*AS17*AT17,-3)</f>
        <v>#DIV/0!</v>
      </c>
      <c r="AT32" s="88" t="e">
        <f>AS32/AT11</f>
        <v>#DIV/0!</v>
      </c>
      <c r="AV32" s="89">
        <v>0</v>
      </c>
      <c r="AW32" s="91" t="e">
        <f>AV32/AW11</f>
        <v>#DIV/0!</v>
      </c>
      <c r="AY32" s="85" t="e">
        <f>ROUND(AW32*AZ11*AY17*AZ17,-3)</f>
        <v>#DIV/0!</v>
      </c>
      <c r="AZ32" s="88" t="e">
        <f>AY32/AZ11</f>
        <v>#DIV/0!</v>
      </c>
    </row>
    <row r="33" spans="2:52" x14ac:dyDescent="0.2">
      <c r="B33" s="22" t="s">
        <v>81</v>
      </c>
      <c r="C33" s="23">
        <v>552920</v>
      </c>
      <c r="D33" s="79" t="s">
        <v>82</v>
      </c>
      <c r="E33" s="88">
        <f>420219</f>
        <v>420219</v>
      </c>
      <c r="F33" s="88">
        <f>E33/F11</f>
        <v>1050.5474999999999</v>
      </c>
      <c r="G33" s="88"/>
      <c r="H33" s="80"/>
      <c r="I33" s="89">
        <v>0</v>
      </c>
      <c r="J33" s="91">
        <f>I33/J11</f>
        <v>0</v>
      </c>
      <c r="K33" s="91"/>
      <c r="M33" s="85">
        <f>ROUND(J33*N11*M17*N17,-3)</f>
        <v>0</v>
      </c>
      <c r="N33" s="88">
        <f>M33/N11</f>
        <v>0</v>
      </c>
      <c r="P33" s="89">
        <v>0</v>
      </c>
      <c r="Q33" s="91">
        <f>P33/Q11</f>
        <v>0</v>
      </c>
      <c r="R33" s="91"/>
      <c r="T33" s="85">
        <f>ROUND(Q33*U11*T17*U17,-3)</f>
        <v>0</v>
      </c>
      <c r="U33" s="88">
        <f>T33/U11</f>
        <v>0</v>
      </c>
      <c r="W33" s="89">
        <v>0</v>
      </c>
      <c r="X33" s="91">
        <f>W33/X11</f>
        <v>0</v>
      </c>
      <c r="Y33" s="91"/>
      <c r="AA33" s="85">
        <f>ROUND(X33*AB11*AA17*AB17,-3)</f>
        <v>0</v>
      </c>
      <c r="AB33" s="88">
        <f>AA33/AB11</f>
        <v>0</v>
      </c>
      <c r="AD33" s="89">
        <v>0</v>
      </c>
      <c r="AE33" s="91" t="e">
        <f>AD33/AE11</f>
        <v>#DIV/0!</v>
      </c>
      <c r="AG33" s="85" t="e">
        <f>ROUND(AE33*AH11*AG17*AH17,-3)</f>
        <v>#DIV/0!</v>
      </c>
      <c r="AH33" s="88" t="e">
        <f>AG33/AH11</f>
        <v>#DIV/0!</v>
      </c>
      <c r="AJ33" s="89">
        <v>0</v>
      </c>
      <c r="AK33" s="91" t="e">
        <f>AJ33/AK11</f>
        <v>#DIV/0!</v>
      </c>
      <c r="AM33" s="85" t="e">
        <f>ROUND(AK33*AN11*AM17*AN17,-3)</f>
        <v>#DIV/0!</v>
      </c>
      <c r="AN33" s="88" t="e">
        <f>AM33/AN11</f>
        <v>#DIV/0!</v>
      </c>
      <c r="AP33" s="89">
        <v>0</v>
      </c>
      <c r="AQ33" s="91" t="e">
        <f>AP33/AQ11</f>
        <v>#DIV/0!</v>
      </c>
      <c r="AS33" s="85" t="e">
        <f>ROUND(AQ33*AT11*AS17*AT17,-3)</f>
        <v>#DIV/0!</v>
      </c>
      <c r="AT33" s="88" t="e">
        <f>AS33/AT11</f>
        <v>#DIV/0!</v>
      </c>
      <c r="AV33" s="89">
        <v>0</v>
      </c>
      <c r="AW33" s="91" t="e">
        <f>AV33/AW11</f>
        <v>#DIV/0!</v>
      </c>
      <c r="AY33" s="85" t="e">
        <f>ROUND(AW33*AZ11*AY17*AZ17,-3)</f>
        <v>#DIV/0!</v>
      </c>
      <c r="AZ33" s="88" t="e">
        <f>AY33/AZ11</f>
        <v>#DIV/0!</v>
      </c>
    </row>
    <row r="34" spans="2:52" x14ac:dyDescent="0.2">
      <c r="B34" s="22" t="s">
        <v>77</v>
      </c>
      <c r="C34" s="23">
        <v>1</v>
      </c>
      <c r="D34" s="79" t="s">
        <v>7</v>
      </c>
      <c r="E34" s="88">
        <f>12000+2000+18000</f>
        <v>32000</v>
      </c>
      <c r="F34" s="88">
        <f>E34/F11</f>
        <v>80</v>
      </c>
      <c r="G34" s="88"/>
      <c r="H34" s="80"/>
      <c r="I34" s="89">
        <v>0</v>
      </c>
      <c r="J34" s="89">
        <f>I34/J11</f>
        <v>0</v>
      </c>
      <c r="K34" s="89"/>
      <c r="M34" s="85">
        <f>ROUND(J34*N11*M17*N17,-3)</f>
        <v>0</v>
      </c>
      <c r="N34" s="88">
        <f>M34/N11</f>
        <v>0</v>
      </c>
      <c r="P34" s="89">
        <v>0</v>
      </c>
      <c r="Q34" s="89">
        <f>P34/Q11</f>
        <v>0</v>
      </c>
      <c r="R34" s="89"/>
      <c r="T34" s="85">
        <f>ROUND(Q34*U11*T17*U17,-3)</f>
        <v>0</v>
      </c>
      <c r="U34" s="88">
        <f>T34/U11</f>
        <v>0</v>
      </c>
      <c r="W34" s="89">
        <v>0</v>
      </c>
      <c r="X34" s="89">
        <f>W34/X11</f>
        <v>0</v>
      </c>
      <c r="Y34" s="89"/>
      <c r="AA34" s="85">
        <f>ROUND(X34*AB11*AA17*AB17,-3)</f>
        <v>0</v>
      </c>
      <c r="AB34" s="88">
        <f>AA34/AB11</f>
        <v>0</v>
      </c>
      <c r="AD34" s="89">
        <v>0</v>
      </c>
      <c r="AE34" s="89" t="e">
        <f>AD34/AE11</f>
        <v>#DIV/0!</v>
      </c>
      <c r="AG34" s="85" t="e">
        <f>ROUND(AE34*AH11*AG17*AH17,-3)</f>
        <v>#DIV/0!</v>
      </c>
      <c r="AH34" s="88" t="e">
        <f>AG34/AH11</f>
        <v>#DIV/0!</v>
      </c>
      <c r="AJ34" s="89">
        <v>0</v>
      </c>
      <c r="AK34" s="89" t="e">
        <f>AJ34/AK11</f>
        <v>#DIV/0!</v>
      </c>
      <c r="AM34" s="85" t="e">
        <f>ROUND(AK34*AN11*AM17*AN17,-3)</f>
        <v>#DIV/0!</v>
      </c>
      <c r="AN34" s="88" t="e">
        <f>AM34/AN11</f>
        <v>#DIV/0!</v>
      </c>
      <c r="AP34" s="89">
        <v>0</v>
      </c>
      <c r="AQ34" s="89" t="e">
        <f>AP34/AQ11</f>
        <v>#DIV/0!</v>
      </c>
      <c r="AS34" s="85" t="e">
        <f>ROUND(AQ34*AT11*AS17*AT17,-3)</f>
        <v>#DIV/0!</v>
      </c>
      <c r="AT34" s="88" t="e">
        <f>AS34/AT11</f>
        <v>#DIV/0!</v>
      </c>
      <c r="AV34" s="89">
        <v>0</v>
      </c>
      <c r="AW34" s="89" t="e">
        <f>AV34/AW11</f>
        <v>#DIV/0!</v>
      </c>
      <c r="AY34" s="85" t="e">
        <f>ROUND(AW34*AZ11*AY17*AZ17,-3)</f>
        <v>#DIV/0!</v>
      </c>
      <c r="AZ34" s="88" t="e">
        <f>AY34/AZ11</f>
        <v>#DIV/0!</v>
      </c>
    </row>
    <row r="35" spans="2:52" ht="6" customHeight="1" x14ac:dyDescent="0.2">
      <c r="B35" s="93"/>
      <c r="C35" s="94"/>
      <c r="D35" s="95"/>
      <c r="E35" s="96"/>
      <c r="F35" s="95"/>
      <c r="G35" s="95"/>
      <c r="H35" s="80"/>
      <c r="I35" s="97"/>
      <c r="J35" s="97"/>
      <c r="K35" s="97"/>
      <c r="M35" s="94"/>
      <c r="N35" s="95"/>
      <c r="P35" s="97"/>
      <c r="Q35" s="97"/>
      <c r="R35" s="97"/>
      <c r="T35" s="94"/>
      <c r="U35" s="95"/>
      <c r="W35" s="97"/>
      <c r="X35" s="97"/>
      <c r="Y35" s="97"/>
      <c r="AA35" s="94"/>
      <c r="AB35" s="95"/>
      <c r="AD35" s="97"/>
      <c r="AE35" s="97"/>
      <c r="AG35" s="94"/>
      <c r="AH35" s="95"/>
      <c r="AJ35" s="97"/>
      <c r="AK35" s="97"/>
      <c r="AM35" s="94"/>
      <c r="AN35" s="95"/>
      <c r="AP35" s="97"/>
      <c r="AQ35" s="97"/>
      <c r="AS35" s="94"/>
      <c r="AT35" s="95"/>
      <c r="AV35" s="97"/>
      <c r="AW35" s="97"/>
      <c r="AY35" s="94"/>
      <c r="AZ35" s="95"/>
    </row>
    <row r="36" spans="2:52" ht="6" customHeight="1" x14ac:dyDescent="0.2">
      <c r="B36" s="27"/>
      <c r="C36" s="23"/>
      <c r="D36" s="79"/>
      <c r="E36" s="88"/>
      <c r="F36" s="79"/>
      <c r="G36" s="79"/>
      <c r="H36" s="80"/>
      <c r="J36" s="32"/>
      <c r="K36" s="32"/>
      <c r="M36" s="23"/>
      <c r="N36" s="79"/>
      <c r="P36" s="32"/>
      <c r="Q36" s="32"/>
      <c r="R36" s="32"/>
      <c r="T36" s="23"/>
      <c r="U36" s="79"/>
      <c r="W36" s="32"/>
      <c r="X36" s="32"/>
      <c r="Y36" s="32"/>
      <c r="AA36" s="23"/>
      <c r="AB36" s="79"/>
      <c r="AD36" s="32"/>
      <c r="AE36" s="32"/>
      <c r="AG36" s="23"/>
      <c r="AH36" s="79"/>
      <c r="AJ36" s="32"/>
      <c r="AK36" s="32"/>
      <c r="AM36" s="23"/>
      <c r="AN36" s="79"/>
      <c r="AP36" s="32"/>
      <c r="AQ36" s="32"/>
      <c r="AS36" s="23"/>
      <c r="AT36" s="79"/>
      <c r="AV36" s="32"/>
      <c r="AW36" s="32"/>
      <c r="AY36" s="23"/>
      <c r="AZ36" s="79"/>
    </row>
    <row r="37" spans="2:52" x14ac:dyDescent="0.2">
      <c r="B37" s="98" t="s">
        <v>55</v>
      </c>
      <c r="C37" s="99">
        <v>1</v>
      </c>
      <c r="D37" s="100" t="s">
        <v>7</v>
      </c>
      <c r="E37" s="99">
        <f>SUM(E32:E36)</f>
        <v>2157814</v>
      </c>
      <c r="F37" s="159">
        <f>E37/F11</f>
        <v>5394.5349999999999</v>
      </c>
      <c r="G37" s="170">
        <f>E37/$E$47</f>
        <v>0.18800543886151239</v>
      </c>
      <c r="H37" s="80"/>
      <c r="I37" s="91">
        <f>SUM(I32:I36)</f>
        <v>2548956</v>
      </c>
      <c r="J37" s="91">
        <f>I37/J11</f>
        <v>8275.8311688311696</v>
      </c>
      <c r="K37" s="175">
        <f>I37/$I$47</f>
        <v>0.34133811134590508</v>
      </c>
      <c r="M37" s="102">
        <f>SUM(M32:M36)</f>
        <v>3310000</v>
      </c>
      <c r="N37" s="102">
        <f>M37/N11</f>
        <v>8275</v>
      </c>
      <c r="P37" s="91">
        <f>SUM(P32:P36)</f>
        <v>3671767</v>
      </c>
      <c r="Q37" s="91">
        <f>P37/Q11</f>
        <v>9662.5447368421046</v>
      </c>
      <c r="R37" s="175">
        <f>P37/$P$47</f>
        <v>0.20427501523536568</v>
      </c>
      <c r="T37" s="102">
        <f>SUM(T32:T36)</f>
        <v>3865000</v>
      </c>
      <c r="U37" s="102">
        <f>T37/U11</f>
        <v>9662.5</v>
      </c>
      <c r="W37" s="91">
        <f>SUM(W32:W36)</f>
        <v>3553593</v>
      </c>
      <c r="X37" s="91">
        <f>W37/X11</f>
        <v>7121.4288577154311</v>
      </c>
      <c r="Y37" s="175">
        <f>W37/$W$47</f>
        <v>0.26468452307532797</v>
      </c>
      <c r="AA37" s="102">
        <f>SUM(AA32:AA36)</f>
        <v>2849000</v>
      </c>
      <c r="AB37" s="102">
        <f>AA37/AB11</f>
        <v>7122.5</v>
      </c>
      <c r="AD37" s="91">
        <f>SUM(AD32:AD36)</f>
        <v>0</v>
      </c>
      <c r="AE37" s="91" t="e">
        <f>AD37/AE11</f>
        <v>#DIV/0!</v>
      </c>
      <c r="AG37" s="102" t="e">
        <f>SUM(AG32:AG36)</f>
        <v>#DIV/0!</v>
      </c>
      <c r="AH37" s="102" t="e">
        <f>AG37/AH11</f>
        <v>#DIV/0!</v>
      </c>
      <c r="AJ37" s="91">
        <f>SUM(AJ32:AJ36)</f>
        <v>0</v>
      </c>
      <c r="AK37" s="91" t="e">
        <f>AJ37/AK11</f>
        <v>#DIV/0!</v>
      </c>
      <c r="AM37" s="102" t="e">
        <f>SUM(AM32:AM36)</f>
        <v>#DIV/0!</v>
      </c>
      <c r="AN37" s="102" t="e">
        <f>AM37/AN11</f>
        <v>#DIV/0!</v>
      </c>
      <c r="AP37" s="91">
        <f>SUM(AP32:AP36)</f>
        <v>0</v>
      </c>
      <c r="AQ37" s="91" t="e">
        <f>AP37/AQ11</f>
        <v>#DIV/0!</v>
      </c>
      <c r="AS37" s="102" t="e">
        <f>SUM(AS32:AS36)</f>
        <v>#DIV/0!</v>
      </c>
      <c r="AT37" s="102" t="e">
        <f>AS37/AT11</f>
        <v>#DIV/0!</v>
      </c>
      <c r="AV37" s="91">
        <f>SUM(AV32:AV36)</f>
        <v>0</v>
      </c>
      <c r="AW37" s="91" t="e">
        <f>AV37/AW11</f>
        <v>#DIV/0!</v>
      </c>
      <c r="AY37" s="102" t="e">
        <f>SUM(AY32:AY36)</f>
        <v>#DIV/0!</v>
      </c>
      <c r="AZ37" s="102" t="e">
        <f>AY37/AZ11</f>
        <v>#DIV/0!</v>
      </c>
    </row>
    <row r="38" spans="2:52" x14ac:dyDescent="0.2">
      <c r="B38" s="27"/>
      <c r="C38" s="23"/>
      <c r="D38" s="79"/>
      <c r="E38" s="88"/>
      <c r="F38" s="79"/>
      <c r="G38" s="79"/>
      <c r="H38" s="80"/>
      <c r="J38" s="32"/>
      <c r="K38" s="32"/>
      <c r="M38" s="23"/>
      <c r="N38" s="79"/>
      <c r="P38" s="32"/>
      <c r="Q38" s="32"/>
      <c r="R38" s="32"/>
      <c r="T38" s="23"/>
      <c r="U38" s="79"/>
      <c r="W38" s="32"/>
      <c r="X38" s="32"/>
      <c r="Y38" s="32"/>
      <c r="AA38" s="23"/>
      <c r="AB38" s="79"/>
      <c r="AD38" s="32"/>
      <c r="AE38" s="32"/>
      <c r="AG38" s="23"/>
      <c r="AH38" s="79"/>
      <c r="AJ38" s="32"/>
      <c r="AK38" s="32"/>
      <c r="AM38" s="23"/>
      <c r="AN38" s="79"/>
      <c r="AP38" s="32"/>
      <c r="AQ38" s="32"/>
      <c r="AS38" s="23"/>
      <c r="AT38" s="79"/>
      <c r="AV38" s="32"/>
      <c r="AW38" s="32"/>
      <c r="AY38" s="23"/>
      <c r="AZ38" s="79"/>
    </row>
    <row r="39" spans="2:52" x14ac:dyDescent="0.2">
      <c r="B39" s="78" t="s">
        <v>21</v>
      </c>
      <c r="C39" s="23"/>
      <c r="D39" s="79"/>
      <c r="E39" s="88"/>
      <c r="F39" s="79"/>
      <c r="G39" s="79"/>
      <c r="H39" s="80"/>
      <c r="J39" s="32"/>
      <c r="K39" s="32"/>
      <c r="M39" s="23"/>
      <c r="N39" s="79"/>
      <c r="P39" s="32"/>
      <c r="Q39" s="32"/>
      <c r="R39" s="32"/>
      <c r="T39" s="23"/>
      <c r="U39" s="79"/>
      <c r="W39" s="32"/>
      <c r="X39" s="32"/>
      <c r="Y39" s="32"/>
      <c r="AA39" s="23"/>
      <c r="AB39" s="79"/>
      <c r="AD39" s="32"/>
      <c r="AE39" s="32"/>
      <c r="AG39" s="23"/>
      <c r="AH39" s="79"/>
      <c r="AJ39" s="32"/>
      <c r="AK39" s="32"/>
      <c r="AM39" s="23"/>
      <c r="AN39" s="79"/>
      <c r="AP39" s="32"/>
      <c r="AQ39" s="32"/>
      <c r="AS39" s="23"/>
      <c r="AT39" s="79"/>
      <c r="AV39" s="32"/>
      <c r="AW39" s="32"/>
      <c r="AY39" s="23"/>
      <c r="AZ39" s="79"/>
    </row>
    <row r="40" spans="2:52" x14ac:dyDescent="0.2">
      <c r="B40" s="22" t="s">
        <v>83</v>
      </c>
      <c r="C40" s="23">
        <v>1</v>
      </c>
      <c r="D40" s="79" t="s">
        <v>7</v>
      </c>
      <c r="E40" s="88">
        <v>0</v>
      </c>
      <c r="F40" s="88">
        <f>E40/F11</f>
        <v>0</v>
      </c>
      <c r="G40" s="88"/>
      <c r="H40" s="80"/>
      <c r="I40" s="89">
        <v>0</v>
      </c>
      <c r="J40" s="89">
        <f>I40/J11</f>
        <v>0</v>
      </c>
      <c r="K40" s="89"/>
      <c r="M40" s="85">
        <f>ROUND(J40*N11*M17*N17,-3)</f>
        <v>0</v>
      </c>
      <c r="N40" s="88">
        <f>M40/N11</f>
        <v>0</v>
      </c>
      <c r="P40" s="89">
        <v>0</v>
      </c>
      <c r="Q40" s="89">
        <f>P40/Q11</f>
        <v>0</v>
      </c>
      <c r="R40" s="89"/>
      <c r="T40" s="85">
        <f>ROUND(Q40*U11*T17*U17,-3)</f>
        <v>0</v>
      </c>
      <c r="U40" s="88">
        <f>T40/U11</f>
        <v>0</v>
      </c>
      <c r="W40" s="89">
        <v>0</v>
      </c>
      <c r="X40" s="89">
        <f>W40/X11</f>
        <v>0</v>
      </c>
      <c r="Y40" s="89"/>
      <c r="AA40" s="85">
        <f>ROUND(X40*AB11*AA17*AB17,-3)</f>
        <v>0</v>
      </c>
      <c r="AB40" s="88">
        <f>AA40/AB11</f>
        <v>0</v>
      </c>
      <c r="AD40" s="89">
        <v>0</v>
      </c>
      <c r="AE40" s="89" t="e">
        <f>AD40/AE11</f>
        <v>#DIV/0!</v>
      </c>
      <c r="AG40" s="85" t="e">
        <f>ROUND(AE40*AH11*AG17*AH17,-3)</f>
        <v>#DIV/0!</v>
      </c>
      <c r="AH40" s="88" t="e">
        <f>AG40/AH11</f>
        <v>#DIV/0!</v>
      </c>
      <c r="AJ40" s="89">
        <v>0</v>
      </c>
      <c r="AK40" s="89" t="e">
        <f>AJ40/AK11</f>
        <v>#DIV/0!</v>
      </c>
      <c r="AM40" s="85" t="e">
        <f>ROUND(AK40*AN11*AM17*AN17,-3)</f>
        <v>#DIV/0!</v>
      </c>
      <c r="AN40" s="88" t="e">
        <f>AM40/AN11</f>
        <v>#DIV/0!</v>
      </c>
      <c r="AP40" s="89">
        <v>0</v>
      </c>
      <c r="AQ40" s="89" t="e">
        <f>AP40/AQ11</f>
        <v>#DIV/0!</v>
      </c>
      <c r="AS40" s="85" t="e">
        <f>ROUND(AQ40*AT11*AS17*AT17,-3)</f>
        <v>#DIV/0!</v>
      </c>
      <c r="AT40" s="88" t="e">
        <f>AS40/AT11</f>
        <v>#DIV/0!</v>
      </c>
      <c r="AV40" s="89">
        <v>0</v>
      </c>
      <c r="AW40" s="89" t="e">
        <f>AV40/AW11</f>
        <v>#DIV/0!</v>
      </c>
      <c r="AY40" s="85" t="e">
        <f>ROUND(AW40*AZ11*AY17*AZ17,-3)</f>
        <v>#DIV/0!</v>
      </c>
      <c r="AZ40" s="88" t="e">
        <f>AY40/AZ11</f>
        <v>#DIV/0!</v>
      </c>
    </row>
    <row r="41" spans="2:52" x14ac:dyDescent="0.2">
      <c r="B41" s="22" t="s">
        <v>84</v>
      </c>
      <c r="C41" s="23">
        <v>1</v>
      </c>
      <c r="D41" s="79" t="s">
        <v>7</v>
      </c>
      <c r="E41" s="88" t="s">
        <v>90</v>
      </c>
      <c r="F41" s="88">
        <v>0</v>
      </c>
      <c r="G41" s="88"/>
      <c r="H41" s="80"/>
      <c r="I41" s="89">
        <f>118584</f>
        <v>118584</v>
      </c>
      <c r="J41" s="91">
        <f>I41/J11</f>
        <v>385.01298701298703</v>
      </c>
      <c r="K41" s="91"/>
      <c r="M41" s="88" t="s">
        <v>47</v>
      </c>
      <c r="N41" s="88">
        <v>0</v>
      </c>
      <c r="P41" s="89">
        <f>302859</f>
        <v>302859</v>
      </c>
      <c r="Q41" s="91">
        <f>P41/Q11</f>
        <v>796.99736842105267</v>
      </c>
      <c r="R41" s="91"/>
      <c r="T41" s="88" t="s">
        <v>47</v>
      </c>
      <c r="U41" s="88">
        <v>0</v>
      </c>
      <c r="W41" s="89">
        <v>372175</v>
      </c>
      <c r="X41" s="91">
        <f>W41/X11</f>
        <v>745.84168336673349</v>
      </c>
      <c r="Y41" s="91"/>
      <c r="AA41" s="88" t="s">
        <v>47</v>
      </c>
      <c r="AB41" s="88">
        <v>0</v>
      </c>
      <c r="AD41" s="89">
        <v>0</v>
      </c>
      <c r="AE41" s="91" t="e">
        <f>AD41/AE11</f>
        <v>#DIV/0!</v>
      </c>
      <c r="AG41" s="85" t="e">
        <f>ROUND(AE41*AH11*AG17*AH17,-3)</f>
        <v>#DIV/0!</v>
      </c>
      <c r="AH41" s="88" t="e">
        <f>AG41/AH11</f>
        <v>#DIV/0!</v>
      </c>
      <c r="AJ41" s="89">
        <v>0</v>
      </c>
      <c r="AK41" s="91" t="e">
        <f>AJ41/AK11</f>
        <v>#DIV/0!</v>
      </c>
      <c r="AM41" s="85" t="e">
        <f>ROUND(AK41*AN11*AM17*AN17,-3)</f>
        <v>#DIV/0!</v>
      </c>
      <c r="AN41" s="88" t="e">
        <f>AM41/AN11</f>
        <v>#DIV/0!</v>
      </c>
      <c r="AP41" s="89">
        <v>0</v>
      </c>
      <c r="AQ41" s="91" t="e">
        <f>AP41/AQ11</f>
        <v>#DIV/0!</v>
      </c>
      <c r="AS41" s="85" t="e">
        <f>ROUND(AQ41*AT11*AS17*AT17,-3)</f>
        <v>#DIV/0!</v>
      </c>
      <c r="AT41" s="88" t="e">
        <f>AS41/AT11</f>
        <v>#DIV/0!</v>
      </c>
      <c r="AV41" s="89">
        <v>0</v>
      </c>
      <c r="AW41" s="91" t="e">
        <f>AV41/AW11</f>
        <v>#DIV/0!</v>
      </c>
      <c r="AY41" s="85" t="e">
        <f>ROUND(AW41*AZ11*AY17*AZ17,-3)</f>
        <v>#DIV/0!</v>
      </c>
      <c r="AZ41" s="88" t="e">
        <f>AY41/AZ11</f>
        <v>#DIV/0!</v>
      </c>
    </row>
    <row r="42" spans="2:52" ht="6" customHeight="1" x14ac:dyDescent="0.2">
      <c r="B42" s="93"/>
      <c r="C42" s="94"/>
      <c r="D42" s="95"/>
      <c r="E42" s="96"/>
      <c r="F42" s="95"/>
      <c r="G42" s="95"/>
      <c r="H42" s="80"/>
      <c r="I42" s="97"/>
      <c r="J42" s="97"/>
      <c r="K42" s="97"/>
      <c r="M42" s="94"/>
      <c r="N42" s="95"/>
      <c r="P42" s="97"/>
      <c r="Q42" s="97"/>
      <c r="R42" s="97"/>
      <c r="T42" s="94"/>
      <c r="U42" s="95"/>
      <c r="W42" s="97"/>
      <c r="X42" s="97"/>
      <c r="Y42" s="97"/>
      <c r="AA42" s="94"/>
      <c r="AB42" s="95"/>
      <c r="AD42" s="97"/>
      <c r="AE42" s="97"/>
      <c r="AG42" s="94"/>
      <c r="AH42" s="95"/>
      <c r="AJ42" s="97"/>
      <c r="AK42" s="97"/>
      <c r="AM42" s="94"/>
      <c r="AN42" s="95"/>
      <c r="AP42" s="97"/>
      <c r="AQ42" s="97"/>
      <c r="AS42" s="94"/>
      <c r="AT42" s="95"/>
      <c r="AV42" s="97"/>
      <c r="AW42" s="97"/>
      <c r="AY42" s="94"/>
      <c r="AZ42" s="95"/>
    </row>
    <row r="43" spans="2:52" ht="6" customHeight="1" x14ac:dyDescent="0.2">
      <c r="B43" s="27"/>
      <c r="C43" s="23"/>
      <c r="D43" s="79"/>
      <c r="E43" s="88"/>
      <c r="F43" s="79"/>
      <c r="G43" s="79"/>
      <c r="H43" s="80"/>
      <c r="J43" s="32"/>
      <c r="K43" s="32"/>
      <c r="M43" s="23"/>
      <c r="N43" s="79"/>
      <c r="P43" s="32"/>
      <c r="Q43" s="32"/>
      <c r="R43" s="32"/>
      <c r="T43" s="23"/>
      <c r="U43" s="79"/>
      <c r="W43" s="32"/>
      <c r="X43" s="32"/>
      <c r="Y43" s="32"/>
      <c r="AA43" s="23"/>
      <c r="AB43" s="79"/>
      <c r="AD43" s="32"/>
      <c r="AE43" s="32"/>
      <c r="AG43" s="23"/>
      <c r="AH43" s="79"/>
      <c r="AJ43" s="32"/>
      <c r="AK43" s="32"/>
      <c r="AM43" s="23"/>
      <c r="AN43" s="79"/>
      <c r="AP43" s="32"/>
      <c r="AQ43" s="32"/>
      <c r="AS43" s="23"/>
      <c r="AT43" s="79"/>
      <c r="AV43" s="32"/>
      <c r="AW43" s="32"/>
      <c r="AY43" s="23"/>
      <c r="AZ43" s="79"/>
    </row>
    <row r="44" spans="2:52" x14ac:dyDescent="0.2">
      <c r="B44" s="98" t="s">
        <v>56</v>
      </c>
      <c r="C44" s="99">
        <v>1</v>
      </c>
      <c r="D44" s="100" t="s">
        <v>7</v>
      </c>
      <c r="E44" s="99">
        <f>SUM(E40:E43)</f>
        <v>0</v>
      </c>
      <c r="F44" s="159">
        <f>E44/F11</f>
        <v>0</v>
      </c>
      <c r="G44" s="177">
        <f>E44/$E$47</f>
        <v>0</v>
      </c>
      <c r="H44" s="80"/>
      <c r="I44" s="91">
        <f>SUM(I40:I43)</f>
        <v>118584</v>
      </c>
      <c r="J44" s="89">
        <f>I44/J11</f>
        <v>385.01298701298703</v>
      </c>
      <c r="K44" s="175">
        <f>I44/$I$47</f>
        <v>1.5879928329811423E-2</v>
      </c>
      <c r="M44" s="102">
        <f>SUM(M40:M43)</f>
        <v>0</v>
      </c>
      <c r="N44" s="102">
        <f>M44/N11</f>
        <v>0</v>
      </c>
      <c r="P44" s="91">
        <f>SUM(P40:P43)</f>
        <v>302859</v>
      </c>
      <c r="Q44" s="89">
        <f>P44/Q11</f>
        <v>796.99736842105267</v>
      </c>
      <c r="R44" s="175">
        <f>P44/$P$47</f>
        <v>1.6849251828661135E-2</v>
      </c>
      <c r="T44" s="102">
        <f>SUM(T40:T43)</f>
        <v>0</v>
      </c>
      <c r="U44" s="102">
        <f>T44/U11</f>
        <v>0</v>
      </c>
      <c r="W44" s="91">
        <f>SUM(W40:W43)</f>
        <v>372175</v>
      </c>
      <c r="X44" s="89">
        <f>W44/X11</f>
        <v>745.84168336673349</v>
      </c>
      <c r="Y44" s="175">
        <f>W44/$W$47</f>
        <v>2.7720946764460699E-2</v>
      </c>
      <c r="AA44" s="102">
        <f>SUM(AA40:AA43)</f>
        <v>0</v>
      </c>
      <c r="AB44" s="102">
        <f>AA44/AB11</f>
        <v>0</v>
      </c>
      <c r="AD44" s="91">
        <f>SUM(AD40:AD43)</f>
        <v>0</v>
      </c>
      <c r="AE44" s="89" t="e">
        <f>AD44/AE11</f>
        <v>#DIV/0!</v>
      </c>
      <c r="AG44" s="102" t="e">
        <f>SUM(AG40:AG43)</f>
        <v>#DIV/0!</v>
      </c>
      <c r="AH44" s="102" t="e">
        <f>AG44/AH11</f>
        <v>#DIV/0!</v>
      </c>
      <c r="AJ44" s="91">
        <f>SUM(AJ40:AJ43)</f>
        <v>0</v>
      </c>
      <c r="AK44" s="89" t="e">
        <f>AJ44/AK11</f>
        <v>#DIV/0!</v>
      </c>
      <c r="AM44" s="102" t="e">
        <f>SUM(AM40:AM43)</f>
        <v>#DIV/0!</v>
      </c>
      <c r="AN44" s="102" t="e">
        <f>AM44/AN11</f>
        <v>#DIV/0!</v>
      </c>
      <c r="AP44" s="91">
        <f>SUM(AP40:AP43)</f>
        <v>0</v>
      </c>
      <c r="AQ44" s="89" t="e">
        <f>AP44/AQ11</f>
        <v>#DIV/0!</v>
      </c>
      <c r="AS44" s="102" t="e">
        <f>SUM(AS40:AS43)</f>
        <v>#DIV/0!</v>
      </c>
      <c r="AT44" s="102" t="e">
        <f>AS44/AT11</f>
        <v>#DIV/0!</v>
      </c>
      <c r="AV44" s="91">
        <f>SUM(AV40:AV43)</f>
        <v>0</v>
      </c>
      <c r="AW44" s="89" t="e">
        <f>AV44/AW11</f>
        <v>#DIV/0!</v>
      </c>
      <c r="AY44" s="102" t="e">
        <f>SUM(AY40:AY43)</f>
        <v>#DIV/0!</v>
      </c>
      <c r="AZ44" s="102" t="e">
        <f>AY44/AZ11</f>
        <v>#DIV/0!</v>
      </c>
    </row>
    <row r="45" spans="2:52" ht="6" customHeight="1" x14ac:dyDescent="0.2">
      <c r="B45" s="26"/>
      <c r="C45" s="35"/>
      <c r="D45" s="103"/>
      <c r="E45" s="104"/>
      <c r="F45" s="103"/>
      <c r="G45" s="103"/>
      <c r="H45" s="80"/>
      <c r="I45" s="105"/>
      <c r="J45" s="105"/>
      <c r="K45" s="105"/>
      <c r="M45" s="35"/>
      <c r="N45" s="103"/>
      <c r="P45" s="105"/>
      <c r="Q45" s="105"/>
      <c r="R45" s="105"/>
      <c r="T45" s="35"/>
      <c r="U45" s="103"/>
      <c r="W45" s="105"/>
      <c r="X45" s="105"/>
      <c r="Y45" s="105"/>
      <c r="AA45" s="35"/>
      <c r="AB45" s="103"/>
      <c r="AD45" s="105"/>
      <c r="AE45" s="105"/>
      <c r="AG45" s="35"/>
      <c r="AH45" s="103"/>
      <c r="AJ45" s="105"/>
      <c r="AK45" s="105"/>
      <c r="AM45" s="35"/>
      <c r="AN45" s="103"/>
      <c r="AP45" s="105"/>
      <c r="AQ45" s="105"/>
      <c r="AS45" s="35"/>
      <c r="AT45" s="103"/>
      <c r="AV45" s="105"/>
      <c r="AW45" s="105"/>
      <c r="AY45" s="35"/>
      <c r="AZ45" s="103"/>
    </row>
    <row r="46" spans="2:52" ht="6" customHeight="1" x14ac:dyDescent="0.2">
      <c r="B46" s="27"/>
      <c r="C46" s="23"/>
      <c r="D46" s="79"/>
      <c r="E46" s="88"/>
      <c r="F46" s="79"/>
      <c r="G46" s="79"/>
      <c r="H46" s="80"/>
      <c r="J46" s="32"/>
      <c r="K46" s="32"/>
      <c r="M46" s="23"/>
      <c r="N46" s="79"/>
      <c r="P46" s="32"/>
      <c r="Q46" s="32"/>
      <c r="R46" s="32"/>
      <c r="T46" s="23"/>
      <c r="U46" s="79"/>
      <c r="W46" s="32"/>
      <c r="X46" s="32"/>
      <c r="Y46" s="32"/>
      <c r="AA46" s="23"/>
      <c r="AB46" s="79"/>
      <c r="AD46" s="32"/>
      <c r="AE46" s="32"/>
      <c r="AG46" s="23"/>
      <c r="AH46" s="79"/>
      <c r="AJ46" s="32"/>
      <c r="AK46" s="32"/>
      <c r="AM46" s="23"/>
      <c r="AN46" s="79"/>
      <c r="AP46" s="32"/>
      <c r="AQ46" s="32"/>
      <c r="AS46" s="23"/>
      <c r="AT46" s="79"/>
      <c r="AV46" s="32"/>
      <c r="AW46" s="32"/>
      <c r="AY46" s="23"/>
      <c r="AZ46" s="79"/>
    </row>
    <row r="47" spans="2:52" x14ac:dyDescent="0.2">
      <c r="B47" s="106" t="s">
        <v>31</v>
      </c>
      <c r="C47" s="107">
        <f>C18</f>
        <v>105600</v>
      </c>
      <c r="D47" s="16" t="s">
        <v>6</v>
      </c>
      <c r="E47" s="107">
        <f>E44+E37+E29</f>
        <v>11477402</v>
      </c>
      <c r="F47" s="101">
        <f>E47/F11</f>
        <v>28693.505000000001</v>
      </c>
      <c r="G47" s="171">
        <f>E47/$E$47</f>
        <v>1</v>
      </c>
      <c r="H47" s="68"/>
      <c r="I47" s="91">
        <f>I44+I37+I29</f>
        <v>7467540</v>
      </c>
      <c r="J47" s="91">
        <f>I47/J11</f>
        <v>24245.259740259738</v>
      </c>
      <c r="K47" s="175">
        <f>I47/$I$47</f>
        <v>1</v>
      </c>
      <c r="M47" s="114">
        <f>M44+M37+M29</f>
        <v>11414000</v>
      </c>
      <c r="N47" s="114">
        <f>M47/N11</f>
        <v>28535</v>
      </c>
      <c r="P47" s="91">
        <f>P44+P37+P29</f>
        <v>17974626</v>
      </c>
      <c r="Q47" s="91">
        <f>P47/Q11</f>
        <v>47301.64736842105</v>
      </c>
      <c r="R47" s="175">
        <f>P47/$P$47</f>
        <v>1</v>
      </c>
      <c r="T47" s="102">
        <f>T44+T37+T29</f>
        <v>23023000</v>
      </c>
      <c r="U47" s="102">
        <f>T47/U11</f>
        <v>57557.5</v>
      </c>
      <c r="W47" s="91">
        <f>W44+W37+W29</f>
        <v>13425768</v>
      </c>
      <c r="X47" s="91">
        <f>W47/X11</f>
        <v>26905.346693386775</v>
      </c>
      <c r="Y47" s="175">
        <f>W47/$W$47</f>
        <v>1</v>
      </c>
      <c r="AA47" s="102">
        <f>AA44+AA37+AA29</f>
        <v>12749000</v>
      </c>
      <c r="AB47" s="102">
        <f>AA47/AB11</f>
        <v>31872.5</v>
      </c>
      <c r="AD47" s="91">
        <f>AD44+AD37+AD29</f>
        <v>0</v>
      </c>
      <c r="AE47" s="91" t="e">
        <f>AD47/AE11</f>
        <v>#DIV/0!</v>
      </c>
      <c r="AG47" s="102" t="e">
        <f>AG44+AG37+AG29</f>
        <v>#DIV/0!</v>
      </c>
      <c r="AH47" s="102" t="e">
        <f>AG47/AH11</f>
        <v>#DIV/0!</v>
      </c>
      <c r="AJ47" s="108">
        <f>AJ44+AJ37+AJ29</f>
        <v>0</v>
      </c>
      <c r="AK47" s="91" t="e">
        <f>AJ47/AK11</f>
        <v>#DIV/0!</v>
      </c>
      <c r="AM47" s="102" t="e">
        <f>AM44+AM37+AM29</f>
        <v>#DIV/0!</v>
      </c>
      <c r="AN47" s="102" t="e">
        <f>AM47/AN11</f>
        <v>#DIV/0!</v>
      </c>
      <c r="AP47" s="108">
        <f>AP44+AP37+AP29</f>
        <v>0</v>
      </c>
      <c r="AQ47" s="91" t="e">
        <f>AP47/AQ11</f>
        <v>#DIV/0!</v>
      </c>
      <c r="AS47" s="102" t="e">
        <f>AS44+AS37+AS29</f>
        <v>#DIV/0!</v>
      </c>
      <c r="AT47" s="102" t="e">
        <f>AS47/AT11</f>
        <v>#DIV/0!</v>
      </c>
      <c r="AV47" s="108">
        <f>AV44+AV37+AV29</f>
        <v>0</v>
      </c>
      <c r="AW47" s="91" t="e">
        <f>AV47/AW11</f>
        <v>#DIV/0!</v>
      </c>
      <c r="AY47" s="102" t="e">
        <f>AY44+AY37+AY29</f>
        <v>#DIV/0!</v>
      </c>
      <c r="AZ47" s="102" t="e">
        <f>AY47/AZ11</f>
        <v>#DIV/0!</v>
      </c>
    </row>
    <row r="48" spans="2:52" x14ac:dyDescent="0.2">
      <c r="B48" s="27"/>
      <c r="C48" s="23"/>
      <c r="D48" s="79"/>
      <c r="E48" s="88"/>
      <c r="F48" s="79"/>
      <c r="G48" s="79"/>
      <c r="H48" s="80"/>
      <c r="J48" s="32"/>
      <c r="K48" s="32"/>
      <c r="M48" s="23"/>
      <c r="N48" s="79"/>
      <c r="P48" s="32"/>
      <c r="Q48" s="32"/>
      <c r="R48" s="32"/>
      <c r="T48" s="23"/>
      <c r="U48" s="79"/>
      <c r="W48" s="32"/>
      <c r="X48" s="32"/>
      <c r="Y48" s="32"/>
      <c r="AA48" s="23"/>
      <c r="AB48" s="79"/>
      <c r="AD48" s="32"/>
      <c r="AE48" s="32"/>
      <c r="AG48" s="23"/>
      <c r="AH48" s="79"/>
      <c r="AJ48" s="32"/>
      <c r="AK48" s="32"/>
      <c r="AM48" s="23"/>
      <c r="AN48" s="79"/>
      <c r="AP48" s="32"/>
      <c r="AQ48" s="32"/>
      <c r="AS48" s="23"/>
      <c r="AT48" s="79"/>
      <c r="AV48" s="32"/>
      <c r="AW48" s="32"/>
      <c r="AY48" s="23"/>
      <c r="AZ48" s="79"/>
    </row>
    <row r="49" spans="2:52" x14ac:dyDescent="0.2">
      <c r="B49" s="78" t="s">
        <v>59</v>
      </c>
      <c r="C49" s="109">
        <f>E49/E37</f>
        <v>8.1304505392957874E-2</v>
      </c>
      <c r="D49" s="79"/>
      <c r="E49" s="88">
        <f>175440</f>
        <v>175440</v>
      </c>
      <c r="F49" s="88">
        <f>E49/F11</f>
        <v>438.6</v>
      </c>
      <c r="G49" s="88"/>
      <c r="H49" s="68"/>
      <c r="I49" s="89">
        <f>124024</f>
        <v>124024</v>
      </c>
      <c r="J49" s="91">
        <f>I49/J11</f>
        <v>402.6753246753247</v>
      </c>
      <c r="K49" s="91"/>
      <c r="M49" s="85">
        <f>ROUND(J49*N11*M17*N17,-3)</f>
        <v>161000</v>
      </c>
      <c r="N49" s="88">
        <f>M49/N11</f>
        <v>402.5</v>
      </c>
      <c r="P49" s="89">
        <f>334291</f>
        <v>334291</v>
      </c>
      <c r="Q49" s="91">
        <f>P49/Q11</f>
        <v>879.71315789473681</v>
      </c>
      <c r="R49" s="91"/>
      <c r="T49" s="85">
        <f>ROUND(Q49*U11*T17*U17,-3)</f>
        <v>352000</v>
      </c>
      <c r="U49" s="88">
        <f>T49/U11</f>
        <v>880</v>
      </c>
      <c r="W49" s="89">
        <f>379095</f>
        <v>379095</v>
      </c>
      <c r="X49" s="91">
        <f>W49/X11</f>
        <v>759.70941883767534</v>
      </c>
      <c r="Y49" s="91"/>
      <c r="AA49" s="85">
        <f>ROUND(X49*AB11*AA17*AB17,-3)</f>
        <v>304000</v>
      </c>
      <c r="AB49" s="88">
        <f>AA49/AB11</f>
        <v>760</v>
      </c>
      <c r="AD49" s="89">
        <v>0</v>
      </c>
      <c r="AE49" s="91" t="e">
        <f>AD49/AE11</f>
        <v>#DIV/0!</v>
      </c>
      <c r="AG49" s="85" t="e">
        <f>ROUND(AE49*AH11*AG17*AH17,-3)</f>
        <v>#DIV/0!</v>
      </c>
      <c r="AH49" s="88" t="e">
        <f>AG49/AH11</f>
        <v>#DIV/0!</v>
      </c>
      <c r="AJ49" s="89">
        <v>0</v>
      </c>
      <c r="AK49" s="91" t="e">
        <f>AJ49/AK11</f>
        <v>#DIV/0!</v>
      </c>
      <c r="AM49" s="85" t="e">
        <f>ROUND(AK49*AN11*AM17*AN17,-3)</f>
        <v>#DIV/0!</v>
      </c>
      <c r="AN49" s="88" t="e">
        <f>AM49/AN11</f>
        <v>#DIV/0!</v>
      </c>
      <c r="AP49" s="89">
        <v>0</v>
      </c>
      <c r="AQ49" s="91" t="e">
        <f>AP49/AQ11</f>
        <v>#DIV/0!</v>
      </c>
      <c r="AS49" s="85" t="e">
        <f>ROUND(AQ49*AT11*AS17*AT17,-3)</f>
        <v>#DIV/0!</v>
      </c>
      <c r="AT49" s="88" t="e">
        <f>AS49/AT11</f>
        <v>#DIV/0!</v>
      </c>
      <c r="AV49" s="89">
        <v>0</v>
      </c>
      <c r="AW49" s="91" t="e">
        <f>AV49/AW11</f>
        <v>#DIV/0!</v>
      </c>
      <c r="AY49" s="85" t="e">
        <f>ROUND(AW49*AZ11*AY17*AZ17,-3)</f>
        <v>#DIV/0!</v>
      </c>
      <c r="AZ49" s="88" t="e">
        <f>AY49/AZ11</f>
        <v>#DIV/0!</v>
      </c>
    </row>
    <row r="50" spans="2:52" x14ac:dyDescent="0.2">
      <c r="B50" s="78" t="s">
        <v>60</v>
      </c>
      <c r="C50" s="109">
        <f>E50/E37</f>
        <v>7.6222973805898001E-2</v>
      </c>
      <c r="D50" s="79"/>
      <c r="E50" s="88">
        <v>164475</v>
      </c>
      <c r="F50" s="88">
        <f>E50/F11</f>
        <v>411.1875</v>
      </c>
      <c r="G50" s="88"/>
      <c r="H50" s="68"/>
      <c r="I50" s="89">
        <f>242588</f>
        <v>242588</v>
      </c>
      <c r="J50" s="91">
        <f>I50/J11</f>
        <v>787.62337662337666</v>
      </c>
      <c r="K50" s="91"/>
      <c r="M50" s="85">
        <f>ROUND(J49*N11*M17*N17,-3)</f>
        <v>161000</v>
      </c>
      <c r="N50" s="88">
        <f>M50/N11</f>
        <v>402.5</v>
      </c>
      <c r="P50" s="89">
        <f>312135</f>
        <v>312135</v>
      </c>
      <c r="Q50" s="91">
        <f>P50/Q11</f>
        <v>821.40789473684208</v>
      </c>
      <c r="R50" s="91"/>
      <c r="T50" s="85">
        <f>ROUND(Q50*U11*T17*U17,-3)</f>
        <v>329000</v>
      </c>
      <c r="U50" s="88">
        <f>T50/U11</f>
        <v>822.5</v>
      </c>
      <c r="W50" s="89">
        <f>280601</f>
        <v>280601</v>
      </c>
      <c r="X50" s="91">
        <f>W50/X11</f>
        <v>562.32665330661325</v>
      </c>
      <c r="Y50" s="91"/>
      <c r="AA50" s="85">
        <f>ROUND(X50*AB11*AA17*AB17,-3)</f>
        <v>225000</v>
      </c>
      <c r="AB50" s="88">
        <f>AA50/AB11</f>
        <v>562.5</v>
      </c>
      <c r="AD50" s="89">
        <v>0</v>
      </c>
      <c r="AE50" s="91" t="e">
        <f>AD50/AE11</f>
        <v>#DIV/0!</v>
      </c>
      <c r="AG50" s="85" t="e">
        <f>ROUND(AE49*AH11*AG17*AH17,-3)</f>
        <v>#DIV/0!</v>
      </c>
      <c r="AH50" s="88" t="e">
        <f>AG50/AH11</f>
        <v>#DIV/0!</v>
      </c>
      <c r="AJ50" s="89">
        <v>0</v>
      </c>
      <c r="AK50" s="91" t="e">
        <f>AJ50/AK11</f>
        <v>#DIV/0!</v>
      </c>
      <c r="AM50" s="85" t="e">
        <f>ROUND(AK49*AN11*AM17*AN17,-3)</f>
        <v>#DIV/0!</v>
      </c>
      <c r="AN50" s="88" t="e">
        <f>AM50/AN11</f>
        <v>#DIV/0!</v>
      </c>
      <c r="AP50" s="89">
        <v>0</v>
      </c>
      <c r="AQ50" s="91" t="e">
        <f>AP50/AQ11</f>
        <v>#DIV/0!</v>
      </c>
      <c r="AS50" s="85" t="e">
        <f>ROUND(AQ49*AT11*AS17*AT17,-3)</f>
        <v>#DIV/0!</v>
      </c>
      <c r="AT50" s="88" t="e">
        <f>AS50/AT11</f>
        <v>#DIV/0!</v>
      </c>
      <c r="AV50" s="89">
        <v>0</v>
      </c>
      <c r="AW50" s="91" t="e">
        <f>AV50/AW11</f>
        <v>#DIV/0!</v>
      </c>
      <c r="AY50" s="85" t="e">
        <f>ROUND(AW49*AZ11*AY17*AZ17,-3)</f>
        <v>#DIV/0!</v>
      </c>
      <c r="AZ50" s="88" t="e">
        <f>AY50/AZ11</f>
        <v>#DIV/0!</v>
      </c>
    </row>
    <row r="51" spans="2:52" x14ac:dyDescent="0.2">
      <c r="B51" s="27"/>
      <c r="C51" s="23"/>
      <c r="D51" s="79"/>
      <c r="E51" s="88"/>
      <c r="F51" s="79"/>
      <c r="G51" s="79"/>
      <c r="H51" s="80"/>
      <c r="J51" s="32"/>
      <c r="K51" s="32"/>
      <c r="M51" s="23"/>
      <c r="N51" s="79"/>
      <c r="P51" s="32"/>
      <c r="Q51" s="32"/>
      <c r="R51" s="32"/>
      <c r="T51" s="23"/>
      <c r="U51" s="79"/>
      <c r="W51" s="32"/>
      <c r="X51" s="32"/>
      <c r="Y51" s="32"/>
      <c r="AA51" s="23"/>
      <c r="AB51" s="79"/>
      <c r="AD51" s="32"/>
      <c r="AE51" s="32"/>
      <c r="AG51" s="23"/>
      <c r="AH51" s="79"/>
      <c r="AJ51" s="32"/>
      <c r="AK51" s="32"/>
      <c r="AM51" s="23"/>
      <c r="AN51" s="79"/>
      <c r="AP51" s="32"/>
      <c r="AQ51" s="32"/>
      <c r="AS51" s="23"/>
      <c r="AT51" s="79"/>
      <c r="AV51" s="32"/>
      <c r="AW51" s="32"/>
      <c r="AY51" s="23"/>
      <c r="AZ51" s="79"/>
    </row>
    <row r="52" spans="2:52" x14ac:dyDescent="0.2">
      <c r="B52" s="78" t="s">
        <v>10</v>
      </c>
      <c r="C52" s="23"/>
      <c r="D52" s="79"/>
      <c r="E52" s="88"/>
      <c r="F52" s="79"/>
      <c r="G52" s="79"/>
      <c r="H52" s="80"/>
      <c r="J52" s="32"/>
      <c r="K52" s="32"/>
      <c r="M52" s="23"/>
      <c r="N52" s="79"/>
      <c r="P52" s="32"/>
      <c r="Q52" s="32"/>
      <c r="R52" s="32"/>
      <c r="T52" s="23"/>
      <c r="U52" s="79"/>
      <c r="W52" s="32"/>
      <c r="X52" s="32"/>
      <c r="Y52" s="32"/>
      <c r="AA52" s="23"/>
      <c r="AB52" s="79"/>
      <c r="AD52" s="32"/>
      <c r="AE52" s="32"/>
      <c r="AG52" s="23"/>
      <c r="AH52" s="79"/>
      <c r="AJ52" s="32"/>
      <c r="AK52" s="32"/>
      <c r="AM52" s="23"/>
      <c r="AN52" s="79"/>
      <c r="AP52" s="32"/>
      <c r="AQ52" s="32"/>
      <c r="AS52" s="23"/>
      <c r="AT52" s="79"/>
      <c r="AV52" s="32"/>
      <c r="AW52" s="32"/>
      <c r="AY52" s="23"/>
      <c r="AZ52" s="79"/>
    </row>
    <row r="53" spans="2:52" x14ac:dyDescent="0.2">
      <c r="B53" s="22" t="s">
        <v>66</v>
      </c>
      <c r="C53" s="23">
        <v>1</v>
      </c>
      <c r="D53" s="79" t="s">
        <v>7</v>
      </c>
      <c r="E53" s="88">
        <f>1300000</f>
        <v>1300000</v>
      </c>
      <c r="F53" s="88">
        <f>E53/F11</f>
        <v>3250</v>
      </c>
      <c r="G53" s="88"/>
      <c r="H53" s="80"/>
      <c r="I53" s="89">
        <f>1184668</f>
        <v>1184668</v>
      </c>
      <c r="J53" s="91">
        <f>I53/J11</f>
        <v>3846.3246753246754</v>
      </c>
      <c r="K53" s="91"/>
      <c r="M53" s="85">
        <f>ROUND(J53*N11*M17*N17,-3)</f>
        <v>1539000</v>
      </c>
      <c r="N53" s="88">
        <f>M53/N11</f>
        <v>3847.5</v>
      </c>
      <c r="P53" s="89">
        <f>834330</f>
        <v>834330</v>
      </c>
      <c r="Q53" s="91">
        <f>P53/Q11</f>
        <v>2195.6052631578946</v>
      </c>
      <c r="R53" s="91"/>
      <c r="T53" s="85">
        <f>ROUND(Q53*U11*T17*U17,-3)</f>
        <v>878000</v>
      </c>
      <c r="U53" s="88">
        <f>T53/U11</f>
        <v>2195</v>
      </c>
      <c r="W53" s="89">
        <f>1584340</f>
        <v>1584340</v>
      </c>
      <c r="X53" s="91">
        <f>W53/X11</f>
        <v>3175.0300601202407</v>
      </c>
      <c r="Y53" s="91"/>
      <c r="AA53" s="85">
        <f>ROUND(X53*AB11*AA17*AB17,-3)</f>
        <v>1270000</v>
      </c>
      <c r="AB53" s="88">
        <f>AA53/AB11</f>
        <v>3175</v>
      </c>
      <c r="AD53" s="89">
        <v>0</v>
      </c>
      <c r="AE53" s="91" t="e">
        <f>AD53/AE11</f>
        <v>#DIV/0!</v>
      </c>
      <c r="AG53" s="85" t="e">
        <f>ROUND(AE53*AH11*AG17*AH17,-3)</f>
        <v>#DIV/0!</v>
      </c>
      <c r="AH53" s="88" t="e">
        <f>AG53/AH11</f>
        <v>#DIV/0!</v>
      </c>
      <c r="AJ53" s="89">
        <v>0</v>
      </c>
      <c r="AK53" s="91" t="e">
        <f>AJ53/AK11</f>
        <v>#DIV/0!</v>
      </c>
      <c r="AM53" s="85" t="e">
        <f>ROUND(AK53*AN11*AM17*AN17,-3)</f>
        <v>#DIV/0!</v>
      </c>
      <c r="AN53" s="88" t="e">
        <f>AM53/AN11</f>
        <v>#DIV/0!</v>
      </c>
      <c r="AP53" s="89">
        <v>0</v>
      </c>
      <c r="AQ53" s="91" t="e">
        <f>AP53/AQ11</f>
        <v>#DIV/0!</v>
      </c>
      <c r="AS53" s="85" t="e">
        <f>ROUND(AQ53*AT11*AS17*AT17,-3)</f>
        <v>#DIV/0!</v>
      </c>
      <c r="AT53" s="88" t="e">
        <f>AS53/AT11</f>
        <v>#DIV/0!</v>
      </c>
      <c r="AV53" s="89">
        <v>0</v>
      </c>
      <c r="AW53" s="91" t="e">
        <f>AV53/AW11</f>
        <v>#DIV/0!</v>
      </c>
      <c r="AY53" s="85" t="e">
        <f>ROUND(AW53*AZ11*AY17*AZ17,-3)</f>
        <v>#DIV/0!</v>
      </c>
      <c r="AZ53" s="88" t="e">
        <f>AY53/AZ11</f>
        <v>#DIV/0!</v>
      </c>
    </row>
    <row r="54" spans="2:52" x14ac:dyDescent="0.2">
      <c r="B54" s="22" t="s">
        <v>65</v>
      </c>
      <c r="C54" s="23">
        <v>1</v>
      </c>
      <c r="D54" s="79" t="s">
        <v>7</v>
      </c>
      <c r="E54" s="88">
        <f>2000000+50000</f>
        <v>2050000</v>
      </c>
      <c r="F54" s="88">
        <f>E54/F11</f>
        <v>5125</v>
      </c>
      <c r="G54" s="88"/>
      <c r="H54" s="80"/>
      <c r="I54" s="89">
        <f>1569867</f>
        <v>1569867</v>
      </c>
      <c r="J54" s="91">
        <f>I54/J11</f>
        <v>5096.9707792207791</v>
      </c>
      <c r="K54" s="91"/>
      <c r="M54" s="85">
        <f>ROUND(J54*N11*M17*N17,-3)</f>
        <v>2039000</v>
      </c>
      <c r="N54" s="88">
        <f>M54/N11</f>
        <v>5097.5</v>
      </c>
      <c r="P54" s="89">
        <v>1105615</v>
      </c>
      <c r="Q54" s="91">
        <f>P54/Q11</f>
        <v>2909.5131578947367</v>
      </c>
      <c r="R54" s="91"/>
      <c r="T54" s="85">
        <f>ROUND(Q54*U11*T17*U17,-3)</f>
        <v>1164000</v>
      </c>
      <c r="U54" s="88">
        <f>T54/U11</f>
        <v>2910</v>
      </c>
      <c r="W54" s="89">
        <f>2099494</f>
        <v>2099494</v>
      </c>
      <c r="X54" s="91">
        <f>W54/X11</f>
        <v>4207.402805611222</v>
      </c>
      <c r="Y54" s="91"/>
      <c r="AA54" s="85">
        <f>ROUND(X54*AB11*AA17*AB17,-3)</f>
        <v>1683000</v>
      </c>
      <c r="AB54" s="88">
        <f>AA54/AB11</f>
        <v>4207.5</v>
      </c>
      <c r="AD54" s="89">
        <v>0</v>
      </c>
      <c r="AE54" s="91" t="e">
        <f>AD54/AE11</f>
        <v>#DIV/0!</v>
      </c>
      <c r="AG54" s="85" t="e">
        <f>ROUND(AE54*AH11*AG17*AH17,-3)</f>
        <v>#DIV/0!</v>
      </c>
      <c r="AH54" s="88" t="e">
        <f>AG54/AH11</f>
        <v>#DIV/0!</v>
      </c>
      <c r="AJ54" s="89">
        <v>0</v>
      </c>
      <c r="AK54" s="91" t="e">
        <f>AJ54/AK11</f>
        <v>#DIV/0!</v>
      </c>
      <c r="AM54" s="85" t="e">
        <f>ROUND(AK54*AN11*AM17*AN17,-3)</f>
        <v>#DIV/0!</v>
      </c>
      <c r="AN54" s="88" t="e">
        <f>AM54/AN11</f>
        <v>#DIV/0!</v>
      </c>
      <c r="AP54" s="89">
        <v>0</v>
      </c>
      <c r="AQ54" s="91" t="e">
        <f>AP54/AQ11</f>
        <v>#DIV/0!</v>
      </c>
      <c r="AS54" s="85" t="e">
        <f>ROUND(AQ54*AT11*AS17*AT17,-3)</f>
        <v>#DIV/0!</v>
      </c>
      <c r="AT54" s="88" t="e">
        <f>AS54/AT11</f>
        <v>#DIV/0!</v>
      </c>
      <c r="AV54" s="89">
        <v>0</v>
      </c>
      <c r="AW54" s="91" t="e">
        <f>AV54/AW11</f>
        <v>#DIV/0!</v>
      </c>
      <c r="AY54" s="85" t="e">
        <f>ROUND(AW54*AZ11*AY17*AZ17,-3)</f>
        <v>#DIV/0!</v>
      </c>
      <c r="AZ54" s="88" t="e">
        <f>AY54/AZ11</f>
        <v>#DIV/0!</v>
      </c>
    </row>
    <row r="55" spans="2:52" x14ac:dyDescent="0.2">
      <c r="B55" s="22" t="s">
        <v>11</v>
      </c>
      <c r="C55" s="23">
        <v>1</v>
      </c>
      <c r="D55" s="79" t="s">
        <v>7</v>
      </c>
      <c r="E55" s="88">
        <f>500000</f>
        <v>500000</v>
      </c>
      <c r="F55" s="88">
        <f>E55/F11</f>
        <v>1250</v>
      </c>
      <c r="G55" s="88"/>
      <c r="H55" s="80"/>
      <c r="I55" s="89">
        <f>348838</f>
        <v>348838</v>
      </c>
      <c r="J55" s="91">
        <f>I55/J11</f>
        <v>1132.590909090909</v>
      </c>
      <c r="K55" s="91"/>
      <c r="M55" s="85">
        <f>ROUND(J55*N11*M17*N17,-3)</f>
        <v>453000</v>
      </c>
      <c r="N55" s="88">
        <f>M55/N11</f>
        <v>1132.5</v>
      </c>
      <c r="P55" s="89">
        <f>370370</f>
        <v>370370</v>
      </c>
      <c r="Q55" s="91">
        <f>P55/Q11</f>
        <v>974.65789473684208</v>
      </c>
      <c r="R55" s="91"/>
      <c r="T55" s="85">
        <f>ROUND(Q55*U11*T17*U17,-3)</f>
        <v>390000</v>
      </c>
      <c r="U55" s="88">
        <f>T55/U11</f>
        <v>975</v>
      </c>
      <c r="W55" s="89">
        <f>525154</f>
        <v>525154</v>
      </c>
      <c r="X55" s="91">
        <f>W55/X11</f>
        <v>1052.4128256513027</v>
      </c>
      <c r="Y55" s="91"/>
      <c r="AA55" s="85">
        <f>ROUND(X55*AB11*AA17*AB17,-3)</f>
        <v>421000</v>
      </c>
      <c r="AB55" s="88">
        <f>AA55/AB11</f>
        <v>1052.5</v>
      </c>
      <c r="AD55" s="89">
        <v>0</v>
      </c>
      <c r="AE55" s="91" t="e">
        <f>AD55/AE11</f>
        <v>#DIV/0!</v>
      </c>
      <c r="AG55" s="85" t="e">
        <f>ROUND(AE55*AH11*AG17*AH17,-3)</f>
        <v>#DIV/0!</v>
      </c>
      <c r="AH55" s="88" t="e">
        <f>AG55/AH11</f>
        <v>#DIV/0!</v>
      </c>
      <c r="AJ55" s="89">
        <v>0</v>
      </c>
      <c r="AK55" s="91" t="e">
        <f>AJ55/AK11</f>
        <v>#DIV/0!</v>
      </c>
      <c r="AM55" s="85" t="e">
        <f>ROUND(AK55*AN11*AM17*AN17,-3)</f>
        <v>#DIV/0!</v>
      </c>
      <c r="AN55" s="88" t="e">
        <f>AM55/AN11</f>
        <v>#DIV/0!</v>
      </c>
      <c r="AP55" s="89">
        <v>0</v>
      </c>
      <c r="AQ55" s="91" t="e">
        <f>AP55/AQ11</f>
        <v>#DIV/0!</v>
      </c>
      <c r="AS55" s="85" t="e">
        <f>ROUND(AQ55*AT11*AS17*AT17,-3)</f>
        <v>#DIV/0!</v>
      </c>
      <c r="AT55" s="88" t="e">
        <f>AS55/AT11</f>
        <v>#DIV/0!</v>
      </c>
      <c r="AV55" s="89">
        <v>0</v>
      </c>
      <c r="AW55" s="91" t="e">
        <f>AV55/AW11</f>
        <v>#DIV/0!</v>
      </c>
      <c r="AY55" s="85" t="e">
        <f>ROUND(AW55*AZ11*AY17*AZ17,-3)</f>
        <v>#DIV/0!</v>
      </c>
      <c r="AZ55" s="88" t="e">
        <f>AY55/AZ11</f>
        <v>#DIV/0!</v>
      </c>
    </row>
    <row r="56" spans="2:52" ht="6" customHeight="1" x14ac:dyDescent="0.2">
      <c r="B56" s="93"/>
      <c r="C56" s="94"/>
      <c r="D56" s="95"/>
      <c r="E56" s="96"/>
      <c r="F56" s="95"/>
      <c r="G56" s="95"/>
      <c r="H56" s="80"/>
      <c r="I56" s="110"/>
      <c r="J56" s="111"/>
      <c r="K56" s="111"/>
      <c r="M56" s="94"/>
      <c r="N56" s="95"/>
      <c r="P56" s="110"/>
      <c r="Q56" s="111"/>
      <c r="R56" s="111"/>
      <c r="T56" s="94"/>
      <c r="U56" s="95"/>
      <c r="W56" s="110"/>
      <c r="X56" s="111"/>
      <c r="Y56" s="111"/>
      <c r="AA56" s="94"/>
      <c r="AB56" s="95"/>
      <c r="AD56" s="110"/>
      <c r="AE56" s="111"/>
      <c r="AG56" s="94"/>
      <c r="AH56" s="95"/>
      <c r="AJ56" s="110"/>
      <c r="AK56" s="111"/>
      <c r="AM56" s="94"/>
      <c r="AN56" s="95"/>
      <c r="AP56" s="110"/>
      <c r="AQ56" s="111"/>
      <c r="AS56" s="94"/>
      <c r="AT56" s="95"/>
      <c r="AV56" s="110"/>
      <c r="AW56" s="111"/>
      <c r="AY56" s="94"/>
      <c r="AZ56" s="95"/>
    </row>
    <row r="57" spans="2:52" ht="6" customHeight="1" x14ac:dyDescent="0.2">
      <c r="B57" s="27"/>
      <c r="C57" s="23"/>
      <c r="D57" s="79"/>
      <c r="E57" s="88"/>
      <c r="F57" s="79"/>
      <c r="G57" s="79"/>
      <c r="H57" s="80"/>
      <c r="J57" s="32"/>
      <c r="K57" s="32"/>
      <c r="M57" s="23"/>
      <c r="N57" s="79"/>
      <c r="P57" s="32"/>
      <c r="Q57" s="32"/>
      <c r="R57" s="32"/>
      <c r="T57" s="23"/>
      <c r="U57" s="79"/>
      <c r="W57" s="32"/>
      <c r="X57" s="32"/>
      <c r="Y57" s="32"/>
      <c r="AA57" s="23"/>
      <c r="AB57" s="79"/>
      <c r="AD57" s="32"/>
      <c r="AE57" s="32"/>
      <c r="AG57" s="23"/>
      <c r="AH57" s="79"/>
      <c r="AJ57" s="32"/>
      <c r="AK57" s="32"/>
      <c r="AM57" s="23"/>
      <c r="AN57" s="79"/>
      <c r="AP57" s="32"/>
      <c r="AQ57" s="32"/>
      <c r="AS57" s="23"/>
      <c r="AT57" s="79"/>
      <c r="AV57" s="32"/>
      <c r="AW57" s="32"/>
      <c r="AY57" s="23"/>
      <c r="AZ57" s="79"/>
    </row>
    <row r="58" spans="2:52" x14ac:dyDescent="0.2">
      <c r="B58" s="98" t="s">
        <v>57</v>
      </c>
      <c r="C58" s="99">
        <v>1</v>
      </c>
      <c r="D58" s="100" t="s">
        <v>7</v>
      </c>
      <c r="E58" s="99">
        <f>SUM(E53:E57)</f>
        <v>3850000</v>
      </c>
      <c r="F58" s="159">
        <f>E58/F11</f>
        <v>9625</v>
      </c>
      <c r="G58" s="176">
        <f>E58/$E$47</f>
        <v>0.33544176635095641</v>
      </c>
      <c r="H58" s="80"/>
      <c r="I58" s="89">
        <f>SUM(I53:I57)</f>
        <v>3103373</v>
      </c>
      <c r="J58" s="91">
        <f>I58/J11</f>
        <v>10075.886363636364</v>
      </c>
      <c r="K58" s="175">
        <f>I58/$I$47</f>
        <v>0.41558170428280261</v>
      </c>
      <c r="M58" s="102">
        <f>SUM(M53:M57)</f>
        <v>4031000</v>
      </c>
      <c r="N58" s="102">
        <f>M58/N11</f>
        <v>10077.5</v>
      </c>
      <c r="P58" s="89">
        <f>SUM(P53:P57)</f>
        <v>2310315</v>
      </c>
      <c r="Q58" s="91">
        <f>P58/Q11</f>
        <v>6079.7763157894733</v>
      </c>
      <c r="R58" s="175">
        <f>P58/$P$47</f>
        <v>0.12853202063842664</v>
      </c>
      <c r="T58" s="102">
        <f>SUM(T53:T57)</f>
        <v>2432000</v>
      </c>
      <c r="U58" s="102">
        <f>T58/U11</f>
        <v>6080</v>
      </c>
      <c r="W58" s="89">
        <f>SUM(W53:W57)</f>
        <v>4208988</v>
      </c>
      <c r="X58" s="91">
        <f>W58/X11</f>
        <v>8434.8456913827649</v>
      </c>
      <c r="Y58" s="175">
        <f>W58/$W$47</f>
        <v>0.31350072487473341</v>
      </c>
      <c r="AA58" s="102">
        <f>SUM(AA53:AA57)</f>
        <v>3374000</v>
      </c>
      <c r="AB58" s="102">
        <f>AA58/AB11</f>
        <v>8435</v>
      </c>
      <c r="AD58" s="89">
        <f>SUM(AD53:AD57)</f>
        <v>0</v>
      </c>
      <c r="AE58" s="91" t="e">
        <f>AD58/AE11</f>
        <v>#DIV/0!</v>
      </c>
      <c r="AG58" s="102" t="e">
        <f>SUM(AG53:AG57)</f>
        <v>#DIV/0!</v>
      </c>
      <c r="AH58" s="102" t="e">
        <f>AG58/AH11</f>
        <v>#DIV/0!</v>
      </c>
      <c r="AJ58" s="89">
        <f>SUM(AJ53:AJ57)</f>
        <v>0</v>
      </c>
      <c r="AK58" s="91" t="e">
        <f>AJ58/AK11</f>
        <v>#DIV/0!</v>
      </c>
      <c r="AM58" s="102" t="e">
        <f>SUM(AM53:AM57)</f>
        <v>#DIV/0!</v>
      </c>
      <c r="AN58" s="102" t="e">
        <f>AM58/AN11</f>
        <v>#DIV/0!</v>
      </c>
      <c r="AP58" s="89">
        <f>SUM(AP53:AP57)</f>
        <v>0</v>
      </c>
      <c r="AQ58" s="91" t="e">
        <f>AP58/AQ11</f>
        <v>#DIV/0!</v>
      </c>
      <c r="AS58" s="102" t="e">
        <f>SUM(AS53:AS57)</f>
        <v>#DIV/0!</v>
      </c>
      <c r="AT58" s="102" t="e">
        <f>AS58/AT11</f>
        <v>#DIV/0!</v>
      </c>
      <c r="AV58" s="89">
        <f>SUM(AV53:AV57)</f>
        <v>0</v>
      </c>
      <c r="AW58" s="91" t="e">
        <f>AV58/AW11</f>
        <v>#DIV/0!</v>
      </c>
      <c r="AY58" s="102" t="e">
        <f>SUM(AY53:AY57)</f>
        <v>#DIV/0!</v>
      </c>
      <c r="AZ58" s="102" t="e">
        <f>AY58/AZ11</f>
        <v>#DIV/0!</v>
      </c>
    </row>
    <row r="59" spans="2:52" s="157" customFormat="1" ht="6" customHeight="1" x14ac:dyDescent="0.2">
      <c r="B59" s="86"/>
      <c r="C59" s="152"/>
      <c r="D59" s="153"/>
      <c r="E59" s="154"/>
      <c r="F59" s="154"/>
      <c r="G59" s="154"/>
      <c r="H59" s="80"/>
      <c r="I59" s="155"/>
      <c r="J59" s="156"/>
      <c r="K59" s="156"/>
      <c r="M59" s="158"/>
      <c r="N59" s="154"/>
      <c r="P59" s="155"/>
      <c r="Q59" s="156"/>
      <c r="R59" s="156"/>
      <c r="T59" s="158"/>
      <c r="U59" s="154"/>
      <c r="W59" s="155"/>
      <c r="X59" s="156"/>
      <c r="Y59" s="156"/>
      <c r="AA59" s="158"/>
      <c r="AB59" s="154"/>
      <c r="AD59" s="155"/>
      <c r="AE59" s="156"/>
      <c r="AG59" s="158"/>
      <c r="AH59" s="154"/>
      <c r="AJ59" s="155"/>
      <c r="AK59" s="156"/>
      <c r="AM59" s="158"/>
      <c r="AN59" s="154"/>
      <c r="AP59" s="155"/>
      <c r="AQ59" s="156"/>
      <c r="AS59" s="158"/>
      <c r="AT59" s="154"/>
      <c r="AV59" s="155"/>
      <c r="AW59" s="156"/>
      <c r="AY59" s="158"/>
      <c r="AZ59" s="154"/>
    </row>
    <row r="60" spans="2:52" x14ac:dyDescent="0.2">
      <c r="B60" s="22" t="s">
        <v>48</v>
      </c>
      <c r="C60" s="109">
        <f>E60/E93</f>
        <v>7.0637836351770495E-3</v>
      </c>
      <c r="D60" s="79"/>
      <c r="E60" s="88">
        <f>200000</f>
        <v>200000</v>
      </c>
      <c r="F60" s="88">
        <f>E60/F11</f>
        <v>500</v>
      </c>
      <c r="G60" s="88"/>
      <c r="H60" s="80"/>
      <c r="I60" s="91">
        <v>0</v>
      </c>
      <c r="J60" s="89">
        <f>I60/J11</f>
        <v>0</v>
      </c>
      <c r="K60" s="89"/>
      <c r="M60" s="217" t="s">
        <v>116</v>
      </c>
      <c r="N60" s="88">
        <v>0</v>
      </c>
      <c r="P60" s="91">
        <v>0</v>
      </c>
      <c r="Q60" s="89">
        <f>P60/Q11</f>
        <v>0</v>
      </c>
      <c r="R60" s="89"/>
      <c r="T60" s="217" t="s">
        <v>116</v>
      </c>
      <c r="U60" s="88">
        <v>0</v>
      </c>
      <c r="W60" s="91">
        <v>0</v>
      </c>
      <c r="X60" s="89">
        <f>W60/X11</f>
        <v>0</v>
      </c>
      <c r="Y60" s="89"/>
      <c r="AA60" s="217" t="s">
        <v>116</v>
      </c>
      <c r="AB60" s="88">
        <v>0</v>
      </c>
      <c r="AD60" s="91">
        <f>684</f>
        <v>684</v>
      </c>
      <c r="AE60" s="89" t="e">
        <f>AD60/AE11</f>
        <v>#DIV/0!</v>
      </c>
      <c r="AG60" s="85" t="e">
        <f>ROUND(AE60*AH11*AG17*AH17,-3)</f>
        <v>#DIV/0!</v>
      </c>
      <c r="AH60" s="88" t="e">
        <f>AG60/AH11</f>
        <v>#DIV/0!</v>
      </c>
      <c r="AJ60" s="91">
        <v>0</v>
      </c>
      <c r="AK60" s="89" t="e">
        <f>AJ60/AK11</f>
        <v>#DIV/0!</v>
      </c>
      <c r="AM60" s="85" t="e">
        <f>ROUND(AK60*AN11*AM17*AN17,-3)</f>
        <v>#DIV/0!</v>
      </c>
      <c r="AN60" s="88" t="e">
        <f>AM60/AN11</f>
        <v>#DIV/0!</v>
      </c>
      <c r="AP60" s="91">
        <v>0</v>
      </c>
      <c r="AQ60" s="89" t="e">
        <f>AP60/AQ11</f>
        <v>#DIV/0!</v>
      </c>
      <c r="AS60" s="85" t="e">
        <f>ROUND(AQ60*AT11*AS17*AT17,-3)</f>
        <v>#DIV/0!</v>
      </c>
      <c r="AT60" s="88" t="e">
        <f>AS60/AT11</f>
        <v>#DIV/0!</v>
      </c>
      <c r="AV60" s="91">
        <v>0</v>
      </c>
      <c r="AW60" s="89" t="e">
        <f>AV60/AW11</f>
        <v>#DIV/0!</v>
      </c>
      <c r="AY60" s="85" t="e">
        <f>ROUND(AW60*AZ11*AY17*AZ17,-3)</f>
        <v>#DIV/0!</v>
      </c>
      <c r="AZ60" s="88" t="e">
        <f>AY60/AZ11</f>
        <v>#DIV/0!</v>
      </c>
    </row>
    <row r="61" spans="2:52" ht="6" customHeight="1" x14ac:dyDescent="0.2">
      <c r="B61" s="27"/>
      <c r="C61" s="23"/>
      <c r="D61" s="79"/>
      <c r="E61" s="88"/>
      <c r="F61" s="79"/>
      <c r="G61" s="79"/>
      <c r="H61" s="80"/>
      <c r="J61" s="32"/>
      <c r="K61" s="32"/>
      <c r="M61" s="23"/>
      <c r="N61" s="79"/>
      <c r="P61" s="32"/>
      <c r="Q61" s="32"/>
      <c r="R61" s="32"/>
      <c r="T61" s="23"/>
      <c r="U61" s="79"/>
      <c r="W61" s="32"/>
      <c r="X61" s="32"/>
      <c r="Y61" s="32"/>
      <c r="AA61" s="23"/>
      <c r="AB61" s="79"/>
      <c r="AD61" s="32"/>
      <c r="AE61" s="32"/>
      <c r="AG61" s="23"/>
      <c r="AH61" s="79"/>
      <c r="AJ61" s="32"/>
      <c r="AK61" s="32"/>
      <c r="AM61" s="23"/>
      <c r="AN61" s="79"/>
      <c r="AP61" s="32"/>
      <c r="AQ61" s="32"/>
      <c r="AS61" s="23"/>
      <c r="AT61" s="79"/>
      <c r="AV61" s="32"/>
      <c r="AW61" s="32"/>
      <c r="AY61" s="23"/>
      <c r="AZ61" s="79"/>
    </row>
    <row r="62" spans="2:52" x14ac:dyDescent="0.2">
      <c r="B62" s="22" t="s">
        <v>12</v>
      </c>
      <c r="C62" s="23"/>
      <c r="D62" s="79"/>
      <c r="E62" s="88"/>
      <c r="F62" s="79"/>
      <c r="G62" s="79"/>
      <c r="H62" s="80"/>
      <c r="J62" s="32"/>
      <c r="K62" s="32"/>
      <c r="M62" s="23"/>
      <c r="N62" s="79"/>
      <c r="P62" s="32"/>
      <c r="Q62" s="32"/>
      <c r="R62" s="32"/>
      <c r="T62" s="23"/>
      <c r="U62" s="79"/>
      <c r="W62" s="32"/>
      <c r="X62" s="32"/>
      <c r="Y62" s="32"/>
      <c r="AA62" s="23"/>
      <c r="AB62" s="79"/>
      <c r="AD62" s="32"/>
      <c r="AE62" s="32"/>
      <c r="AG62" s="23"/>
      <c r="AH62" s="79"/>
      <c r="AJ62" s="32"/>
      <c r="AK62" s="32"/>
      <c r="AM62" s="23"/>
      <c r="AN62" s="79"/>
      <c r="AP62" s="32"/>
      <c r="AQ62" s="32"/>
      <c r="AS62" s="23"/>
      <c r="AT62" s="79"/>
      <c r="AV62" s="32"/>
      <c r="AW62" s="32"/>
      <c r="AY62" s="23"/>
      <c r="AZ62" s="79"/>
    </row>
    <row r="63" spans="2:52" x14ac:dyDescent="0.2">
      <c r="B63" s="84" t="s">
        <v>20</v>
      </c>
      <c r="C63" s="23">
        <v>1</v>
      </c>
      <c r="D63" s="79" t="s">
        <v>7</v>
      </c>
      <c r="E63" s="88">
        <f>1000000</f>
        <v>1000000</v>
      </c>
      <c r="F63" s="88">
        <f>E63/F11</f>
        <v>2500</v>
      </c>
      <c r="G63" s="88"/>
      <c r="H63" s="80"/>
      <c r="I63" s="89">
        <f>740278</f>
        <v>740278</v>
      </c>
      <c r="J63" s="89">
        <f>I63/J11</f>
        <v>2403.5</v>
      </c>
      <c r="K63" s="89"/>
      <c r="M63" s="85">
        <f>ROUND(J63*N11*M17*N17,-3)</f>
        <v>961000</v>
      </c>
      <c r="N63" s="88">
        <f>M63/N11</f>
        <v>2402.5</v>
      </c>
      <c r="P63" s="89">
        <f>785973</f>
        <v>785973</v>
      </c>
      <c r="Q63" s="89">
        <f>P63/Q11</f>
        <v>2068.35</v>
      </c>
      <c r="R63" s="89"/>
      <c r="T63" s="85">
        <f>ROUND(Q63*U11*T17*U17,-3)</f>
        <v>827000</v>
      </c>
      <c r="U63" s="88">
        <f>T63/U11</f>
        <v>2067.5</v>
      </c>
      <c r="W63" s="89">
        <f>1094646</f>
        <v>1094646</v>
      </c>
      <c r="X63" s="89">
        <f>W63/X11</f>
        <v>2193.6793587174348</v>
      </c>
      <c r="Y63" s="89"/>
      <c r="AA63" s="85">
        <f>ROUND(X63*AB11*AA17*AB17,-3)</f>
        <v>877000</v>
      </c>
      <c r="AB63" s="88">
        <f>AA63/AB11</f>
        <v>2192.5</v>
      </c>
      <c r="AD63" s="89">
        <f>174992</f>
        <v>174992</v>
      </c>
      <c r="AE63" s="89" t="e">
        <f>AD63/AE11</f>
        <v>#DIV/0!</v>
      </c>
      <c r="AG63" s="85" t="e">
        <f>ROUND(AE63*AH11*AG17*AH17,-3)</f>
        <v>#DIV/0!</v>
      </c>
      <c r="AH63" s="88" t="e">
        <f>AG63/AH11</f>
        <v>#DIV/0!</v>
      </c>
      <c r="AJ63" s="89">
        <v>0</v>
      </c>
      <c r="AK63" s="89" t="e">
        <f>AJ63/AK11</f>
        <v>#DIV/0!</v>
      </c>
      <c r="AM63" s="85" t="e">
        <f>ROUND(AK63*AN11*AM17*AN17,-3)</f>
        <v>#DIV/0!</v>
      </c>
      <c r="AN63" s="88" t="e">
        <f>AM63/AN11</f>
        <v>#DIV/0!</v>
      </c>
      <c r="AP63" s="89">
        <v>0</v>
      </c>
      <c r="AQ63" s="89" t="e">
        <f>AP63/AQ11</f>
        <v>#DIV/0!</v>
      </c>
      <c r="AS63" s="85" t="e">
        <f>ROUND(AQ63*AT11*AS17*AT17,-3)</f>
        <v>#DIV/0!</v>
      </c>
      <c r="AT63" s="88" t="e">
        <f>AS63/AT11</f>
        <v>#DIV/0!</v>
      </c>
      <c r="AV63" s="89">
        <v>0</v>
      </c>
      <c r="AW63" s="89" t="e">
        <f>AV63/AW11</f>
        <v>#DIV/0!</v>
      </c>
      <c r="AY63" s="85" t="e">
        <f>ROUND(AW63*AZ11*AY17*AZ17,-3)</f>
        <v>#DIV/0!</v>
      </c>
      <c r="AZ63" s="88" t="e">
        <f>AY63/AZ11</f>
        <v>#DIV/0!</v>
      </c>
    </row>
    <row r="64" spans="2:52" x14ac:dyDescent="0.2">
      <c r="B64" s="84" t="s">
        <v>39</v>
      </c>
      <c r="C64" s="23">
        <v>0</v>
      </c>
      <c r="D64" s="79" t="s">
        <v>7</v>
      </c>
      <c r="E64" s="88">
        <v>0</v>
      </c>
      <c r="F64" s="88">
        <f>E64/F11</f>
        <v>0</v>
      </c>
      <c r="G64" s="88"/>
      <c r="H64" s="80"/>
      <c r="I64" s="89">
        <v>0</v>
      </c>
      <c r="J64" s="89">
        <f>I64/J11</f>
        <v>0</v>
      </c>
      <c r="K64" s="89"/>
      <c r="M64" s="85">
        <f>ROUND(J64*N11*M17*N17,-3)</f>
        <v>0</v>
      </c>
      <c r="N64" s="88">
        <f>M64/N11</f>
        <v>0</v>
      </c>
      <c r="P64" s="89">
        <v>0</v>
      </c>
      <c r="Q64" s="89">
        <f>P64/Q11</f>
        <v>0</v>
      </c>
      <c r="R64" s="89"/>
      <c r="T64" s="85">
        <f>ROUND(Q64*U11*T17*U17,-3)</f>
        <v>0</v>
      </c>
      <c r="U64" s="88">
        <f>T64/U11</f>
        <v>0</v>
      </c>
      <c r="W64" s="89">
        <v>0</v>
      </c>
      <c r="X64" s="89">
        <f>W64/X11</f>
        <v>0</v>
      </c>
      <c r="Y64" s="89"/>
      <c r="AA64" s="85">
        <f>ROUND(X64*AB11*AA17*AB17,-3)</f>
        <v>0</v>
      </c>
      <c r="AB64" s="88">
        <f>AA64/AB11</f>
        <v>0</v>
      </c>
      <c r="AD64" s="89">
        <f>25867</f>
        <v>25867</v>
      </c>
      <c r="AE64" s="89" t="e">
        <f>AD64/AE11</f>
        <v>#DIV/0!</v>
      </c>
      <c r="AG64" s="85" t="e">
        <f>ROUND(AE64*AH11*AG17*AH17,-3)</f>
        <v>#DIV/0!</v>
      </c>
      <c r="AH64" s="88" t="e">
        <f>AG64/AH11</f>
        <v>#DIV/0!</v>
      </c>
      <c r="AJ64" s="89">
        <v>0</v>
      </c>
      <c r="AK64" s="89" t="e">
        <f>AJ64/AK11</f>
        <v>#DIV/0!</v>
      </c>
      <c r="AM64" s="85" t="e">
        <f>ROUND(AK64*AN11*AM17*AN17,-3)</f>
        <v>#DIV/0!</v>
      </c>
      <c r="AN64" s="88" t="e">
        <f>AM64/AN11</f>
        <v>#DIV/0!</v>
      </c>
      <c r="AP64" s="89">
        <v>0</v>
      </c>
      <c r="AQ64" s="89" t="e">
        <f>AP64/AQ11</f>
        <v>#DIV/0!</v>
      </c>
      <c r="AS64" s="85" t="e">
        <f>ROUND(AQ64*AT11*AS17*AT17,-3)</f>
        <v>#DIV/0!</v>
      </c>
      <c r="AT64" s="88" t="e">
        <f>AS64/AT11</f>
        <v>#DIV/0!</v>
      </c>
      <c r="AV64" s="89">
        <v>0</v>
      </c>
      <c r="AW64" s="89" t="e">
        <f>AV64/AW11</f>
        <v>#DIV/0!</v>
      </c>
      <c r="AY64" s="85" t="e">
        <f>ROUND(AW64*AZ11*AY17*AZ17,-3)</f>
        <v>#DIV/0!</v>
      </c>
      <c r="AZ64" s="88" t="e">
        <f>AY64/AZ11</f>
        <v>#DIV/0!</v>
      </c>
    </row>
    <row r="65" spans="2:52" x14ac:dyDescent="0.2">
      <c r="B65" s="84" t="s">
        <v>13</v>
      </c>
      <c r="C65" s="23">
        <v>1</v>
      </c>
      <c r="D65" s="79" t="s">
        <v>7</v>
      </c>
      <c r="E65" s="88">
        <f>400000</f>
        <v>400000</v>
      </c>
      <c r="F65" s="88">
        <f>E65/F11</f>
        <v>1000</v>
      </c>
      <c r="G65" s="88"/>
      <c r="H65" s="80"/>
      <c r="I65" s="89">
        <v>0</v>
      </c>
      <c r="J65" s="89">
        <f>I65/J11</f>
        <v>0</v>
      </c>
      <c r="K65" s="89"/>
      <c r="M65" s="85">
        <f>ROUND(J65*N11*M17*N17,-3)</f>
        <v>0</v>
      </c>
      <c r="N65" s="88">
        <f>M65/N11</f>
        <v>0</v>
      </c>
      <c r="P65" s="89">
        <v>0</v>
      </c>
      <c r="Q65" s="89">
        <f>P65/Q11</f>
        <v>0</v>
      </c>
      <c r="R65" s="89"/>
      <c r="T65" s="85">
        <f>ROUND(Q65*U11*T17*U17,-3)</f>
        <v>0</v>
      </c>
      <c r="U65" s="88">
        <f>T65/U11</f>
        <v>0</v>
      </c>
      <c r="W65" s="89">
        <v>0</v>
      </c>
      <c r="X65" s="89">
        <f>W65/X11</f>
        <v>0</v>
      </c>
      <c r="Y65" s="89"/>
      <c r="AA65" s="85">
        <f>ROUND(X65*AB11*AA17*AB17,-3)</f>
        <v>0</v>
      </c>
      <c r="AB65" s="88">
        <f>AA65/AB11</f>
        <v>0</v>
      </c>
      <c r="AD65" s="89">
        <f>40255</f>
        <v>40255</v>
      </c>
      <c r="AE65" s="89" t="e">
        <f>AD65/AE11</f>
        <v>#DIV/0!</v>
      </c>
      <c r="AG65" s="85" t="e">
        <f>ROUND(AE65*AH11*AG17*AH17,-3)</f>
        <v>#DIV/0!</v>
      </c>
      <c r="AH65" s="88" t="e">
        <f>AG65/AH11</f>
        <v>#DIV/0!</v>
      </c>
      <c r="AJ65" s="89">
        <v>0</v>
      </c>
      <c r="AK65" s="89" t="e">
        <f>AJ65/AK11</f>
        <v>#DIV/0!</v>
      </c>
      <c r="AM65" s="85" t="e">
        <f>ROUND(AK65*AN11*AM17*AN17,-3)</f>
        <v>#DIV/0!</v>
      </c>
      <c r="AN65" s="88" t="e">
        <f>AM65/AN11</f>
        <v>#DIV/0!</v>
      </c>
      <c r="AP65" s="89">
        <v>0</v>
      </c>
      <c r="AQ65" s="89" t="e">
        <f>AP65/AQ11</f>
        <v>#DIV/0!</v>
      </c>
      <c r="AS65" s="85" t="e">
        <f>ROUND(AQ65*AT11*AS17*AT17,-3)</f>
        <v>#DIV/0!</v>
      </c>
      <c r="AT65" s="88" t="e">
        <f>AS65/AT11</f>
        <v>#DIV/0!</v>
      </c>
      <c r="AV65" s="89">
        <v>0</v>
      </c>
      <c r="AW65" s="89" t="e">
        <f>AV65/AW11</f>
        <v>#DIV/0!</v>
      </c>
      <c r="AY65" s="85" t="e">
        <f>ROUND(AW65*AZ11*AY17*AZ17,-3)</f>
        <v>#DIV/0!</v>
      </c>
      <c r="AZ65" s="88" t="e">
        <f>AY65/AZ11</f>
        <v>#DIV/0!</v>
      </c>
    </row>
    <row r="66" spans="2:52" x14ac:dyDescent="0.2">
      <c r="B66" s="84" t="s">
        <v>14</v>
      </c>
      <c r="C66" s="23">
        <v>0</v>
      </c>
      <c r="D66" s="79" t="s">
        <v>7</v>
      </c>
      <c r="E66" s="88">
        <v>0</v>
      </c>
      <c r="F66" s="88">
        <f>E66/F11</f>
        <v>0</v>
      </c>
      <c r="G66" s="88"/>
      <c r="H66" s="80"/>
      <c r="I66" s="89">
        <v>0</v>
      </c>
      <c r="J66" s="89">
        <f>I66/J11</f>
        <v>0</v>
      </c>
      <c r="K66" s="89"/>
      <c r="M66" s="85">
        <f>ROUND(J66*N11*M17*N17,-3)</f>
        <v>0</v>
      </c>
      <c r="N66" s="88">
        <f>M66/N11</f>
        <v>0</v>
      </c>
      <c r="P66" s="89">
        <v>0</v>
      </c>
      <c r="Q66" s="89">
        <f>P66/Q11</f>
        <v>0</v>
      </c>
      <c r="R66" s="89"/>
      <c r="T66" s="85">
        <f>ROUND(Q66*U11*T17*U17,-3)</f>
        <v>0</v>
      </c>
      <c r="U66" s="88">
        <f>T66/U11</f>
        <v>0</v>
      </c>
      <c r="W66" s="89">
        <v>0</v>
      </c>
      <c r="X66" s="89">
        <f>W66/X11</f>
        <v>0</v>
      </c>
      <c r="Y66" s="89"/>
      <c r="AA66" s="85">
        <f>ROUND(X66*AB11*AA17*AB17,-3)</f>
        <v>0</v>
      </c>
      <c r="AB66" s="88">
        <f>AA66/AB11</f>
        <v>0</v>
      </c>
      <c r="AD66" s="89">
        <f>59491</f>
        <v>59491</v>
      </c>
      <c r="AE66" s="89" t="e">
        <f>AD66/AE11</f>
        <v>#DIV/0!</v>
      </c>
      <c r="AG66" s="85" t="e">
        <f>ROUND(AE66*AH11*AG17*AH17,-3)</f>
        <v>#DIV/0!</v>
      </c>
      <c r="AH66" s="88" t="e">
        <f>AG66/AH11</f>
        <v>#DIV/0!</v>
      </c>
      <c r="AJ66" s="89">
        <v>0</v>
      </c>
      <c r="AK66" s="89" t="e">
        <f>AJ66/AK11</f>
        <v>#DIV/0!</v>
      </c>
      <c r="AM66" s="85" t="e">
        <f>ROUND(AK66*AN11*AM17*AN17,-3)</f>
        <v>#DIV/0!</v>
      </c>
      <c r="AN66" s="88" t="e">
        <f>AM66/AN11</f>
        <v>#DIV/0!</v>
      </c>
      <c r="AP66" s="89">
        <v>0</v>
      </c>
      <c r="AQ66" s="89" t="e">
        <f>AP66/AQ11</f>
        <v>#DIV/0!</v>
      </c>
      <c r="AS66" s="85" t="e">
        <f>ROUND(AQ66*AT11*AS17*AT17,-3)</f>
        <v>#DIV/0!</v>
      </c>
      <c r="AT66" s="88" t="e">
        <f>AS66/AT11</f>
        <v>#DIV/0!</v>
      </c>
      <c r="AV66" s="89">
        <v>0</v>
      </c>
      <c r="AW66" s="89" t="e">
        <f>AV66/AW11</f>
        <v>#DIV/0!</v>
      </c>
      <c r="AY66" s="85" t="e">
        <f>ROUND(AW66*AZ11*AY17*AZ17,-3)</f>
        <v>#DIV/0!</v>
      </c>
      <c r="AZ66" s="88" t="e">
        <f>AY66/AZ11</f>
        <v>#DIV/0!</v>
      </c>
    </row>
    <row r="67" spans="2:52" x14ac:dyDescent="0.2">
      <c r="B67" s="84" t="s">
        <v>40</v>
      </c>
      <c r="C67" s="23">
        <v>0</v>
      </c>
      <c r="D67" s="79" t="s">
        <v>7</v>
      </c>
      <c r="E67" s="88">
        <v>0</v>
      </c>
      <c r="F67" s="88">
        <f>E67/F11</f>
        <v>0</v>
      </c>
      <c r="G67" s="88"/>
      <c r="H67" s="80"/>
      <c r="I67" s="89">
        <v>0</v>
      </c>
      <c r="J67" s="89">
        <f>I67/J11</f>
        <v>0</v>
      </c>
      <c r="K67" s="89"/>
      <c r="M67" s="85">
        <f>ROUND(J67*N11*M17*N17,-3)</f>
        <v>0</v>
      </c>
      <c r="N67" s="88">
        <f>M67/N11</f>
        <v>0</v>
      </c>
      <c r="P67" s="89">
        <v>0</v>
      </c>
      <c r="Q67" s="89">
        <f>P67/Q11</f>
        <v>0</v>
      </c>
      <c r="R67" s="89"/>
      <c r="T67" s="85">
        <f>ROUND(Q67*U11*T17*U17,-3)</f>
        <v>0</v>
      </c>
      <c r="U67" s="88">
        <f>T67/U11</f>
        <v>0</v>
      </c>
      <c r="W67" s="89">
        <v>0</v>
      </c>
      <c r="X67" s="89">
        <f>W67/X11</f>
        <v>0</v>
      </c>
      <c r="Y67" s="89"/>
      <c r="AA67" s="85">
        <f>ROUND(X67*AB11*AA17*AB17,-3)</f>
        <v>0</v>
      </c>
      <c r="AB67" s="88">
        <f>AA67/AB11</f>
        <v>0</v>
      </c>
      <c r="AD67" s="89">
        <f>39143</f>
        <v>39143</v>
      </c>
      <c r="AE67" s="89" t="e">
        <f>AD67/AE11</f>
        <v>#DIV/0!</v>
      </c>
      <c r="AG67" s="85" t="e">
        <f>ROUND(AE67*AH11*AG17*AH17,-3)</f>
        <v>#DIV/0!</v>
      </c>
      <c r="AH67" s="88" t="e">
        <f>AG67/AH11</f>
        <v>#DIV/0!</v>
      </c>
      <c r="AJ67" s="89">
        <v>0</v>
      </c>
      <c r="AK67" s="89" t="e">
        <f>AJ67/AK11</f>
        <v>#DIV/0!</v>
      </c>
      <c r="AM67" s="85" t="e">
        <f>ROUND(AK67*AN11*AM17*AN17,-3)</f>
        <v>#DIV/0!</v>
      </c>
      <c r="AN67" s="88" t="e">
        <f>AM67/AN11</f>
        <v>#DIV/0!</v>
      </c>
      <c r="AP67" s="89">
        <v>0</v>
      </c>
      <c r="AQ67" s="89" t="e">
        <f>AP67/AQ11</f>
        <v>#DIV/0!</v>
      </c>
      <c r="AS67" s="85" t="e">
        <f>ROUND(AQ67*AT11*AS17*AT17,-3)</f>
        <v>#DIV/0!</v>
      </c>
      <c r="AT67" s="88" t="e">
        <f>AS67/AT11</f>
        <v>#DIV/0!</v>
      </c>
      <c r="AV67" s="89">
        <v>0</v>
      </c>
      <c r="AW67" s="89" t="e">
        <f>AV67/AW11</f>
        <v>#DIV/0!</v>
      </c>
      <c r="AY67" s="85" t="e">
        <f>ROUND(AW67*AZ11*AY17*AZ17,-3)</f>
        <v>#DIV/0!</v>
      </c>
      <c r="AZ67" s="88" t="e">
        <f>AY67/AZ11</f>
        <v>#DIV/0!</v>
      </c>
    </row>
    <row r="68" spans="2:52" ht="6" customHeight="1" x14ac:dyDescent="0.2">
      <c r="B68" s="93"/>
      <c r="C68" s="94"/>
      <c r="D68" s="95"/>
      <c r="E68" s="96"/>
      <c r="F68" s="95"/>
      <c r="G68" s="95"/>
      <c r="H68" s="80"/>
      <c r="I68" s="110"/>
      <c r="J68" s="111"/>
      <c r="K68" s="111"/>
      <c r="M68" s="94"/>
      <c r="N68" s="95"/>
      <c r="P68" s="110"/>
      <c r="Q68" s="111"/>
      <c r="R68" s="111"/>
      <c r="T68" s="94"/>
      <c r="U68" s="95"/>
      <c r="W68" s="110"/>
      <c r="X68" s="111"/>
      <c r="Y68" s="111"/>
      <c r="AA68" s="94"/>
      <c r="AB68" s="95"/>
      <c r="AD68" s="110"/>
      <c r="AE68" s="111"/>
      <c r="AG68" s="94"/>
      <c r="AH68" s="95"/>
      <c r="AJ68" s="110"/>
      <c r="AK68" s="111"/>
      <c r="AM68" s="94"/>
      <c r="AN68" s="95"/>
      <c r="AP68" s="110"/>
      <c r="AQ68" s="111"/>
      <c r="AS68" s="94"/>
      <c r="AT68" s="95"/>
      <c r="AV68" s="110"/>
      <c r="AW68" s="111"/>
      <c r="AY68" s="94"/>
      <c r="AZ68" s="95"/>
    </row>
    <row r="69" spans="2:52" ht="6" customHeight="1" x14ac:dyDescent="0.2">
      <c r="B69" s="27"/>
      <c r="C69" s="23"/>
      <c r="D69" s="79"/>
      <c r="E69" s="88"/>
      <c r="F69" s="79"/>
      <c r="G69" s="79"/>
      <c r="H69" s="80"/>
      <c r="J69" s="32"/>
      <c r="K69" s="32"/>
      <c r="M69" s="23"/>
      <c r="N69" s="79"/>
      <c r="P69" s="32"/>
      <c r="Q69" s="32"/>
      <c r="R69" s="32"/>
      <c r="T69" s="23"/>
      <c r="U69" s="79"/>
      <c r="W69" s="32"/>
      <c r="X69" s="32"/>
      <c r="Y69" s="32"/>
      <c r="AA69" s="23"/>
      <c r="AB69" s="79"/>
      <c r="AD69" s="32"/>
      <c r="AE69" s="32"/>
      <c r="AG69" s="23"/>
      <c r="AH69" s="79"/>
      <c r="AJ69" s="32"/>
      <c r="AK69" s="32"/>
      <c r="AM69" s="23"/>
      <c r="AN69" s="79"/>
      <c r="AP69" s="32"/>
      <c r="AQ69" s="32"/>
      <c r="AS69" s="23"/>
      <c r="AT69" s="79"/>
      <c r="AV69" s="32"/>
      <c r="AW69" s="32"/>
      <c r="AY69" s="23"/>
      <c r="AZ69" s="79"/>
    </row>
    <row r="70" spans="2:52" x14ac:dyDescent="0.2">
      <c r="B70" s="98" t="s">
        <v>32</v>
      </c>
      <c r="C70" s="99">
        <v>1</v>
      </c>
      <c r="D70" s="100" t="s">
        <v>7</v>
      </c>
      <c r="E70" s="99">
        <f>SUM(E63:E69)</f>
        <v>1400000</v>
      </c>
      <c r="F70" s="159">
        <f>E70/F11</f>
        <v>3500</v>
      </c>
      <c r="G70" s="170">
        <f>E70/$E$47</f>
        <v>0.12197882412762052</v>
      </c>
      <c r="H70" s="80"/>
      <c r="I70" s="89">
        <f>SUM(I63:I69)</f>
        <v>740278</v>
      </c>
      <c r="J70" s="91">
        <f>I70/J11</f>
        <v>2403.5</v>
      </c>
      <c r="K70" s="175">
        <f>I70/$I$47</f>
        <v>9.913278000519582E-2</v>
      </c>
      <c r="M70" s="102">
        <f>SUM(M63:M69)</f>
        <v>961000</v>
      </c>
      <c r="N70" s="102">
        <f>M70/N11</f>
        <v>2402.5</v>
      </c>
      <c r="P70" s="89">
        <f>SUM(P63:P69)</f>
        <v>785973</v>
      </c>
      <c r="Q70" s="91">
        <f>P70/Q11</f>
        <v>2068.35</v>
      </c>
      <c r="R70" s="175">
        <f>P70/$P$47</f>
        <v>4.3726806888777545E-2</v>
      </c>
      <c r="T70" s="102">
        <f>SUM(T63:T69)</f>
        <v>827000</v>
      </c>
      <c r="U70" s="102">
        <f>T70/U11</f>
        <v>2067.5</v>
      </c>
      <c r="W70" s="89">
        <f>SUM(W63:W69)</f>
        <v>1094646</v>
      </c>
      <c r="X70" s="91">
        <f>W70/X11</f>
        <v>2193.6793587174348</v>
      </c>
      <c r="Y70" s="175">
        <f>W70/$W$47</f>
        <v>8.1533212848605749E-2</v>
      </c>
      <c r="AA70" s="102">
        <f>SUM(AA63:AA69)</f>
        <v>877000</v>
      </c>
      <c r="AB70" s="102">
        <f>AA70/AB11</f>
        <v>2192.5</v>
      </c>
      <c r="AD70" s="89">
        <f>SUM(AD63:AD69)</f>
        <v>339748</v>
      </c>
      <c r="AE70" s="91" t="e">
        <f>AD70/AE11</f>
        <v>#DIV/0!</v>
      </c>
      <c r="AG70" s="102" t="e">
        <f>SUM(AG63:AG69)</f>
        <v>#DIV/0!</v>
      </c>
      <c r="AH70" s="102" t="e">
        <f>AG70/AH11</f>
        <v>#DIV/0!</v>
      </c>
      <c r="AJ70" s="89">
        <f>SUM(AJ63:AJ69)</f>
        <v>0</v>
      </c>
      <c r="AK70" s="91" t="e">
        <f>AJ70/AK11</f>
        <v>#DIV/0!</v>
      </c>
      <c r="AM70" s="102" t="e">
        <f>SUM(AM63:AM69)</f>
        <v>#DIV/0!</v>
      </c>
      <c r="AN70" s="102" t="e">
        <f>AM70/AN11</f>
        <v>#DIV/0!</v>
      </c>
      <c r="AP70" s="89">
        <f>SUM(AP63:AP69)</f>
        <v>0</v>
      </c>
      <c r="AQ70" s="91" t="e">
        <f>AP70/AQ11</f>
        <v>#DIV/0!</v>
      </c>
      <c r="AS70" s="102" t="e">
        <f>SUM(AS63:AS69)</f>
        <v>#DIV/0!</v>
      </c>
      <c r="AT70" s="102" t="e">
        <f>AS70/AT11</f>
        <v>#DIV/0!</v>
      </c>
      <c r="AV70" s="89">
        <f>SUM(AV63:AV69)</f>
        <v>0</v>
      </c>
      <c r="AW70" s="91" t="e">
        <f>AV70/AW11</f>
        <v>#DIV/0!</v>
      </c>
      <c r="AY70" s="102" t="e">
        <f>SUM(AY63:AY69)</f>
        <v>#DIV/0!</v>
      </c>
      <c r="AZ70" s="102" t="e">
        <f>AY70/AZ11</f>
        <v>#DIV/0!</v>
      </c>
    </row>
    <row r="71" spans="2:52" ht="6" customHeight="1" x14ac:dyDescent="0.2">
      <c r="B71" s="37"/>
      <c r="C71" s="23"/>
      <c r="D71" s="79"/>
      <c r="E71" s="88"/>
      <c r="F71" s="79"/>
      <c r="G71" s="79"/>
      <c r="H71" s="80"/>
      <c r="J71" s="32"/>
      <c r="K71" s="32"/>
      <c r="M71" s="23"/>
      <c r="N71" s="79"/>
      <c r="P71" s="32"/>
      <c r="Q71" s="32"/>
      <c r="R71" s="32"/>
      <c r="T71" s="23"/>
      <c r="U71" s="79"/>
      <c r="W71" s="32"/>
      <c r="X71" s="32"/>
      <c r="Y71" s="32"/>
      <c r="AA71" s="23"/>
      <c r="AB71" s="79"/>
      <c r="AD71" s="32"/>
      <c r="AE71" s="32"/>
      <c r="AG71" s="23"/>
      <c r="AH71" s="79"/>
      <c r="AJ71" s="32"/>
      <c r="AK71" s="32"/>
      <c r="AM71" s="23"/>
      <c r="AN71" s="79"/>
      <c r="AP71" s="32"/>
      <c r="AQ71" s="32"/>
      <c r="AS71" s="23"/>
      <c r="AT71" s="79"/>
      <c r="AV71" s="32"/>
      <c r="AW71" s="32"/>
      <c r="AY71" s="23"/>
      <c r="AZ71" s="79"/>
    </row>
    <row r="72" spans="2:52" x14ac:dyDescent="0.2">
      <c r="B72" s="22" t="s">
        <v>19</v>
      </c>
      <c r="C72" s="23">
        <v>1</v>
      </c>
      <c r="D72" s="79" t="s">
        <v>7</v>
      </c>
      <c r="E72" s="88">
        <f>4000000</f>
        <v>4000000</v>
      </c>
      <c r="F72" s="88">
        <f>E72/F11</f>
        <v>10000</v>
      </c>
      <c r="G72" s="88"/>
      <c r="H72" s="80"/>
      <c r="I72" s="89">
        <f>1387763+364689+384553</f>
        <v>2137005</v>
      </c>
      <c r="J72" s="91">
        <f>I72/J11</f>
        <v>6938.3279220779223</v>
      </c>
      <c r="K72" s="91"/>
      <c r="M72" s="174">
        <f>ROUND(E72,-3)</f>
        <v>4000000</v>
      </c>
      <c r="N72" s="182">
        <f>M72/N11</f>
        <v>10000</v>
      </c>
      <c r="P72" s="89">
        <f>2992673+275010+2013039</f>
        <v>5280722</v>
      </c>
      <c r="Q72" s="91">
        <f>P72/Q11</f>
        <v>13896.636842105263</v>
      </c>
      <c r="R72" s="91"/>
      <c r="T72" s="174">
        <f>ROUND(E72,-3)</f>
        <v>4000000</v>
      </c>
      <c r="U72" s="182">
        <f>T72/U11</f>
        <v>10000</v>
      </c>
      <c r="W72" s="142">
        <f>3550428+1600056+645748</f>
        <v>5796232</v>
      </c>
      <c r="X72" s="91">
        <f>W72/X11</f>
        <v>11615.695390781562</v>
      </c>
      <c r="Y72" s="91"/>
      <c r="AA72" s="174">
        <f>ROUND(E72,-3)</f>
        <v>4000000</v>
      </c>
      <c r="AB72" s="182">
        <f>AA72/AB11</f>
        <v>10000</v>
      </c>
      <c r="AD72" s="89">
        <f>261838</f>
        <v>261838</v>
      </c>
      <c r="AE72" s="91" t="e">
        <f>AD72/AE11</f>
        <v>#DIV/0!</v>
      </c>
      <c r="AG72" s="85" t="e">
        <f>ROUND(AE72*AH11*AG17*AH17,-3)</f>
        <v>#DIV/0!</v>
      </c>
      <c r="AH72" s="88" t="e">
        <f>AG72/AH11</f>
        <v>#DIV/0!</v>
      </c>
      <c r="AJ72" s="89">
        <v>0</v>
      </c>
      <c r="AK72" s="91" t="e">
        <f>AJ72/AK11</f>
        <v>#DIV/0!</v>
      </c>
      <c r="AM72" s="85" t="e">
        <f>ROUND(AK72*AN11*AM17*AN17,-3)</f>
        <v>#DIV/0!</v>
      </c>
      <c r="AN72" s="88" t="e">
        <f>AM72/AN11</f>
        <v>#DIV/0!</v>
      </c>
      <c r="AP72" s="89">
        <v>0</v>
      </c>
      <c r="AQ72" s="91" t="e">
        <f>AP72/AQ11</f>
        <v>#DIV/0!</v>
      </c>
      <c r="AS72" s="85" t="e">
        <f>ROUND(AQ72*AT11*AS17*AT17,-3)</f>
        <v>#DIV/0!</v>
      </c>
      <c r="AT72" s="88" t="e">
        <f>AS72/AT11</f>
        <v>#DIV/0!</v>
      </c>
      <c r="AV72" s="89">
        <v>0</v>
      </c>
      <c r="AW72" s="91" t="e">
        <f>AV72/AW11</f>
        <v>#DIV/0!</v>
      </c>
      <c r="AY72" s="85" t="e">
        <f>ROUND(AW72*AZ11*AY17*AZ17,-3)</f>
        <v>#DIV/0!</v>
      </c>
      <c r="AZ72" s="88" t="e">
        <f>AY72/AZ11</f>
        <v>#DIV/0!</v>
      </c>
    </row>
    <row r="73" spans="2:52" x14ac:dyDescent="0.2">
      <c r="B73" s="22" t="s">
        <v>38</v>
      </c>
      <c r="C73" s="23">
        <v>1</v>
      </c>
      <c r="D73" s="79" t="s">
        <v>7</v>
      </c>
      <c r="E73" s="88">
        <f>1000000</f>
        <v>1000000</v>
      </c>
      <c r="F73" s="88">
        <f>E73/F11</f>
        <v>2500</v>
      </c>
      <c r="G73" s="88"/>
      <c r="H73" s="80"/>
      <c r="I73" s="89">
        <f>983625</f>
        <v>983625</v>
      </c>
      <c r="J73" s="91">
        <f>I73/J11</f>
        <v>3193.5876623376626</v>
      </c>
      <c r="K73" s="91"/>
      <c r="M73" s="174">
        <f>ROUND(E73,-3)</f>
        <v>1000000</v>
      </c>
      <c r="N73" s="182">
        <f>M73/N11</f>
        <v>2500</v>
      </c>
      <c r="P73" s="89">
        <f>1037382</f>
        <v>1037382</v>
      </c>
      <c r="Q73" s="91">
        <f>P73/Q11</f>
        <v>2729.9526315789471</v>
      </c>
      <c r="R73" s="91"/>
      <c r="T73" s="174">
        <f>ROUND(E73,-3)</f>
        <v>1000000</v>
      </c>
      <c r="U73" s="182">
        <f>T73/U11</f>
        <v>2500</v>
      </c>
      <c r="W73" s="89">
        <f>1648536</f>
        <v>1648536</v>
      </c>
      <c r="X73" s="91">
        <f>W73/X11</f>
        <v>3303.6793587174348</v>
      </c>
      <c r="Y73" s="91"/>
      <c r="AA73" s="174">
        <f>ROUND(E73,-3)</f>
        <v>1000000</v>
      </c>
      <c r="AB73" s="182">
        <f>AA73/AB11</f>
        <v>2500</v>
      </c>
      <c r="AD73" s="89">
        <f>76004</f>
        <v>76004</v>
      </c>
      <c r="AE73" s="91" t="e">
        <f>AD73/AE11</f>
        <v>#DIV/0!</v>
      </c>
      <c r="AG73" s="85" t="e">
        <f>ROUND(AE73*AH11*AG17*AH17,-3)</f>
        <v>#DIV/0!</v>
      </c>
      <c r="AH73" s="88" t="e">
        <f>AG73/AH11</f>
        <v>#DIV/0!</v>
      </c>
      <c r="AJ73" s="89">
        <v>0</v>
      </c>
      <c r="AK73" s="91" t="e">
        <f>AJ73/AK11</f>
        <v>#DIV/0!</v>
      </c>
      <c r="AM73" s="85" t="e">
        <f>ROUND(AK73*AN11*AM17*AN17,-3)</f>
        <v>#DIV/0!</v>
      </c>
      <c r="AN73" s="88" t="e">
        <f>AM73/AN11</f>
        <v>#DIV/0!</v>
      </c>
      <c r="AP73" s="89">
        <v>0</v>
      </c>
      <c r="AQ73" s="91" t="e">
        <f>AP73/AQ11</f>
        <v>#DIV/0!</v>
      </c>
      <c r="AS73" s="85" t="e">
        <f>ROUND(AQ73*AT11*AS17*AT17,-3)</f>
        <v>#DIV/0!</v>
      </c>
      <c r="AT73" s="88" t="e">
        <f>AS73/AT11</f>
        <v>#DIV/0!</v>
      </c>
      <c r="AV73" s="89">
        <v>0</v>
      </c>
      <c r="AW73" s="91" t="e">
        <f>AV73/AW11</f>
        <v>#DIV/0!</v>
      </c>
      <c r="AY73" s="85" t="e">
        <f>ROUND(AW73*AZ11*AY17*AZ17,-3)</f>
        <v>#DIV/0!</v>
      </c>
      <c r="AZ73" s="88" t="e">
        <f>AY73/AZ11</f>
        <v>#DIV/0!</v>
      </c>
    </row>
    <row r="74" spans="2:52" x14ac:dyDescent="0.2">
      <c r="B74" s="22" t="s">
        <v>15</v>
      </c>
      <c r="C74" s="23">
        <v>1</v>
      </c>
      <c r="D74" s="79" t="s">
        <v>7</v>
      </c>
      <c r="E74" s="88">
        <f>45000</f>
        <v>45000</v>
      </c>
      <c r="F74" s="88">
        <f>E74/F11</f>
        <v>112.5</v>
      </c>
      <c r="G74" s="88"/>
      <c r="H74" s="80"/>
      <c r="I74" s="89">
        <f>35000</f>
        <v>35000</v>
      </c>
      <c r="J74" s="91">
        <f>I74/J11</f>
        <v>113.63636363636364</v>
      </c>
      <c r="K74" s="91"/>
      <c r="M74" s="85">
        <f>ROUND(J74*N11*M17*N17,-3)</f>
        <v>45000</v>
      </c>
      <c r="N74" s="88">
        <f>M74/N11</f>
        <v>112.5</v>
      </c>
      <c r="P74" s="89">
        <f>35000</f>
        <v>35000</v>
      </c>
      <c r="Q74" s="91">
        <f>P74/Q11</f>
        <v>92.10526315789474</v>
      </c>
      <c r="R74" s="91"/>
      <c r="T74" s="85">
        <f>ROUND(Q74*U11*T17*U17,-3)</f>
        <v>37000</v>
      </c>
      <c r="U74" s="88">
        <f>T74/U11</f>
        <v>92.5</v>
      </c>
      <c r="W74" s="89">
        <f>35000</f>
        <v>35000</v>
      </c>
      <c r="X74" s="91">
        <f>W74/X11</f>
        <v>70.140280561122239</v>
      </c>
      <c r="Y74" s="91"/>
      <c r="AA74" s="85">
        <f>ROUND(X74*AB11*AA17*AB17,-3)</f>
        <v>28000</v>
      </c>
      <c r="AB74" s="88">
        <f>AA74/AB11</f>
        <v>70</v>
      </c>
      <c r="AD74" s="89">
        <f>16144</f>
        <v>16144</v>
      </c>
      <c r="AE74" s="91" t="e">
        <f>AD74/AE11</f>
        <v>#DIV/0!</v>
      </c>
      <c r="AG74" s="85" t="e">
        <f>ROUND(AE74*AH11*AG17*AH17,-3)</f>
        <v>#DIV/0!</v>
      </c>
      <c r="AH74" s="88" t="e">
        <f>AG74/AH11</f>
        <v>#DIV/0!</v>
      </c>
      <c r="AJ74" s="89">
        <v>0</v>
      </c>
      <c r="AK74" s="91" t="e">
        <f>AJ74/AK11</f>
        <v>#DIV/0!</v>
      </c>
      <c r="AM74" s="85" t="e">
        <f>ROUND(AK74*AN11*AM17*AN17,-3)</f>
        <v>#DIV/0!</v>
      </c>
      <c r="AN74" s="88" t="e">
        <f>AM74/AN11</f>
        <v>#DIV/0!</v>
      </c>
      <c r="AP74" s="89">
        <v>0</v>
      </c>
      <c r="AQ74" s="91" t="e">
        <f>AP74/AQ11</f>
        <v>#DIV/0!</v>
      </c>
      <c r="AS74" s="85" t="e">
        <f>ROUND(AQ74*AT11*AS17*AT17,-3)</f>
        <v>#DIV/0!</v>
      </c>
      <c r="AT74" s="88" t="e">
        <f>AS74/AT11</f>
        <v>#DIV/0!</v>
      </c>
      <c r="AV74" s="89">
        <v>0</v>
      </c>
      <c r="AW74" s="91" t="e">
        <f>AV74/AW11</f>
        <v>#DIV/0!</v>
      </c>
      <c r="AY74" s="85" t="e">
        <f>ROUND(AW74*AZ11*AY17*AZ17,-3)</f>
        <v>#DIV/0!</v>
      </c>
      <c r="AZ74" s="88" t="e">
        <f>AY74/AZ11</f>
        <v>#DIV/0!</v>
      </c>
    </row>
    <row r="75" spans="2:52" ht="6" customHeight="1" x14ac:dyDescent="0.2">
      <c r="B75" s="26"/>
      <c r="C75" s="35"/>
      <c r="D75" s="103"/>
      <c r="E75" s="104"/>
      <c r="F75" s="103"/>
      <c r="G75" s="103"/>
      <c r="H75" s="80"/>
      <c r="I75" s="105"/>
      <c r="J75" s="105"/>
      <c r="K75" s="105"/>
      <c r="M75" s="23"/>
      <c r="N75" s="103"/>
      <c r="P75" s="105"/>
      <c r="Q75" s="105"/>
      <c r="R75" s="105"/>
      <c r="T75" s="23"/>
      <c r="U75" s="103"/>
      <c r="W75" s="105"/>
      <c r="X75" s="105"/>
      <c r="Y75" s="105"/>
      <c r="AA75" s="23"/>
      <c r="AB75" s="103"/>
      <c r="AD75" s="105"/>
      <c r="AE75" s="105"/>
      <c r="AG75" s="23"/>
      <c r="AH75" s="103"/>
      <c r="AJ75" s="105"/>
      <c r="AK75" s="105"/>
      <c r="AM75" s="23"/>
      <c r="AN75" s="103"/>
      <c r="AP75" s="105"/>
      <c r="AQ75" s="105"/>
      <c r="AS75" s="23"/>
      <c r="AT75" s="103"/>
      <c r="AV75" s="105"/>
      <c r="AW75" s="105"/>
      <c r="AY75" s="23"/>
      <c r="AZ75" s="103"/>
    </row>
    <row r="76" spans="2:52" ht="6" customHeight="1" x14ac:dyDescent="0.2">
      <c r="B76" s="27"/>
      <c r="C76" s="23"/>
      <c r="D76" s="79"/>
      <c r="E76" s="88"/>
      <c r="F76" s="79"/>
      <c r="G76" s="79"/>
      <c r="H76" s="80"/>
      <c r="J76" s="32"/>
      <c r="K76" s="32"/>
      <c r="M76" s="112"/>
      <c r="N76" s="79"/>
      <c r="P76" s="32"/>
      <c r="Q76" s="32"/>
      <c r="R76" s="32"/>
      <c r="T76" s="112"/>
      <c r="U76" s="79"/>
      <c r="W76" s="32"/>
      <c r="X76" s="32"/>
      <c r="Y76" s="32"/>
      <c r="AA76" s="112"/>
      <c r="AB76" s="79"/>
      <c r="AD76" s="32"/>
      <c r="AE76" s="32"/>
      <c r="AG76" s="112"/>
      <c r="AH76" s="79"/>
      <c r="AJ76" s="32"/>
      <c r="AK76" s="32"/>
      <c r="AM76" s="112"/>
      <c r="AN76" s="79"/>
      <c r="AP76" s="32"/>
      <c r="AQ76" s="32"/>
      <c r="AS76" s="112"/>
      <c r="AT76" s="79"/>
      <c r="AV76" s="32"/>
      <c r="AW76" s="32"/>
      <c r="AY76" s="112"/>
      <c r="AZ76" s="79"/>
    </row>
    <row r="77" spans="2:52" x14ac:dyDescent="0.2">
      <c r="B77" s="106" t="s">
        <v>33</v>
      </c>
      <c r="C77" s="107">
        <v>1</v>
      </c>
      <c r="D77" s="16" t="s">
        <v>7</v>
      </c>
      <c r="E77" s="101">
        <f>SUM(E72:E76)+E70+E60+E58</f>
        <v>10495000</v>
      </c>
      <c r="F77" s="101">
        <f>E77/F11</f>
        <v>26237.5</v>
      </c>
      <c r="G77" s="171">
        <f>E77/$E$47</f>
        <v>0.91440554229955529</v>
      </c>
      <c r="H77" s="68"/>
      <c r="I77" s="91">
        <f>SUM(I72:I76)+I70+I60+I58</f>
        <v>6999281</v>
      </c>
      <c r="J77" s="91">
        <f>I77/J11</f>
        <v>22724.938311688311</v>
      </c>
      <c r="K77" s="175">
        <f>I77/$I$47</f>
        <v>0.93729407542510657</v>
      </c>
      <c r="M77" s="114">
        <f>SUM(M72:M76)+M70+M58</f>
        <v>10037000</v>
      </c>
      <c r="N77" s="114">
        <f>M77/N11</f>
        <v>25092.5</v>
      </c>
      <c r="P77" s="91">
        <f>SUM(P72:P76)+P70+P60+P58</f>
        <v>9449392</v>
      </c>
      <c r="Q77" s="91">
        <f>P77/Q11</f>
        <v>24866.821052631578</v>
      </c>
      <c r="R77" s="175">
        <f>P77/$P$47</f>
        <v>0.52570729427138008</v>
      </c>
      <c r="T77" s="114">
        <f>SUM(T72:T76)+T70+T58</f>
        <v>8296000</v>
      </c>
      <c r="U77" s="114">
        <f>T77/U11</f>
        <v>20740</v>
      </c>
      <c r="W77" s="91">
        <f>SUM(W72:W76)+W70+W60+W58</f>
        <v>12783402</v>
      </c>
      <c r="X77" s="91">
        <f>W77/X11</f>
        <v>25618.040080160321</v>
      </c>
      <c r="Y77" s="175">
        <f>W77/$W$47</f>
        <v>0.95215424547780059</v>
      </c>
      <c r="AA77" s="114">
        <f>SUM(AA72:AA76)+AA70+AA58</f>
        <v>9279000</v>
      </c>
      <c r="AB77" s="114">
        <f>AA77/AB11</f>
        <v>23197.5</v>
      </c>
      <c r="AD77" s="91">
        <f>SUM(AD72:AD76)+AD70+AD60+AD58</f>
        <v>694418</v>
      </c>
      <c r="AE77" s="91" t="e">
        <f>AD77/AE11</f>
        <v>#DIV/0!</v>
      </c>
      <c r="AG77" s="114" t="e">
        <f>SUM(AG72:AG76)+AG70+AG60+AG58</f>
        <v>#DIV/0!</v>
      </c>
      <c r="AH77" s="114" t="e">
        <f>AG77/AH11</f>
        <v>#DIV/0!</v>
      </c>
      <c r="AJ77" s="91">
        <f>SUM(AJ72:AJ76)+AJ70+AJ60+AJ58</f>
        <v>0</v>
      </c>
      <c r="AK77" s="91" t="e">
        <f>AJ77/AK11</f>
        <v>#DIV/0!</v>
      </c>
      <c r="AM77" s="114" t="e">
        <f>SUM(AM72:AM76)+AM70+AM60+AM58</f>
        <v>#DIV/0!</v>
      </c>
      <c r="AN77" s="114" t="e">
        <f>AM77/AN11</f>
        <v>#DIV/0!</v>
      </c>
      <c r="AP77" s="91">
        <f>SUM(AP72:AP76)+AP70+AP60+AP58</f>
        <v>0</v>
      </c>
      <c r="AQ77" s="91" t="e">
        <f>AP77/AQ11</f>
        <v>#DIV/0!</v>
      </c>
      <c r="AS77" s="114" t="e">
        <f>SUM(AS72:AS76)+AS70+AS60+AS58</f>
        <v>#DIV/0!</v>
      </c>
      <c r="AT77" s="114" t="e">
        <f>AS77/AT11</f>
        <v>#DIV/0!</v>
      </c>
      <c r="AV77" s="91">
        <f>SUM(AV72:AV76)+AV70+AV60+AV58</f>
        <v>0</v>
      </c>
      <c r="AW77" s="91" t="e">
        <f>AV77/AW11</f>
        <v>#DIV/0!</v>
      </c>
      <c r="AY77" s="114" t="e">
        <f>SUM(AY72:AY76)+AY70+AY60+AY58</f>
        <v>#DIV/0!</v>
      </c>
      <c r="AZ77" s="114" t="e">
        <f>AY77/AZ11</f>
        <v>#DIV/0!</v>
      </c>
    </row>
    <row r="78" spans="2:52" ht="6" customHeight="1" thickBot="1" x14ac:dyDescent="0.25">
      <c r="B78" s="115"/>
      <c r="C78" s="116"/>
      <c r="D78" s="117"/>
      <c r="E78" s="118"/>
      <c r="F78" s="117"/>
      <c r="G78" s="117"/>
      <c r="H78" s="80"/>
      <c r="I78" s="119"/>
      <c r="J78" s="120"/>
      <c r="K78" s="120"/>
      <c r="M78" s="116"/>
      <c r="N78" s="10"/>
      <c r="P78" s="119"/>
      <c r="Q78" s="120"/>
      <c r="R78" s="120"/>
      <c r="T78" s="116"/>
      <c r="U78" s="115"/>
      <c r="W78" s="119"/>
      <c r="X78" s="120"/>
      <c r="Y78" s="120"/>
      <c r="AA78" s="116"/>
      <c r="AB78" s="115"/>
      <c r="AD78" s="119"/>
      <c r="AE78" s="120"/>
      <c r="AG78" s="116"/>
      <c r="AH78" s="115"/>
      <c r="AJ78" s="119"/>
      <c r="AK78" s="120"/>
      <c r="AM78" s="116"/>
      <c r="AN78" s="115"/>
      <c r="AP78" s="119"/>
      <c r="AQ78" s="120"/>
      <c r="AS78" s="116"/>
      <c r="AT78" s="10"/>
      <c r="AV78" s="119"/>
      <c r="AW78" s="120"/>
      <c r="AY78" s="116"/>
      <c r="AZ78" s="10"/>
    </row>
    <row r="79" spans="2:52" ht="6" customHeight="1" x14ac:dyDescent="0.2">
      <c r="B79" s="27"/>
      <c r="C79" s="23"/>
      <c r="D79" s="79"/>
      <c r="E79" s="88"/>
      <c r="F79" s="79"/>
      <c r="G79" s="79"/>
      <c r="H79" s="80"/>
      <c r="I79" s="23"/>
      <c r="J79" s="32"/>
      <c r="K79" s="32"/>
      <c r="M79" s="23"/>
      <c r="P79" s="23"/>
      <c r="Q79" s="32"/>
      <c r="R79" s="32"/>
      <c r="T79" s="23"/>
      <c r="U79" s="27"/>
      <c r="W79" s="23"/>
      <c r="X79" s="32"/>
      <c r="Y79" s="32"/>
      <c r="AA79" s="23"/>
      <c r="AB79" s="27"/>
      <c r="AD79" s="23"/>
      <c r="AE79" s="32"/>
      <c r="AG79" s="23"/>
      <c r="AH79" s="27"/>
      <c r="AJ79" s="23"/>
      <c r="AK79" s="32"/>
      <c r="AM79" s="23"/>
      <c r="AN79" s="27"/>
      <c r="AP79" s="23"/>
      <c r="AQ79" s="32"/>
      <c r="AS79" s="23"/>
      <c r="AV79" s="23"/>
      <c r="AW79" s="32"/>
      <c r="AY79" s="23"/>
    </row>
    <row r="80" spans="2:52" x14ac:dyDescent="0.2">
      <c r="B80" s="106" t="s">
        <v>34</v>
      </c>
      <c r="C80" s="107">
        <v>1</v>
      </c>
      <c r="D80" s="16" t="s">
        <v>7</v>
      </c>
      <c r="E80" s="101">
        <f>E77+E50+E49+E47</f>
        <v>22312317</v>
      </c>
      <c r="F80" s="101">
        <f>E80/F11</f>
        <v>55780.792500000003</v>
      </c>
      <c r="G80" s="171">
        <f>E80/$E$47</f>
        <v>1.944021565159084</v>
      </c>
      <c r="H80" s="68"/>
      <c r="I80" s="91">
        <f>I77+I50+I49+I47</f>
        <v>14833433</v>
      </c>
      <c r="J80" s="91">
        <f>I80/J11</f>
        <v>48160.496753246756</v>
      </c>
      <c r="K80" s="175">
        <f>I80/$I$47</f>
        <v>1.9863881545997746</v>
      </c>
      <c r="M80" s="114">
        <f>M77+M50+M49+M47</f>
        <v>21773000</v>
      </c>
      <c r="N80" s="114">
        <f>M80/N11</f>
        <v>54432.5</v>
      </c>
      <c r="P80" s="91">
        <f>P77+P50+P49+P47</f>
        <v>28070444</v>
      </c>
      <c r="Q80" s="91">
        <f>P80/Q11</f>
        <v>73869.589473684217</v>
      </c>
      <c r="R80" s="175">
        <f>P80/$P$47</f>
        <v>1.5616705460241564</v>
      </c>
      <c r="T80" s="114">
        <f>T77+T47</f>
        <v>31319000</v>
      </c>
      <c r="U80" s="114">
        <f>T80/U11</f>
        <v>78297.5</v>
      </c>
      <c r="W80" s="91">
        <f>W77+W50+W49+W47</f>
        <v>26868866</v>
      </c>
      <c r="X80" s="91">
        <f>W80/X11</f>
        <v>53845.422845691384</v>
      </c>
      <c r="Y80" s="175">
        <f>W80/$W$47</f>
        <v>2.0012908013902817</v>
      </c>
      <c r="AA80" s="114">
        <f>AA77+AA47</f>
        <v>22028000</v>
      </c>
      <c r="AB80" s="114">
        <f>AA80/AB11</f>
        <v>55070</v>
      </c>
      <c r="AD80" s="91">
        <f>AD77+AD50+AD49+AD47</f>
        <v>694418</v>
      </c>
      <c r="AE80" s="91" t="e">
        <f>AD80/AE11</f>
        <v>#DIV/0!</v>
      </c>
      <c r="AG80" s="114" t="e">
        <f>AG77+AG50+AG49+AG47</f>
        <v>#DIV/0!</v>
      </c>
      <c r="AH80" s="114" t="e">
        <f>AG80/AH11</f>
        <v>#DIV/0!</v>
      </c>
      <c r="AJ80" s="108">
        <f>AJ77+AJ50+AJ49+AJ47</f>
        <v>0</v>
      </c>
      <c r="AK80" s="91" t="e">
        <f>AJ80/AK11</f>
        <v>#DIV/0!</v>
      </c>
      <c r="AM80" s="114" t="e">
        <f>AM77+AM50+AM49+AM47</f>
        <v>#DIV/0!</v>
      </c>
      <c r="AN80" s="114" t="e">
        <f>AM80/AN11</f>
        <v>#DIV/0!</v>
      </c>
      <c r="AP80" s="108">
        <f>AP77+AP50+AP49+AP47</f>
        <v>0</v>
      </c>
      <c r="AQ80" s="91" t="e">
        <f>AP80/AQ11</f>
        <v>#DIV/0!</v>
      </c>
      <c r="AS80" s="114" t="e">
        <f>AS77+AS50+AS49+AS47</f>
        <v>#DIV/0!</v>
      </c>
      <c r="AT80" s="114" t="e">
        <f>AS80/AT11</f>
        <v>#DIV/0!</v>
      </c>
      <c r="AV80" s="108">
        <f>AV77+AV50+AV49+AV47</f>
        <v>0</v>
      </c>
      <c r="AW80" s="91" t="e">
        <f>AV80/AW11</f>
        <v>#DIV/0!</v>
      </c>
      <c r="AY80" s="114" t="e">
        <f>AY77+AY50+AY49+AY47</f>
        <v>#DIV/0!</v>
      </c>
      <c r="AZ80" s="114" t="e">
        <f>AY80/AZ11</f>
        <v>#DIV/0!</v>
      </c>
    </row>
    <row r="81" spans="2:52" x14ac:dyDescent="0.2">
      <c r="E81" s="121"/>
      <c r="M81" s="23"/>
      <c r="N81" s="49"/>
      <c r="P81" s="32"/>
      <c r="T81" s="23"/>
      <c r="U81" s="49"/>
      <c r="W81" s="32"/>
      <c r="AA81" s="23"/>
      <c r="AB81" s="49"/>
      <c r="AD81" s="32"/>
      <c r="AG81" s="23"/>
      <c r="AH81" s="49"/>
      <c r="AJ81" s="32"/>
      <c r="AM81" s="23"/>
      <c r="AN81" s="49"/>
      <c r="AP81" s="32"/>
      <c r="AS81" s="23"/>
      <c r="AT81" s="49"/>
      <c r="AV81" s="32"/>
      <c r="AY81" s="23"/>
      <c r="AZ81" s="49"/>
    </row>
    <row r="82" spans="2:52" x14ac:dyDescent="0.2">
      <c r="B82" s="78" t="s">
        <v>29</v>
      </c>
      <c r="C82" s="122">
        <f>E82/E80</f>
        <v>0</v>
      </c>
      <c r="D82" s="79"/>
      <c r="E82" s="88">
        <v>0</v>
      </c>
      <c r="F82" s="88">
        <f>E82/F11</f>
        <v>0</v>
      </c>
      <c r="G82" s="88"/>
      <c r="I82" s="89">
        <v>0</v>
      </c>
      <c r="J82" s="91">
        <f>I82/J11</f>
        <v>0</v>
      </c>
      <c r="K82" s="91"/>
      <c r="M82" s="23">
        <f>ROUND(C82*M80,-3)</f>
        <v>0</v>
      </c>
      <c r="N82" s="88">
        <f>M82/N11</f>
        <v>0</v>
      </c>
      <c r="P82" s="89">
        <v>0</v>
      </c>
      <c r="Q82" s="91">
        <f>P82/Q11</f>
        <v>0</v>
      </c>
      <c r="R82" s="91"/>
      <c r="T82" s="23">
        <f>ROUND(C82*T80,-3)</f>
        <v>0</v>
      </c>
      <c r="U82" s="88">
        <f>T82/U11</f>
        <v>0</v>
      </c>
      <c r="W82" s="89">
        <v>0</v>
      </c>
      <c r="X82" s="91">
        <f>W82/X11</f>
        <v>0</v>
      </c>
      <c r="Y82" s="91"/>
      <c r="AA82" s="23">
        <f>ROUND(C82*AA80,-3)</f>
        <v>0</v>
      </c>
      <c r="AB82" s="88">
        <f>AA82/AB11</f>
        <v>0</v>
      </c>
      <c r="AD82" s="89">
        <v>0</v>
      </c>
      <c r="AE82" s="91" t="e">
        <f>AD82/AE11</f>
        <v>#DIV/0!</v>
      </c>
      <c r="AG82" s="23" t="e">
        <f>ROUND(C82*AG80,-3)</f>
        <v>#DIV/0!</v>
      </c>
      <c r="AH82" s="88" t="e">
        <f>AG82/AH11</f>
        <v>#DIV/0!</v>
      </c>
      <c r="AJ82" s="89">
        <v>0</v>
      </c>
      <c r="AK82" s="91" t="e">
        <f>AJ82/AK11</f>
        <v>#DIV/0!</v>
      </c>
      <c r="AM82" s="23" t="e">
        <f>ROUND(C82*AM80,-3)</f>
        <v>#DIV/0!</v>
      </c>
      <c r="AN82" s="88" t="e">
        <f>AM82/AN11</f>
        <v>#DIV/0!</v>
      </c>
      <c r="AP82" s="89">
        <v>0</v>
      </c>
      <c r="AQ82" s="91" t="e">
        <f>AP82/AQ11</f>
        <v>#DIV/0!</v>
      </c>
      <c r="AS82" s="23" t="e">
        <f>ROUND(C82*AS80,-3)</f>
        <v>#DIV/0!</v>
      </c>
      <c r="AT82" s="88" t="e">
        <f>AS82/AT11</f>
        <v>#DIV/0!</v>
      </c>
      <c r="AV82" s="89">
        <v>0</v>
      </c>
      <c r="AW82" s="91" t="e">
        <f>AV82/AW11</f>
        <v>#DIV/0!</v>
      </c>
      <c r="AY82" s="23" t="e">
        <f>ROUND(C82*AY80,-3)</f>
        <v>#DIV/0!</v>
      </c>
      <c r="AZ82" s="88" t="e">
        <f>AY82/AZ11</f>
        <v>#DIV/0!</v>
      </c>
    </row>
    <row r="83" spans="2:52" x14ac:dyDescent="0.2">
      <c r="B83" s="78" t="s">
        <v>17</v>
      </c>
      <c r="C83" s="122">
        <f>E83/(E82+E80)</f>
        <v>0.10000001344548842</v>
      </c>
      <c r="D83" s="79"/>
      <c r="E83" s="88">
        <f>2231232</f>
        <v>2231232</v>
      </c>
      <c r="F83" s="88">
        <f>E83/F11</f>
        <v>5578.08</v>
      </c>
      <c r="G83" s="88"/>
      <c r="H83" s="80"/>
      <c r="I83" s="89">
        <f>1845485</f>
        <v>1845485</v>
      </c>
      <c r="J83" s="91">
        <f>I83/J11</f>
        <v>5991.8344155844152</v>
      </c>
      <c r="K83" s="91"/>
      <c r="M83" s="23">
        <f>ROUND(C83*(M82+M80),-3)</f>
        <v>2177000</v>
      </c>
      <c r="N83" s="88">
        <f>M83/N11</f>
        <v>5442.5</v>
      </c>
      <c r="P83" s="89">
        <f>2051934</f>
        <v>2051934</v>
      </c>
      <c r="Q83" s="91">
        <f>P83/Q11</f>
        <v>5399.8263157894735</v>
      </c>
      <c r="R83" s="91"/>
      <c r="T83" s="23">
        <f>ROUND(C83*(T82+T80),-3)</f>
        <v>3132000</v>
      </c>
      <c r="U83" s="88">
        <f>T83/U11</f>
        <v>7830</v>
      </c>
      <c r="W83" s="89">
        <f>1452844</f>
        <v>1452844</v>
      </c>
      <c r="X83" s="91">
        <f>W83/X11</f>
        <v>2911.5110220440883</v>
      </c>
      <c r="Y83" s="91"/>
      <c r="AA83" s="23">
        <f>ROUND(C83*(AA82+AA80),-3)</f>
        <v>2203000</v>
      </c>
      <c r="AB83" s="88">
        <f>AA83/AB11</f>
        <v>5507.5</v>
      </c>
      <c r="AD83" s="89">
        <v>0</v>
      </c>
      <c r="AE83" s="91" t="e">
        <f>AD83/AE11</f>
        <v>#DIV/0!</v>
      </c>
      <c r="AG83" s="23" t="e">
        <f>ROUND(C83*(AG82+AG80),-3)</f>
        <v>#DIV/0!</v>
      </c>
      <c r="AH83" s="88" t="e">
        <f>AG83/AH11</f>
        <v>#DIV/0!</v>
      </c>
      <c r="AJ83" s="89">
        <v>0</v>
      </c>
      <c r="AK83" s="91" t="e">
        <f>AJ83/AK11</f>
        <v>#DIV/0!</v>
      </c>
      <c r="AM83" s="23" t="e">
        <f>ROUND(C83*(AM82+AM80),-3)</f>
        <v>#DIV/0!</v>
      </c>
      <c r="AN83" s="88" t="e">
        <f>AM83/AN11</f>
        <v>#DIV/0!</v>
      </c>
      <c r="AP83" s="89">
        <v>0</v>
      </c>
      <c r="AQ83" s="91" t="e">
        <f>AP83/AQ11</f>
        <v>#DIV/0!</v>
      </c>
      <c r="AS83" s="23" t="e">
        <f>ROUND(C83*(AS82+AS80),-3)</f>
        <v>#DIV/0!</v>
      </c>
      <c r="AT83" s="88" t="e">
        <f>AS83/AT11</f>
        <v>#DIV/0!</v>
      </c>
      <c r="AV83" s="89">
        <v>0</v>
      </c>
      <c r="AW83" s="91" t="e">
        <f>AV83/AW11</f>
        <v>#DIV/0!</v>
      </c>
      <c r="AY83" s="23" t="e">
        <f>ROUND(C83*(AY82+AY80),-3)</f>
        <v>#DIV/0!</v>
      </c>
      <c r="AZ83" s="88" t="e">
        <f>AY83/AZ11</f>
        <v>#DIV/0!</v>
      </c>
    </row>
    <row r="84" spans="2:52" x14ac:dyDescent="0.2">
      <c r="B84" s="78" t="s">
        <v>16</v>
      </c>
      <c r="C84" s="122">
        <f>E84/(E83+E82+E80)</f>
        <v>2.9999980850365201E-2</v>
      </c>
      <c r="D84" s="79"/>
      <c r="E84" s="88">
        <f>736306</f>
        <v>736306</v>
      </c>
      <c r="F84" s="88">
        <f>E84/F11</f>
        <v>1840.7650000000001</v>
      </c>
      <c r="G84" s="88"/>
      <c r="H84" s="80"/>
      <c r="I84" s="89">
        <v>643864</v>
      </c>
      <c r="J84" s="91">
        <f>I84/J11</f>
        <v>2090.4675324675327</v>
      </c>
      <c r="K84" s="91"/>
      <c r="M84" s="23">
        <f>ROUND(C84*(M83+M82+M80),-3)</f>
        <v>718000</v>
      </c>
      <c r="N84" s="88">
        <f>M84/N11</f>
        <v>1795</v>
      </c>
      <c r="P84" s="89">
        <f>825763</f>
        <v>825763</v>
      </c>
      <c r="Q84" s="91">
        <f>P84/Q11</f>
        <v>2173.0605263157895</v>
      </c>
      <c r="R84" s="91"/>
      <c r="T84" s="23">
        <f>ROUND(C84*(T83+T82+T80),-3)</f>
        <v>1034000</v>
      </c>
      <c r="U84" s="88">
        <f>T84/U11</f>
        <v>2585</v>
      </c>
      <c r="W84" s="89">
        <f>942198</f>
        <v>942198</v>
      </c>
      <c r="X84" s="91">
        <f>W84/X11</f>
        <v>1888.1723446893789</v>
      </c>
      <c r="Y84" s="91"/>
      <c r="AA84" s="23">
        <f>ROUND(C84*(AA83+AA82+AA80),-3)</f>
        <v>727000</v>
      </c>
      <c r="AB84" s="88">
        <f>AA84/AB11</f>
        <v>1817.5</v>
      </c>
      <c r="AD84" s="89">
        <f>433472</f>
        <v>433472</v>
      </c>
      <c r="AE84" s="91" t="e">
        <f>AD84/AE11</f>
        <v>#DIV/0!</v>
      </c>
      <c r="AG84" s="23" t="e">
        <f>ROUND(C84*(AG83+AG82+AG80),-3)</f>
        <v>#DIV/0!</v>
      </c>
      <c r="AH84" s="88" t="e">
        <f>AG84/AH11</f>
        <v>#DIV/0!</v>
      </c>
      <c r="AJ84" s="89">
        <v>0</v>
      </c>
      <c r="AK84" s="91" t="e">
        <f>AJ84/AK11</f>
        <v>#DIV/0!</v>
      </c>
      <c r="AM84" s="23" t="e">
        <f>ROUND(C84*(AM83+AM82+AM80),-3)</f>
        <v>#DIV/0!</v>
      </c>
      <c r="AN84" s="88" t="e">
        <f>AM84/AN11</f>
        <v>#DIV/0!</v>
      </c>
      <c r="AP84" s="89">
        <v>0</v>
      </c>
      <c r="AQ84" s="91" t="e">
        <f>AP84/AQ11</f>
        <v>#DIV/0!</v>
      </c>
      <c r="AS84" s="23" t="e">
        <f>ROUND(C84*(AS83+AS82+AS80),-3)</f>
        <v>#DIV/0!</v>
      </c>
      <c r="AT84" s="88" t="e">
        <f>AS84/AT11</f>
        <v>#DIV/0!</v>
      </c>
      <c r="AV84" s="89">
        <v>0</v>
      </c>
      <c r="AW84" s="91" t="e">
        <f>AV84/AW11</f>
        <v>#DIV/0!</v>
      </c>
      <c r="AY84" s="23" t="e">
        <f>ROUND(C84*(AY83+AY82+AY80),-3)</f>
        <v>#DIV/0!</v>
      </c>
      <c r="AZ84" s="88" t="e">
        <f>AY84/AZ11</f>
        <v>#DIV/0!</v>
      </c>
    </row>
    <row r="85" spans="2:52" x14ac:dyDescent="0.2">
      <c r="B85" s="78" t="s">
        <v>18</v>
      </c>
      <c r="C85" s="122">
        <f>E85/(E84+E83+E82+E80)</f>
        <v>0.12000001582287556</v>
      </c>
      <c r="D85" s="79"/>
      <c r="E85" s="88">
        <f>3033583</f>
        <v>3033583</v>
      </c>
      <c r="F85" s="88">
        <f>E85/F11</f>
        <v>7583.9575000000004</v>
      </c>
      <c r="G85" s="88"/>
      <c r="H85" s="80"/>
      <c r="I85" s="89">
        <f>1771774</f>
        <v>1771774</v>
      </c>
      <c r="J85" s="91">
        <f>I85/J11</f>
        <v>5752.5129870129867</v>
      </c>
      <c r="K85" s="91"/>
      <c r="M85" s="23">
        <f>ROUND(C85*(M84+M83+M82+M80),-3)</f>
        <v>2960000</v>
      </c>
      <c r="N85" s="88">
        <f>M85/N11</f>
        <v>7400</v>
      </c>
      <c r="P85" s="89">
        <f>1136160</f>
        <v>1136160</v>
      </c>
      <c r="Q85" s="91">
        <f>P85/Q11</f>
        <v>2989.8947368421054</v>
      </c>
      <c r="R85" s="91"/>
      <c r="T85" s="23">
        <f>ROUND(C85*(T84+T83+T82+T80),-3)</f>
        <v>4258000</v>
      </c>
      <c r="U85" s="88">
        <f>T85/U11</f>
        <v>10645</v>
      </c>
      <c r="W85" s="89">
        <f>1296363</f>
        <v>1296363</v>
      </c>
      <c r="X85" s="91">
        <f>W85/X11</f>
        <v>2597.9218436873748</v>
      </c>
      <c r="Y85" s="91"/>
      <c r="AA85" s="23">
        <f>ROUND(C85*(AA84+AA83+AA82+AA80),-3)</f>
        <v>2995000</v>
      </c>
      <c r="AB85" s="88">
        <f>AA85/AB11</f>
        <v>7487.5</v>
      </c>
      <c r="AD85" s="89">
        <f>10747</f>
        <v>10747</v>
      </c>
      <c r="AE85" s="91" t="e">
        <f>AD85/AE11</f>
        <v>#DIV/0!</v>
      </c>
      <c r="AG85" s="23" t="e">
        <f>ROUND(C85*(AG84+AG83+AG82+AG80),-3)</f>
        <v>#DIV/0!</v>
      </c>
      <c r="AH85" s="88" t="e">
        <f>AG85/AH11</f>
        <v>#DIV/0!</v>
      </c>
      <c r="AJ85" s="89">
        <v>0</v>
      </c>
      <c r="AK85" s="91" t="e">
        <f>AJ85/AK11</f>
        <v>#DIV/0!</v>
      </c>
      <c r="AM85" s="23" t="e">
        <f>ROUND(C85*(AM84+AM83+AM82+AM80),-3)</f>
        <v>#DIV/0!</v>
      </c>
      <c r="AN85" s="88" t="e">
        <f>AM85/AN11</f>
        <v>#DIV/0!</v>
      </c>
      <c r="AP85" s="89">
        <v>0</v>
      </c>
      <c r="AQ85" s="91" t="e">
        <f>AP85/AQ11</f>
        <v>#DIV/0!</v>
      </c>
      <c r="AS85" s="23" t="e">
        <f>ROUND(C85*(AS84+AS83+AS82+AS80),-3)</f>
        <v>#DIV/0!</v>
      </c>
      <c r="AT85" s="88" t="e">
        <f>AS85/AT11</f>
        <v>#DIV/0!</v>
      </c>
      <c r="AV85" s="89">
        <v>0</v>
      </c>
      <c r="AW85" s="91" t="e">
        <f>AV85/AW11</f>
        <v>#DIV/0!</v>
      </c>
      <c r="AY85" s="23" t="e">
        <f>ROUND(C85*(AY84+AY83+AY82+AY80),-3)</f>
        <v>#DIV/0!</v>
      </c>
      <c r="AZ85" s="88" t="e">
        <f>AY85/AZ11</f>
        <v>#DIV/0!</v>
      </c>
    </row>
    <row r="86" spans="2:52" ht="6" customHeight="1" x14ac:dyDescent="0.2">
      <c r="B86" s="93"/>
      <c r="C86" s="94"/>
      <c r="D86" s="95"/>
      <c r="E86" s="96"/>
      <c r="F86" s="95"/>
      <c r="G86" s="95"/>
      <c r="H86" s="80"/>
      <c r="I86" s="97"/>
      <c r="J86" s="97"/>
      <c r="K86" s="97"/>
      <c r="M86" s="94"/>
      <c r="N86" s="95"/>
      <c r="P86" s="97"/>
      <c r="Q86" s="97"/>
      <c r="R86" s="97"/>
      <c r="T86" s="94"/>
      <c r="U86" s="95"/>
      <c r="W86" s="97"/>
      <c r="X86" s="97"/>
      <c r="Y86" s="97"/>
      <c r="AA86" s="94"/>
      <c r="AB86" s="95"/>
      <c r="AD86" s="97"/>
      <c r="AE86" s="97"/>
      <c r="AG86" s="94"/>
      <c r="AH86" s="95"/>
      <c r="AJ86" s="97"/>
      <c r="AK86" s="97"/>
      <c r="AM86" s="94"/>
      <c r="AN86" s="95"/>
      <c r="AP86" s="97"/>
      <c r="AQ86" s="97"/>
      <c r="AS86" s="94"/>
      <c r="AT86" s="95"/>
      <c r="AV86" s="97"/>
      <c r="AW86" s="97"/>
      <c r="AY86" s="94"/>
      <c r="AZ86" s="95"/>
    </row>
    <row r="87" spans="2:52" ht="6" customHeight="1" x14ac:dyDescent="0.2">
      <c r="B87" s="27"/>
      <c r="C87" s="23"/>
      <c r="D87" s="79"/>
      <c r="E87" s="88"/>
      <c r="F87" s="79"/>
      <c r="G87" s="79"/>
      <c r="H87" s="80"/>
      <c r="J87" s="32"/>
      <c r="K87" s="32"/>
      <c r="M87" s="23"/>
      <c r="N87" s="79"/>
      <c r="P87" s="32"/>
      <c r="Q87" s="32"/>
      <c r="R87" s="32"/>
      <c r="T87" s="23"/>
      <c r="U87" s="79"/>
      <c r="W87" s="32"/>
      <c r="X87" s="32"/>
      <c r="Y87" s="32"/>
      <c r="AA87" s="23"/>
      <c r="AB87" s="79"/>
      <c r="AD87" s="32"/>
      <c r="AE87" s="32"/>
      <c r="AG87" s="23"/>
      <c r="AH87" s="79"/>
      <c r="AJ87" s="32"/>
      <c r="AK87" s="32"/>
      <c r="AM87" s="23"/>
      <c r="AN87" s="79"/>
      <c r="AP87" s="32"/>
      <c r="AQ87" s="32"/>
      <c r="AS87" s="23"/>
      <c r="AT87" s="79"/>
      <c r="AV87" s="32"/>
      <c r="AW87" s="32"/>
      <c r="AY87" s="23"/>
      <c r="AZ87" s="79"/>
    </row>
    <row r="88" spans="2:52" x14ac:dyDescent="0.2">
      <c r="B88" s="106" t="s">
        <v>5</v>
      </c>
      <c r="C88" s="107">
        <v>1</v>
      </c>
      <c r="D88" s="16" t="s">
        <v>7</v>
      </c>
      <c r="E88" s="101">
        <f>SUM(E82:E87)</f>
        <v>6001121</v>
      </c>
      <c r="F88" s="101">
        <f>E88/F11</f>
        <v>15002.8025</v>
      </c>
      <c r="G88" s="171">
        <f>E88/$E$47</f>
        <v>0.52286405930540725</v>
      </c>
      <c r="H88" s="68"/>
      <c r="I88" s="91">
        <f>SUM(I82:I87)</f>
        <v>4261123</v>
      </c>
      <c r="J88" s="91">
        <f>I88/J11</f>
        <v>13834.814935064935</v>
      </c>
      <c r="K88" s="175">
        <f>I88/$I$47</f>
        <v>0.57061937398393581</v>
      </c>
      <c r="M88" s="114">
        <f>SUM(M82:M87)</f>
        <v>5855000</v>
      </c>
      <c r="N88" s="114">
        <f>M88/N11</f>
        <v>14637.5</v>
      </c>
      <c r="P88" s="91">
        <f>SUM(P82:P87)</f>
        <v>4013857</v>
      </c>
      <c r="Q88" s="91">
        <f>P88/Q11</f>
        <v>10562.781578947368</v>
      </c>
      <c r="R88" s="175">
        <f>P88/$P$47</f>
        <v>0.22330684376965618</v>
      </c>
      <c r="T88" s="114">
        <f>SUM(T82:T87)</f>
        <v>8424000</v>
      </c>
      <c r="U88" s="114">
        <f>T88/U11</f>
        <v>21060</v>
      </c>
      <c r="W88" s="91">
        <f>SUM(W82:W87)</f>
        <v>3691405</v>
      </c>
      <c r="X88" s="91">
        <f>W88/X11</f>
        <v>7397.605210420842</v>
      </c>
      <c r="Y88" s="175">
        <f>W88/$W$47</f>
        <v>0.27494926174800577</v>
      </c>
      <c r="AA88" s="114">
        <f>SUM(AA82:AA87)</f>
        <v>5925000</v>
      </c>
      <c r="AB88" s="114">
        <f>AA88/AB11</f>
        <v>14812.5</v>
      </c>
      <c r="AD88" s="91">
        <f>SUM(AD82:AD87)</f>
        <v>444219</v>
      </c>
      <c r="AE88" s="91" t="e">
        <f>AD88/AE11</f>
        <v>#DIV/0!</v>
      </c>
      <c r="AG88" s="114" t="e">
        <f>SUM(AG82:AG87)</f>
        <v>#DIV/0!</v>
      </c>
      <c r="AH88" s="114" t="e">
        <f>AG88/AH11</f>
        <v>#DIV/0!</v>
      </c>
      <c r="AJ88" s="108">
        <f>SUM(AJ82:AJ87)</f>
        <v>0</v>
      </c>
      <c r="AK88" s="91" t="e">
        <f>AJ88/AK11</f>
        <v>#DIV/0!</v>
      </c>
      <c r="AM88" s="114" t="e">
        <f>SUM(AM82:AM87)</f>
        <v>#DIV/0!</v>
      </c>
      <c r="AN88" s="114" t="e">
        <f>AM88/AN11</f>
        <v>#DIV/0!</v>
      </c>
      <c r="AP88" s="108">
        <f>SUM(AP82:AP87)</f>
        <v>0</v>
      </c>
      <c r="AQ88" s="91" t="e">
        <f>AP88/AQ11</f>
        <v>#DIV/0!</v>
      </c>
      <c r="AS88" s="114" t="e">
        <f>SUM(AS82:AS87)</f>
        <v>#DIV/0!</v>
      </c>
      <c r="AT88" s="114" t="e">
        <f>AS88/AT11</f>
        <v>#DIV/0!</v>
      </c>
      <c r="AV88" s="108">
        <f>SUM(AV82:AV87)</f>
        <v>0</v>
      </c>
      <c r="AW88" s="91" t="e">
        <f>AV88/AW11</f>
        <v>#DIV/0!</v>
      </c>
      <c r="AY88" s="114" t="e">
        <f>SUM(AY82:AY87)</f>
        <v>#DIV/0!</v>
      </c>
      <c r="AZ88" s="114" t="e">
        <f>AY88/AZ11</f>
        <v>#DIV/0!</v>
      </c>
    </row>
    <row r="89" spans="2:52" ht="6" customHeight="1" thickBot="1" x14ac:dyDescent="0.25">
      <c r="B89" s="115"/>
      <c r="C89" s="116"/>
      <c r="D89" s="117"/>
      <c r="E89" s="117"/>
      <c r="F89" s="117"/>
      <c r="G89" s="117"/>
      <c r="H89" s="80"/>
      <c r="I89" s="119"/>
      <c r="J89" s="120"/>
      <c r="K89" s="120"/>
      <c r="M89" s="116"/>
      <c r="N89" s="117"/>
      <c r="P89" s="119"/>
      <c r="Q89" s="120"/>
      <c r="R89" s="120"/>
      <c r="T89" s="116"/>
      <c r="U89" s="117"/>
      <c r="W89" s="119"/>
      <c r="X89" s="120"/>
      <c r="Y89" s="120"/>
      <c r="AA89" s="116"/>
      <c r="AB89" s="117"/>
      <c r="AD89" s="119"/>
      <c r="AE89" s="120"/>
      <c r="AG89" s="116"/>
      <c r="AH89" s="117"/>
      <c r="AJ89" s="119"/>
      <c r="AK89" s="120"/>
      <c r="AM89" s="116"/>
      <c r="AN89" s="117"/>
      <c r="AP89" s="119"/>
      <c r="AQ89" s="120"/>
      <c r="AS89" s="116"/>
      <c r="AT89" s="117"/>
      <c r="AV89" s="119"/>
      <c r="AW89" s="120"/>
      <c r="AY89" s="116"/>
      <c r="AZ89" s="117"/>
    </row>
    <row r="90" spans="2:52" ht="6" customHeight="1" x14ac:dyDescent="0.2">
      <c r="B90" s="27"/>
      <c r="C90" s="23"/>
      <c r="D90" s="79"/>
      <c r="E90" s="79"/>
      <c r="F90" s="79"/>
      <c r="G90" s="79"/>
      <c r="H90" s="80"/>
      <c r="I90" s="23"/>
      <c r="J90" s="32"/>
      <c r="K90" s="32"/>
      <c r="M90" s="23"/>
      <c r="N90" s="79"/>
      <c r="P90" s="23"/>
      <c r="Q90" s="32"/>
      <c r="R90" s="32"/>
      <c r="T90" s="23"/>
      <c r="U90" s="79"/>
      <c r="W90" s="23"/>
      <c r="X90" s="32"/>
      <c r="Y90" s="32"/>
      <c r="AA90" s="23"/>
      <c r="AB90" s="79"/>
      <c r="AD90" s="23"/>
      <c r="AE90" s="32"/>
      <c r="AG90" s="23"/>
      <c r="AH90" s="79"/>
      <c r="AJ90" s="23"/>
      <c r="AK90" s="32"/>
      <c r="AM90" s="23"/>
      <c r="AN90" s="79"/>
      <c r="AP90" s="23"/>
      <c r="AQ90" s="32"/>
      <c r="AS90" s="23"/>
      <c r="AT90" s="79"/>
      <c r="AV90" s="23"/>
      <c r="AW90" s="32"/>
      <c r="AY90" s="23"/>
      <c r="AZ90" s="79"/>
    </row>
    <row r="91" spans="2:52" ht="6" customHeight="1" thickBot="1" x14ac:dyDescent="0.25">
      <c r="B91" s="38"/>
      <c r="C91" s="123"/>
      <c r="D91" s="124"/>
      <c r="E91" s="124"/>
      <c r="F91" s="124"/>
      <c r="G91" s="124"/>
      <c r="H91" s="80"/>
      <c r="I91" s="123"/>
      <c r="M91" s="23"/>
      <c r="N91" s="124"/>
      <c r="P91" s="123"/>
      <c r="T91" s="23"/>
      <c r="U91" s="124"/>
      <c r="W91" s="123"/>
      <c r="AA91" s="23"/>
      <c r="AB91" s="124"/>
      <c r="AD91" s="123"/>
      <c r="AG91" s="23"/>
      <c r="AH91" s="124"/>
      <c r="AJ91" s="123"/>
      <c r="AM91" s="23"/>
      <c r="AN91" s="124"/>
      <c r="AP91" s="123"/>
      <c r="AS91" s="23"/>
      <c r="AT91" s="124"/>
      <c r="AV91" s="123"/>
      <c r="AY91" s="23"/>
      <c r="AZ91" s="124"/>
    </row>
    <row r="92" spans="2:52" ht="3" customHeight="1" x14ac:dyDescent="0.2">
      <c r="B92" s="64"/>
      <c r="C92" s="125"/>
      <c r="D92" s="126"/>
      <c r="E92" s="126"/>
      <c r="F92" s="126"/>
      <c r="G92" s="126"/>
      <c r="H92" s="80"/>
      <c r="I92" s="127"/>
      <c r="J92" s="128"/>
      <c r="K92" s="128"/>
      <c r="M92" s="125"/>
      <c r="N92" s="126"/>
      <c r="P92" s="127"/>
      <c r="Q92" s="128"/>
      <c r="R92" s="128"/>
      <c r="T92" s="125"/>
      <c r="U92" s="126"/>
      <c r="W92" s="127"/>
      <c r="X92" s="128"/>
      <c r="Y92" s="128"/>
      <c r="AA92" s="125"/>
      <c r="AB92" s="126"/>
      <c r="AD92" s="127"/>
      <c r="AE92" s="128"/>
      <c r="AG92" s="125"/>
      <c r="AH92" s="126"/>
      <c r="AJ92" s="127"/>
      <c r="AK92" s="128"/>
      <c r="AM92" s="125"/>
      <c r="AN92" s="126"/>
      <c r="AP92" s="127"/>
      <c r="AQ92" s="128"/>
      <c r="AS92" s="125"/>
      <c r="AT92" s="126"/>
      <c r="AV92" s="127"/>
      <c r="AW92" s="128"/>
      <c r="AY92" s="125"/>
      <c r="AZ92" s="126"/>
    </row>
    <row r="93" spans="2:52" x14ac:dyDescent="0.2">
      <c r="B93" s="42" t="s">
        <v>35</v>
      </c>
      <c r="C93" s="129">
        <v>1</v>
      </c>
      <c r="D93" s="67" t="s">
        <v>7</v>
      </c>
      <c r="E93" s="130">
        <f>E88+E80</f>
        <v>28313438</v>
      </c>
      <c r="F93" s="130">
        <f>E93/F11</f>
        <v>70783.595000000001</v>
      </c>
      <c r="G93" s="130"/>
      <c r="H93" s="68"/>
      <c r="I93" s="145">
        <f>I88+I80</f>
        <v>19094556</v>
      </c>
      <c r="J93" s="145">
        <f>I93/J11</f>
        <v>61995.311688311689</v>
      </c>
      <c r="K93" s="145"/>
      <c r="M93" s="143">
        <f>M88+M80</f>
        <v>27628000</v>
      </c>
      <c r="N93" s="143">
        <f>M93/N11</f>
        <v>69070</v>
      </c>
      <c r="P93" s="145">
        <f>P88+P80</f>
        <v>32084301</v>
      </c>
      <c r="Q93" s="145">
        <f>P93/Q11</f>
        <v>84432.371052631584</v>
      </c>
      <c r="R93" s="145"/>
      <c r="T93" s="132">
        <f>T88+T80</f>
        <v>39743000</v>
      </c>
      <c r="U93" s="143">
        <f>T93/U11</f>
        <v>99357.5</v>
      </c>
      <c r="W93" s="145">
        <f>W88+W80</f>
        <v>30560271</v>
      </c>
      <c r="X93" s="145">
        <f>W93/X11</f>
        <v>61243.028056112227</v>
      </c>
      <c r="Y93" s="145"/>
      <c r="AA93" s="143">
        <f>AA88+AA80</f>
        <v>27953000</v>
      </c>
      <c r="AB93" s="143">
        <f>AA93/AB11</f>
        <v>69882.5</v>
      </c>
      <c r="AD93" s="145">
        <f>AD88+AD80</f>
        <v>1138637</v>
      </c>
      <c r="AE93" s="145" t="e">
        <f>AD93/AE11</f>
        <v>#DIV/0!</v>
      </c>
      <c r="AG93" s="143" t="e">
        <f>AG88+AG80</f>
        <v>#DIV/0!</v>
      </c>
      <c r="AH93" s="143" t="e">
        <f>AG93/AH11</f>
        <v>#DIV/0!</v>
      </c>
      <c r="AJ93" s="131">
        <f>AJ88+AJ80</f>
        <v>0</v>
      </c>
      <c r="AK93" s="145" t="e">
        <f>AJ93/AK11</f>
        <v>#DIV/0!</v>
      </c>
      <c r="AM93" s="132" t="e">
        <f>AM88+AM80</f>
        <v>#DIV/0!</v>
      </c>
      <c r="AN93" s="143" t="e">
        <f>AM93/AN11</f>
        <v>#DIV/0!</v>
      </c>
      <c r="AP93" s="131">
        <f>AP88+AP80</f>
        <v>0</v>
      </c>
      <c r="AQ93" s="145" t="e">
        <f>AP93/AQ11</f>
        <v>#DIV/0!</v>
      </c>
      <c r="AS93" s="132" t="e">
        <f>AS88+AS80</f>
        <v>#DIV/0!</v>
      </c>
      <c r="AT93" s="143" t="e">
        <f>AS93/AT11</f>
        <v>#DIV/0!</v>
      </c>
      <c r="AV93" s="131">
        <f>AV88+AV80</f>
        <v>0</v>
      </c>
      <c r="AW93" s="145" t="e">
        <f>AV93/AW11</f>
        <v>#DIV/0!</v>
      </c>
      <c r="AY93" s="132" t="e">
        <f>AY88+AY80</f>
        <v>#DIV/0!</v>
      </c>
      <c r="AZ93" s="143" t="e">
        <f>AY93/AZ11</f>
        <v>#DIV/0!</v>
      </c>
    </row>
    <row r="94" spans="2:52" ht="6" customHeight="1" x14ac:dyDescent="0.2">
      <c r="B94" s="42"/>
      <c r="C94" s="129"/>
      <c r="D94" s="67"/>
      <c r="E94" s="67"/>
      <c r="F94" s="67"/>
      <c r="G94" s="67"/>
      <c r="H94" s="68"/>
      <c r="I94" s="145"/>
      <c r="J94" s="145"/>
      <c r="K94" s="145"/>
      <c r="M94" s="133"/>
      <c r="N94" s="146"/>
      <c r="P94" s="145"/>
      <c r="Q94" s="145"/>
      <c r="R94" s="145"/>
      <c r="T94" s="133"/>
      <c r="U94" s="146"/>
      <c r="W94" s="145"/>
      <c r="X94" s="145"/>
      <c r="Y94" s="145"/>
      <c r="AA94" s="133"/>
      <c r="AB94" s="146"/>
      <c r="AD94" s="145"/>
      <c r="AE94" s="145"/>
      <c r="AG94" s="133"/>
      <c r="AH94" s="146"/>
      <c r="AJ94" s="131"/>
      <c r="AK94" s="145"/>
      <c r="AM94" s="133"/>
      <c r="AN94" s="146"/>
      <c r="AP94" s="131"/>
      <c r="AQ94" s="145"/>
      <c r="AS94" s="133"/>
      <c r="AT94" s="146"/>
      <c r="AV94" s="131"/>
      <c r="AW94" s="145"/>
      <c r="AY94" s="133"/>
      <c r="AZ94" s="146"/>
    </row>
    <row r="95" spans="2:52" x14ac:dyDescent="0.2">
      <c r="B95" s="42" t="s">
        <v>36</v>
      </c>
      <c r="C95" s="129"/>
      <c r="D95" s="67"/>
      <c r="E95" s="67"/>
      <c r="F95" s="130">
        <f>E93/F10</f>
        <v>268.11967803030302</v>
      </c>
      <c r="G95" s="130"/>
      <c r="H95" s="68"/>
      <c r="I95" s="145"/>
      <c r="J95" s="145">
        <f>I93/J10</f>
        <v>234.83072609208972</v>
      </c>
      <c r="K95" s="145"/>
      <c r="M95" s="133"/>
      <c r="N95" s="143">
        <f>M93/N10</f>
        <v>261.62878787878788</v>
      </c>
      <c r="P95" s="145"/>
      <c r="Q95" s="145">
        <f>P93/Q10</f>
        <v>416.2035725404732</v>
      </c>
      <c r="R95" s="145"/>
      <c r="T95" s="133"/>
      <c r="U95" s="143">
        <f>T93/U10</f>
        <v>376.35416666666669</v>
      </c>
      <c r="W95" s="145"/>
      <c r="X95" s="145">
        <f>W93/X10</f>
        <v>208.95054561864129</v>
      </c>
      <c r="Y95" s="145"/>
      <c r="AA95" s="133"/>
      <c r="AB95" s="143">
        <f>AA93/AB10</f>
        <v>264.70643939393938</v>
      </c>
      <c r="AD95" s="145"/>
      <c r="AE95" s="145" t="e">
        <f>AD93/AE10</f>
        <v>#DIV/0!</v>
      </c>
      <c r="AG95" s="133"/>
      <c r="AH95" s="143" t="e">
        <f>AG93/AH10</f>
        <v>#DIV/0!</v>
      </c>
      <c r="AJ95" s="131"/>
      <c r="AK95" s="145" t="e">
        <f>AJ93/AK10</f>
        <v>#DIV/0!</v>
      </c>
      <c r="AM95" s="133"/>
      <c r="AN95" s="143" t="e">
        <f>AM93/AN10</f>
        <v>#DIV/0!</v>
      </c>
      <c r="AP95" s="131"/>
      <c r="AQ95" s="145" t="e">
        <f>AP93/AQ10</f>
        <v>#DIV/0!</v>
      </c>
      <c r="AS95" s="133"/>
      <c r="AT95" s="143" t="e">
        <f>AS93/AT10</f>
        <v>#DIV/0!</v>
      </c>
      <c r="AV95" s="131"/>
      <c r="AW95" s="145" t="e">
        <f>AV93/AW10</f>
        <v>#DIV/0!</v>
      </c>
      <c r="AY95" s="133"/>
      <c r="AZ95" s="143" t="e">
        <f>AY93/AZ10</f>
        <v>#DIV/0!</v>
      </c>
    </row>
    <row r="96" spans="2:52" ht="3" customHeight="1" thickBot="1" x14ac:dyDescent="0.25">
      <c r="B96" s="134"/>
      <c r="C96" s="135"/>
      <c r="D96" s="136"/>
      <c r="E96" s="136"/>
      <c r="F96" s="136"/>
      <c r="G96" s="136"/>
      <c r="H96" s="80"/>
      <c r="I96" s="137"/>
      <c r="J96" s="138"/>
      <c r="K96" s="138"/>
      <c r="M96" s="73"/>
      <c r="N96" s="73"/>
      <c r="P96" s="137"/>
      <c r="Q96" s="138"/>
      <c r="R96" s="138"/>
      <c r="T96" s="73"/>
      <c r="U96" s="73"/>
      <c r="W96" s="137"/>
      <c r="X96" s="138"/>
      <c r="Y96" s="138"/>
      <c r="AA96" s="73"/>
      <c r="AB96" s="73"/>
      <c r="AD96" s="137"/>
      <c r="AE96" s="138"/>
      <c r="AG96" s="73"/>
      <c r="AH96" s="73"/>
      <c r="AJ96" s="137"/>
      <c r="AK96" s="138"/>
      <c r="AM96" s="73"/>
      <c r="AN96" s="73"/>
      <c r="AP96" s="137"/>
      <c r="AQ96" s="138"/>
      <c r="AS96" s="73"/>
      <c r="AT96" s="73"/>
      <c r="AV96" s="137"/>
      <c r="AW96" s="138"/>
      <c r="AY96" s="73"/>
      <c r="AZ96" s="73"/>
    </row>
    <row r="97" spans="2:34" x14ac:dyDescent="0.2">
      <c r="B97" s="27"/>
      <c r="C97" s="23"/>
      <c r="D97" s="79"/>
      <c r="E97" s="79"/>
      <c r="F97" s="79"/>
      <c r="G97" s="79"/>
      <c r="H97" s="79"/>
      <c r="I97" s="23"/>
      <c r="J97" s="27"/>
      <c r="K97" s="27"/>
      <c r="P97" s="32"/>
    </row>
    <row r="98" spans="2:34" x14ac:dyDescent="0.2">
      <c r="B98" s="27"/>
      <c r="C98" s="23"/>
      <c r="E98" s="139"/>
      <c r="F98" s="139"/>
      <c r="G98" s="139"/>
      <c r="H98" s="139"/>
      <c r="I98" s="228" t="s">
        <v>88</v>
      </c>
      <c r="J98" s="228"/>
      <c r="K98" s="228"/>
      <c r="P98" s="229" t="s">
        <v>88</v>
      </c>
      <c r="Q98" s="229"/>
      <c r="R98" s="229"/>
      <c r="T98" s="227"/>
      <c r="U98" s="227"/>
      <c r="W98" s="229" t="s">
        <v>88</v>
      </c>
      <c r="X98" s="229"/>
      <c r="Y98" s="229"/>
      <c r="Z98" s="144"/>
      <c r="AA98" s="226"/>
      <c r="AB98" s="226"/>
      <c r="AD98" s="231"/>
      <c r="AE98" s="231"/>
      <c r="AG98" s="226"/>
      <c r="AH98" s="226"/>
    </row>
    <row r="99" spans="2:34" x14ac:dyDescent="0.2">
      <c r="B99" s="27"/>
      <c r="C99" s="23"/>
      <c r="D99" s="79"/>
      <c r="E99" s="79"/>
      <c r="F99" s="79"/>
      <c r="G99" s="79"/>
      <c r="H99" s="79"/>
      <c r="I99" s="23"/>
      <c r="J99" s="27"/>
      <c r="K99" s="27"/>
      <c r="P99" s="230"/>
      <c r="Q99" s="230"/>
      <c r="R99" s="169"/>
      <c r="W99" s="144"/>
      <c r="X99" s="144"/>
      <c r="Y99" s="169"/>
      <c r="Z99" s="144"/>
      <c r="AA99" s="226"/>
      <c r="AB99" s="226"/>
    </row>
    <row r="100" spans="2:34" x14ac:dyDescent="0.2">
      <c r="B100" s="48" t="s">
        <v>68</v>
      </c>
      <c r="C100" s="23"/>
      <c r="D100" s="79"/>
      <c r="E100" s="79"/>
      <c r="F100" s="79"/>
      <c r="G100" s="79"/>
      <c r="H100" s="79"/>
      <c r="I100" s="23"/>
      <c r="J100" s="27"/>
      <c r="K100" s="27"/>
      <c r="P100" s="225"/>
      <c r="Q100" s="225"/>
      <c r="R100" s="168"/>
      <c r="Y100" s="168"/>
      <c r="AD100" s="140"/>
    </row>
    <row r="101" spans="2:34" x14ac:dyDescent="0.2">
      <c r="B101" s="27"/>
      <c r="C101" s="23"/>
      <c r="D101" s="79"/>
      <c r="E101" s="79"/>
      <c r="F101" s="79"/>
      <c r="G101" s="79"/>
      <c r="H101" s="79"/>
      <c r="I101" s="23"/>
      <c r="J101" s="27"/>
      <c r="K101" s="27"/>
      <c r="P101" s="140"/>
    </row>
    <row r="102" spans="2:34" x14ac:dyDescent="0.2">
      <c r="B102" s="27"/>
      <c r="C102" s="23"/>
      <c r="D102" s="79"/>
      <c r="E102" s="79"/>
      <c r="F102" s="79"/>
      <c r="G102" s="79"/>
      <c r="H102" s="79"/>
      <c r="I102" s="23"/>
      <c r="J102" s="27"/>
      <c r="K102" s="27"/>
    </row>
    <row r="103" spans="2:34" x14ac:dyDescent="0.2">
      <c r="B103" s="27"/>
      <c r="C103" s="23"/>
      <c r="D103" s="79"/>
      <c r="E103" s="79"/>
      <c r="F103" s="79"/>
      <c r="G103" s="79"/>
      <c r="H103" s="79"/>
      <c r="I103" s="23"/>
      <c r="J103" s="27"/>
      <c r="K103" s="27"/>
      <c r="T103" s="140"/>
    </row>
    <row r="104" spans="2:34" x14ac:dyDescent="0.2">
      <c r="B104" s="27"/>
      <c r="C104" s="23"/>
      <c r="D104" s="79"/>
      <c r="E104" s="79"/>
      <c r="F104" s="79"/>
      <c r="G104" s="79"/>
      <c r="H104" s="79"/>
      <c r="I104" s="23"/>
      <c r="J104" s="27"/>
      <c r="K104" s="27"/>
    </row>
    <row r="105" spans="2:34" x14ac:dyDescent="0.2">
      <c r="B105" s="27"/>
      <c r="C105" s="23"/>
      <c r="D105" s="79"/>
      <c r="E105" s="79"/>
      <c r="F105" s="79"/>
      <c r="G105" s="79"/>
      <c r="H105" s="79"/>
      <c r="I105" s="23"/>
      <c r="J105" s="27"/>
      <c r="K105" s="27"/>
    </row>
    <row r="106" spans="2:34" x14ac:dyDescent="0.2">
      <c r="B106" s="27"/>
      <c r="C106" s="23"/>
      <c r="D106" s="79"/>
      <c r="E106" s="79"/>
      <c r="F106" s="79"/>
      <c r="G106" s="79"/>
      <c r="H106" s="79"/>
      <c r="I106" s="23"/>
      <c r="J106" s="27"/>
      <c r="K106" s="27"/>
    </row>
    <row r="107" spans="2:34" x14ac:dyDescent="0.2">
      <c r="B107" s="27"/>
      <c r="C107" s="23"/>
      <c r="D107" s="79"/>
      <c r="E107" s="79"/>
      <c r="F107" s="79"/>
      <c r="G107" s="79"/>
      <c r="H107" s="79"/>
      <c r="I107" s="23"/>
      <c r="J107" s="27"/>
      <c r="K107" s="27"/>
    </row>
    <row r="108" spans="2:34" x14ac:dyDescent="0.2">
      <c r="B108" s="27"/>
      <c r="C108" s="23"/>
      <c r="D108" s="79"/>
      <c r="E108" s="79"/>
      <c r="F108" s="79"/>
      <c r="G108" s="79"/>
      <c r="H108" s="79"/>
      <c r="I108" s="23"/>
      <c r="J108" s="27"/>
      <c r="K108" s="27"/>
    </row>
    <row r="109" spans="2:34" x14ac:dyDescent="0.2">
      <c r="B109" s="27"/>
      <c r="C109" s="23"/>
      <c r="D109" s="79"/>
      <c r="E109" s="79"/>
      <c r="F109" s="79"/>
      <c r="G109" s="79"/>
      <c r="H109" s="79"/>
      <c r="I109" s="23"/>
      <c r="J109" s="27"/>
      <c r="K109" s="27"/>
    </row>
    <row r="110" spans="2:34" x14ac:dyDescent="0.2">
      <c r="B110" s="27"/>
      <c r="C110" s="23"/>
      <c r="D110" s="79"/>
      <c r="E110" s="79"/>
      <c r="F110" s="79"/>
      <c r="G110" s="79"/>
      <c r="H110" s="79"/>
      <c r="I110" s="23"/>
      <c r="J110" s="27"/>
      <c r="K110" s="27"/>
    </row>
    <row r="111" spans="2:34" x14ac:dyDescent="0.2">
      <c r="B111" s="27"/>
      <c r="C111" s="23"/>
      <c r="D111" s="79"/>
      <c r="E111" s="79"/>
      <c r="F111" s="79"/>
      <c r="G111" s="79"/>
      <c r="H111" s="79"/>
      <c r="I111" s="23"/>
      <c r="J111" s="27"/>
      <c r="K111" s="27"/>
    </row>
    <row r="112" spans="2:34" x14ac:dyDescent="0.2">
      <c r="B112" s="27"/>
      <c r="C112" s="23"/>
      <c r="D112" s="79"/>
      <c r="E112" s="79"/>
      <c r="F112" s="79"/>
      <c r="G112" s="79"/>
      <c r="H112" s="79"/>
      <c r="I112" s="23"/>
      <c r="J112" s="27"/>
      <c r="K112" s="27"/>
    </row>
    <row r="113" spans="2:11" x14ac:dyDescent="0.2">
      <c r="B113" s="27"/>
      <c r="C113" s="23"/>
      <c r="D113" s="79"/>
      <c r="E113" s="79"/>
      <c r="F113" s="79"/>
      <c r="G113" s="79"/>
      <c r="H113" s="79"/>
      <c r="I113" s="23"/>
      <c r="J113" s="27"/>
      <c r="K113" s="27"/>
    </row>
    <row r="114" spans="2:11" x14ac:dyDescent="0.2">
      <c r="B114" s="27"/>
      <c r="C114" s="23"/>
      <c r="D114" s="79"/>
      <c r="E114" s="79"/>
      <c r="F114" s="79"/>
      <c r="G114" s="79"/>
      <c r="H114" s="79"/>
      <c r="I114" s="23"/>
      <c r="J114" s="27"/>
      <c r="K114" s="27"/>
    </row>
    <row r="115" spans="2:11" x14ac:dyDescent="0.2">
      <c r="B115" s="27"/>
      <c r="C115" s="23"/>
      <c r="D115" s="79"/>
      <c r="E115" s="79"/>
      <c r="F115" s="79"/>
      <c r="G115" s="79"/>
      <c r="H115" s="79"/>
      <c r="I115" s="23"/>
      <c r="J115" s="27"/>
      <c r="K115" s="27"/>
    </row>
    <row r="116" spans="2:11" x14ac:dyDescent="0.2">
      <c r="B116" s="27"/>
      <c r="C116" s="23"/>
      <c r="D116" s="79"/>
      <c r="E116" s="79"/>
      <c r="F116" s="79"/>
      <c r="G116" s="79"/>
      <c r="H116" s="79"/>
      <c r="I116" s="23"/>
      <c r="J116" s="27"/>
      <c r="K116" s="27"/>
    </row>
    <row r="117" spans="2:11" x14ac:dyDescent="0.2">
      <c r="B117" s="27"/>
      <c r="C117" s="23"/>
      <c r="D117" s="79"/>
      <c r="E117" s="79"/>
      <c r="F117" s="79"/>
      <c r="G117" s="79"/>
      <c r="H117" s="79"/>
      <c r="I117" s="23"/>
      <c r="J117" s="27"/>
      <c r="K117" s="27"/>
    </row>
    <row r="118" spans="2:11" x14ac:dyDescent="0.2">
      <c r="B118" s="27"/>
      <c r="C118" s="23"/>
      <c r="D118" s="79"/>
      <c r="E118" s="79"/>
      <c r="F118" s="79"/>
      <c r="G118" s="79"/>
      <c r="H118" s="79"/>
      <c r="I118" s="23"/>
      <c r="J118" s="27"/>
      <c r="K118" s="27"/>
    </row>
    <row r="119" spans="2:11" x14ac:dyDescent="0.2">
      <c r="B119" s="27"/>
      <c r="C119" s="23"/>
      <c r="D119" s="79"/>
      <c r="E119" s="79"/>
      <c r="F119" s="79"/>
      <c r="G119" s="79"/>
      <c r="H119" s="79"/>
      <c r="I119" s="23"/>
      <c r="J119" s="27"/>
      <c r="K119" s="27"/>
    </row>
    <row r="120" spans="2:11" x14ac:dyDescent="0.2">
      <c r="B120" s="27"/>
      <c r="C120" s="23"/>
      <c r="D120" s="79"/>
      <c r="E120" s="79"/>
      <c r="F120" s="79"/>
      <c r="G120" s="79"/>
      <c r="H120" s="79"/>
      <c r="I120" s="23"/>
      <c r="J120" s="27"/>
      <c r="K120" s="27"/>
    </row>
    <row r="121" spans="2:11" x14ac:dyDescent="0.2">
      <c r="B121" s="27"/>
      <c r="C121" s="23"/>
      <c r="D121" s="79"/>
      <c r="E121" s="79"/>
      <c r="F121" s="79"/>
      <c r="G121" s="79"/>
      <c r="H121" s="79"/>
      <c r="I121" s="23"/>
      <c r="J121" s="27"/>
      <c r="K121" s="27"/>
    </row>
    <row r="122" spans="2:11" x14ac:dyDescent="0.2">
      <c r="B122" s="27"/>
      <c r="C122" s="23"/>
      <c r="D122" s="79"/>
      <c r="E122" s="79"/>
      <c r="F122" s="79"/>
      <c r="G122" s="79"/>
      <c r="H122" s="79"/>
      <c r="I122" s="23"/>
      <c r="J122" s="27"/>
      <c r="K122" s="27"/>
    </row>
    <row r="123" spans="2:11" x14ac:dyDescent="0.2">
      <c r="B123" s="27"/>
      <c r="C123" s="23"/>
      <c r="D123" s="79"/>
      <c r="E123" s="79"/>
      <c r="F123" s="79"/>
      <c r="G123" s="79"/>
      <c r="H123" s="79"/>
      <c r="I123" s="23"/>
      <c r="J123" s="27"/>
      <c r="K123" s="27"/>
    </row>
    <row r="124" spans="2:11" x14ac:dyDescent="0.2">
      <c r="B124" s="27"/>
      <c r="C124" s="23"/>
      <c r="D124" s="79"/>
      <c r="E124" s="79"/>
      <c r="F124" s="79"/>
      <c r="G124" s="79"/>
      <c r="H124" s="79"/>
      <c r="I124" s="23"/>
      <c r="J124" s="27"/>
      <c r="K124" s="27"/>
    </row>
    <row r="125" spans="2:11" x14ac:dyDescent="0.2">
      <c r="B125" s="27"/>
      <c r="C125" s="23"/>
      <c r="D125" s="79"/>
      <c r="E125" s="79"/>
      <c r="F125" s="79"/>
      <c r="G125" s="79"/>
      <c r="H125" s="79"/>
      <c r="I125" s="23"/>
      <c r="J125" s="27"/>
      <c r="K125" s="27"/>
    </row>
    <row r="126" spans="2:11" x14ac:dyDescent="0.2">
      <c r="B126" s="27"/>
      <c r="C126" s="23"/>
      <c r="D126" s="79"/>
      <c r="E126" s="79"/>
      <c r="F126" s="79"/>
      <c r="G126" s="79"/>
      <c r="H126" s="79"/>
      <c r="I126" s="23"/>
      <c r="J126" s="27"/>
      <c r="K126" s="27"/>
    </row>
    <row r="127" spans="2:11" x14ac:dyDescent="0.2">
      <c r="B127" s="27"/>
      <c r="C127" s="23"/>
      <c r="D127" s="79"/>
      <c r="E127" s="79"/>
      <c r="F127" s="79"/>
      <c r="G127" s="79"/>
      <c r="H127" s="79"/>
      <c r="I127" s="23"/>
      <c r="J127" s="27"/>
      <c r="K127" s="27"/>
    </row>
    <row r="128" spans="2:11" x14ac:dyDescent="0.2">
      <c r="B128" s="27"/>
      <c r="C128" s="23"/>
      <c r="D128" s="79"/>
      <c r="E128" s="79"/>
      <c r="F128" s="79"/>
      <c r="G128" s="79"/>
      <c r="H128" s="79"/>
      <c r="I128" s="23"/>
      <c r="J128" s="27"/>
      <c r="K128" s="27"/>
    </row>
    <row r="129" spans="2:11" x14ac:dyDescent="0.2">
      <c r="B129" s="27"/>
      <c r="C129" s="23"/>
      <c r="D129" s="79"/>
      <c r="E129" s="79"/>
      <c r="F129" s="79"/>
      <c r="G129" s="79"/>
      <c r="H129" s="79"/>
      <c r="I129" s="23"/>
      <c r="J129" s="27"/>
      <c r="K129" s="27"/>
    </row>
    <row r="130" spans="2:11" x14ac:dyDescent="0.2">
      <c r="B130" s="27"/>
      <c r="C130" s="23"/>
      <c r="D130" s="79"/>
      <c r="E130" s="79"/>
      <c r="F130" s="79"/>
      <c r="G130" s="79"/>
      <c r="H130" s="79"/>
      <c r="I130" s="23"/>
      <c r="J130" s="27"/>
      <c r="K130" s="27"/>
    </row>
    <row r="131" spans="2:11" x14ac:dyDescent="0.2">
      <c r="B131" s="27"/>
      <c r="C131" s="23"/>
      <c r="D131" s="79"/>
      <c r="E131" s="79"/>
      <c r="F131" s="79"/>
      <c r="G131" s="79"/>
      <c r="H131" s="79"/>
      <c r="I131" s="23"/>
      <c r="J131" s="27"/>
      <c r="K131" s="27"/>
    </row>
    <row r="132" spans="2:11" x14ac:dyDescent="0.2">
      <c r="B132" s="27"/>
      <c r="C132" s="23"/>
      <c r="D132" s="79"/>
      <c r="E132" s="79"/>
      <c r="F132" s="79"/>
      <c r="G132" s="79"/>
      <c r="H132" s="79"/>
      <c r="I132" s="23"/>
      <c r="J132" s="27"/>
      <c r="K132" s="27"/>
    </row>
    <row r="133" spans="2:11" x14ac:dyDescent="0.2">
      <c r="B133" s="27"/>
      <c r="C133" s="23"/>
      <c r="D133" s="79"/>
      <c r="E133" s="79"/>
      <c r="F133" s="79"/>
      <c r="G133" s="79"/>
      <c r="H133" s="79"/>
      <c r="I133" s="23"/>
      <c r="J133" s="27"/>
      <c r="K133" s="27"/>
    </row>
    <row r="134" spans="2:11" x14ac:dyDescent="0.2">
      <c r="B134" s="27"/>
      <c r="C134" s="23"/>
      <c r="D134" s="79"/>
      <c r="E134" s="79"/>
      <c r="F134" s="79"/>
      <c r="G134" s="79"/>
      <c r="H134" s="79"/>
      <c r="I134" s="23"/>
      <c r="J134" s="27"/>
      <c r="K134" s="27"/>
    </row>
    <row r="135" spans="2:11" x14ac:dyDescent="0.2">
      <c r="B135" s="27"/>
      <c r="C135" s="23"/>
      <c r="D135" s="79"/>
      <c r="E135" s="79"/>
      <c r="F135" s="79"/>
      <c r="G135" s="79"/>
      <c r="H135" s="79"/>
      <c r="I135" s="23"/>
      <c r="J135" s="27"/>
      <c r="K135" s="27"/>
    </row>
    <row r="136" spans="2:11" x14ac:dyDescent="0.2">
      <c r="B136" s="27"/>
      <c r="C136" s="23"/>
      <c r="D136" s="79"/>
      <c r="E136" s="79"/>
      <c r="F136" s="79"/>
      <c r="G136" s="79"/>
      <c r="H136" s="79"/>
      <c r="I136" s="23"/>
      <c r="J136" s="27"/>
      <c r="K136" s="27"/>
    </row>
    <row r="137" spans="2:11" x14ac:dyDescent="0.2">
      <c r="B137" s="27"/>
      <c r="C137" s="23"/>
      <c r="D137" s="79"/>
      <c r="E137" s="79"/>
      <c r="F137" s="79"/>
      <c r="G137" s="79"/>
      <c r="H137" s="79"/>
      <c r="I137" s="23"/>
      <c r="J137" s="27"/>
      <c r="K137" s="27"/>
    </row>
    <row r="138" spans="2:11" x14ac:dyDescent="0.2">
      <c r="B138" s="27"/>
      <c r="C138" s="23"/>
      <c r="D138" s="79"/>
      <c r="E138" s="79"/>
      <c r="F138" s="79"/>
      <c r="G138" s="79"/>
      <c r="H138" s="79"/>
      <c r="I138" s="23"/>
      <c r="J138" s="27"/>
      <c r="K138" s="27"/>
    </row>
    <row r="139" spans="2:11" x14ac:dyDescent="0.2">
      <c r="B139" s="27"/>
      <c r="C139" s="23"/>
      <c r="D139" s="79"/>
      <c r="E139" s="79"/>
      <c r="F139" s="79"/>
      <c r="G139" s="79"/>
      <c r="H139" s="79"/>
      <c r="I139" s="23"/>
      <c r="J139" s="27"/>
      <c r="K139" s="27"/>
    </row>
    <row r="140" spans="2:11" x14ac:dyDescent="0.2">
      <c r="B140" s="27"/>
      <c r="C140" s="23"/>
      <c r="D140" s="79"/>
      <c r="E140" s="79"/>
      <c r="F140" s="79"/>
      <c r="G140" s="79"/>
      <c r="H140" s="79"/>
      <c r="I140" s="23"/>
      <c r="J140" s="27"/>
      <c r="K140" s="27"/>
    </row>
    <row r="141" spans="2:11" x14ac:dyDescent="0.2">
      <c r="B141" s="27"/>
      <c r="C141" s="23"/>
      <c r="D141" s="79"/>
      <c r="E141" s="79"/>
      <c r="F141" s="79"/>
      <c r="G141" s="79"/>
      <c r="H141" s="79"/>
      <c r="I141" s="23"/>
      <c r="J141" s="27"/>
      <c r="K141" s="27"/>
    </row>
    <row r="142" spans="2:11" x14ac:dyDescent="0.2">
      <c r="B142" s="27"/>
      <c r="C142" s="23"/>
      <c r="D142" s="79"/>
      <c r="E142" s="79"/>
      <c r="F142" s="79"/>
      <c r="G142" s="79"/>
      <c r="H142" s="79"/>
      <c r="I142" s="23"/>
      <c r="J142" s="27"/>
      <c r="K142" s="27"/>
    </row>
    <row r="143" spans="2:11" x14ac:dyDescent="0.2">
      <c r="B143" s="27"/>
      <c r="C143" s="23"/>
      <c r="D143" s="79"/>
      <c r="E143" s="79"/>
      <c r="F143" s="79"/>
      <c r="G143" s="79"/>
      <c r="H143" s="79"/>
      <c r="I143" s="23"/>
      <c r="J143" s="27"/>
      <c r="K143" s="27"/>
    </row>
    <row r="144" spans="2:11" x14ac:dyDescent="0.2">
      <c r="B144" s="27"/>
      <c r="C144" s="23"/>
      <c r="D144" s="79"/>
      <c r="E144" s="79"/>
      <c r="F144" s="79"/>
      <c r="G144" s="79"/>
      <c r="H144" s="79"/>
      <c r="I144" s="23"/>
      <c r="J144" s="27"/>
      <c r="K144" s="27"/>
    </row>
    <row r="145" spans="2:11" x14ac:dyDescent="0.2">
      <c r="B145" s="27"/>
      <c r="C145" s="23"/>
      <c r="D145" s="79"/>
      <c r="E145" s="79"/>
      <c r="F145" s="79"/>
      <c r="G145" s="79"/>
      <c r="H145" s="79"/>
      <c r="I145" s="23"/>
      <c r="J145" s="27"/>
      <c r="K145" s="27"/>
    </row>
    <row r="146" spans="2:11" x14ac:dyDescent="0.2">
      <c r="B146" s="27"/>
      <c r="C146" s="23"/>
      <c r="D146" s="79"/>
      <c r="E146" s="79"/>
      <c r="F146" s="79"/>
      <c r="G146" s="79"/>
      <c r="H146" s="79"/>
      <c r="I146" s="23"/>
      <c r="J146" s="27"/>
      <c r="K146" s="27"/>
    </row>
    <row r="147" spans="2:11" x14ac:dyDescent="0.2">
      <c r="B147" s="27"/>
      <c r="C147" s="23"/>
      <c r="D147" s="79"/>
      <c r="E147" s="79"/>
      <c r="F147" s="79"/>
      <c r="G147" s="79"/>
      <c r="H147" s="79"/>
      <c r="I147" s="23"/>
      <c r="J147" s="27"/>
      <c r="K147" s="27"/>
    </row>
    <row r="148" spans="2:11" x14ac:dyDescent="0.2">
      <c r="B148" s="27"/>
      <c r="C148" s="23"/>
      <c r="D148" s="79"/>
      <c r="E148" s="79"/>
      <c r="F148" s="79"/>
      <c r="G148" s="79"/>
      <c r="H148" s="79"/>
      <c r="I148" s="23"/>
      <c r="J148" s="27"/>
      <c r="K148" s="27"/>
    </row>
    <row r="149" spans="2:11" x14ac:dyDescent="0.2">
      <c r="B149" s="27"/>
      <c r="C149" s="23"/>
      <c r="D149" s="79"/>
      <c r="E149" s="79"/>
      <c r="F149" s="79"/>
      <c r="G149" s="79"/>
      <c r="H149" s="79"/>
      <c r="I149" s="23"/>
      <c r="J149" s="27"/>
      <c r="K149" s="27"/>
    </row>
    <row r="150" spans="2:11" x14ac:dyDescent="0.2">
      <c r="B150" s="27"/>
      <c r="C150" s="23"/>
      <c r="D150" s="79"/>
      <c r="E150" s="79"/>
      <c r="F150" s="79"/>
      <c r="G150" s="79"/>
      <c r="H150" s="79"/>
      <c r="I150" s="23"/>
      <c r="J150" s="27"/>
      <c r="K150" s="27"/>
    </row>
    <row r="151" spans="2:11" x14ac:dyDescent="0.2">
      <c r="B151" s="27"/>
      <c r="C151" s="23"/>
      <c r="D151" s="79"/>
      <c r="E151" s="79"/>
      <c r="F151" s="79"/>
      <c r="G151" s="79"/>
      <c r="H151" s="79"/>
      <c r="I151" s="23"/>
      <c r="J151" s="27"/>
      <c r="K151" s="27"/>
    </row>
    <row r="152" spans="2:11" x14ac:dyDescent="0.2">
      <c r="B152" s="27"/>
      <c r="C152" s="23"/>
      <c r="D152" s="79"/>
      <c r="E152" s="79"/>
      <c r="F152" s="79"/>
      <c r="G152" s="79"/>
      <c r="H152" s="79"/>
      <c r="I152" s="23"/>
      <c r="J152" s="27"/>
      <c r="K152" s="27"/>
    </row>
    <row r="153" spans="2:11" x14ac:dyDescent="0.2">
      <c r="B153" s="27"/>
      <c r="C153" s="23"/>
      <c r="D153" s="79"/>
      <c r="E153" s="79"/>
      <c r="F153" s="79"/>
      <c r="G153" s="79"/>
      <c r="H153" s="79"/>
      <c r="I153" s="23"/>
      <c r="J153" s="27"/>
      <c r="K153" s="27"/>
    </row>
    <row r="154" spans="2:11" x14ac:dyDescent="0.2">
      <c r="B154" s="27"/>
      <c r="C154" s="23"/>
      <c r="D154" s="79"/>
      <c r="E154" s="79"/>
      <c r="F154" s="79"/>
      <c r="G154" s="79"/>
      <c r="H154" s="79"/>
      <c r="I154" s="23"/>
      <c r="J154" s="27"/>
      <c r="K154" s="27"/>
    </row>
    <row r="155" spans="2:11" x14ac:dyDescent="0.2">
      <c r="B155" s="27"/>
      <c r="C155" s="23"/>
      <c r="D155" s="79"/>
      <c r="E155" s="79"/>
      <c r="F155" s="79"/>
      <c r="G155" s="79"/>
      <c r="H155" s="79"/>
      <c r="I155" s="23"/>
      <c r="J155" s="27"/>
      <c r="K155" s="27"/>
    </row>
    <row r="156" spans="2:11" x14ac:dyDescent="0.2">
      <c r="B156" s="27"/>
      <c r="C156" s="23"/>
      <c r="D156" s="79"/>
      <c r="E156" s="79"/>
      <c r="F156" s="79"/>
      <c r="G156" s="79"/>
      <c r="H156" s="79"/>
      <c r="I156" s="23"/>
      <c r="J156" s="27"/>
      <c r="K156" s="27"/>
    </row>
    <row r="157" spans="2:11" x14ac:dyDescent="0.2">
      <c r="B157" s="27"/>
      <c r="C157" s="23"/>
      <c r="D157" s="79"/>
      <c r="E157" s="79"/>
      <c r="F157" s="79"/>
      <c r="G157" s="79"/>
      <c r="H157" s="79"/>
      <c r="I157" s="23"/>
      <c r="J157" s="27"/>
      <c r="K157" s="27"/>
    </row>
    <row r="158" spans="2:11" x14ac:dyDescent="0.2">
      <c r="B158" s="27"/>
      <c r="C158" s="23"/>
      <c r="D158" s="79"/>
      <c r="E158" s="79"/>
      <c r="F158" s="79"/>
      <c r="G158" s="79"/>
      <c r="H158" s="79"/>
      <c r="I158" s="23"/>
      <c r="J158" s="27"/>
      <c r="K158" s="27"/>
    </row>
    <row r="159" spans="2:11" x14ac:dyDescent="0.2">
      <c r="B159" s="27"/>
      <c r="C159" s="23"/>
      <c r="D159" s="79"/>
      <c r="E159" s="79"/>
      <c r="F159" s="79"/>
      <c r="G159" s="79"/>
      <c r="H159" s="79"/>
      <c r="I159" s="23"/>
      <c r="J159" s="27"/>
      <c r="K159" s="27"/>
    </row>
    <row r="160" spans="2:11" x14ac:dyDescent="0.2">
      <c r="B160" s="27"/>
      <c r="C160" s="23"/>
      <c r="D160" s="79"/>
      <c r="E160" s="79"/>
      <c r="F160" s="79"/>
      <c r="G160" s="79"/>
      <c r="H160" s="79"/>
      <c r="I160" s="23"/>
      <c r="J160" s="27"/>
      <c r="K160" s="27"/>
    </row>
    <row r="161" spans="2:11" x14ac:dyDescent="0.2">
      <c r="B161" s="27"/>
      <c r="C161" s="23"/>
      <c r="D161" s="79"/>
      <c r="E161" s="79"/>
      <c r="F161" s="79"/>
      <c r="G161" s="79"/>
      <c r="H161" s="79"/>
      <c r="I161" s="23"/>
      <c r="J161" s="27"/>
      <c r="K161" s="27"/>
    </row>
    <row r="162" spans="2:11" x14ac:dyDescent="0.2">
      <c r="B162" s="27"/>
      <c r="C162" s="23"/>
      <c r="D162" s="79"/>
      <c r="E162" s="79"/>
      <c r="F162" s="79"/>
      <c r="G162" s="79"/>
      <c r="H162" s="79"/>
      <c r="I162" s="23"/>
      <c r="J162" s="27"/>
      <c r="K162" s="27"/>
    </row>
    <row r="163" spans="2:11" x14ac:dyDescent="0.2">
      <c r="B163" s="27"/>
      <c r="C163" s="23"/>
      <c r="D163" s="79"/>
      <c r="E163" s="79"/>
      <c r="F163" s="79"/>
      <c r="G163" s="79"/>
      <c r="H163" s="79"/>
      <c r="I163" s="23"/>
      <c r="J163" s="27"/>
      <c r="K163" s="27"/>
    </row>
    <row r="164" spans="2:11" x14ac:dyDescent="0.2">
      <c r="B164" s="27"/>
      <c r="C164" s="23"/>
      <c r="D164" s="79"/>
      <c r="E164" s="79"/>
      <c r="F164" s="79"/>
      <c r="G164" s="79"/>
      <c r="H164" s="79"/>
      <c r="I164" s="23"/>
      <c r="J164" s="27"/>
      <c r="K164" s="27"/>
    </row>
    <row r="165" spans="2:11" x14ac:dyDescent="0.2">
      <c r="B165" s="27"/>
      <c r="C165" s="23"/>
      <c r="D165" s="79"/>
      <c r="E165" s="79"/>
      <c r="F165" s="79"/>
      <c r="G165" s="79"/>
      <c r="H165" s="79"/>
      <c r="I165" s="23"/>
      <c r="J165" s="27"/>
      <c r="K165" s="27"/>
    </row>
    <row r="166" spans="2:11" x14ac:dyDescent="0.2">
      <c r="B166" s="27"/>
      <c r="C166" s="23"/>
      <c r="D166" s="79"/>
      <c r="E166" s="79"/>
      <c r="F166" s="79"/>
      <c r="G166" s="79"/>
      <c r="H166" s="79"/>
      <c r="I166" s="23"/>
      <c r="J166" s="27"/>
      <c r="K166" s="27"/>
    </row>
    <row r="167" spans="2:11" x14ac:dyDescent="0.2">
      <c r="B167" s="27"/>
      <c r="C167" s="23"/>
      <c r="D167" s="79"/>
      <c r="E167" s="79"/>
      <c r="F167" s="79"/>
      <c r="G167" s="79"/>
      <c r="H167" s="79"/>
      <c r="I167" s="23"/>
      <c r="J167" s="27"/>
      <c r="K167" s="27"/>
    </row>
    <row r="168" spans="2:11" x14ac:dyDescent="0.2">
      <c r="B168" s="27"/>
      <c r="C168" s="23"/>
      <c r="D168" s="79"/>
      <c r="E168" s="79"/>
      <c r="F168" s="79"/>
      <c r="G168" s="79"/>
      <c r="H168" s="79"/>
      <c r="I168" s="23"/>
      <c r="J168" s="27"/>
      <c r="K168" s="27"/>
    </row>
    <row r="169" spans="2:11" x14ac:dyDescent="0.2">
      <c r="B169" s="27"/>
      <c r="C169" s="23"/>
      <c r="D169" s="79"/>
      <c r="E169" s="79"/>
      <c r="F169" s="79"/>
      <c r="G169" s="79"/>
      <c r="H169" s="79"/>
      <c r="I169" s="23"/>
      <c r="J169" s="27"/>
      <c r="K169" s="27"/>
    </row>
    <row r="170" spans="2:11" x14ac:dyDescent="0.2">
      <c r="B170" s="27"/>
      <c r="C170" s="23"/>
      <c r="D170" s="79"/>
      <c r="E170" s="79"/>
      <c r="F170" s="79"/>
      <c r="G170" s="79"/>
      <c r="H170" s="79"/>
      <c r="I170" s="23"/>
      <c r="J170" s="27"/>
      <c r="K170" s="27"/>
    </row>
    <row r="171" spans="2:11" x14ac:dyDescent="0.2">
      <c r="B171" s="27"/>
      <c r="C171" s="23"/>
      <c r="D171" s="79"/>
      <c r="E171" s="79"/>
      <c r="F171" s="79"/>
      <c r="G171" s="79"/>
      <c r="H171" s="79"/>
      <c r="I171" s="23"/>
      <c r="J171" s="27"/>
      <c r="K171" s="27"/>
    </row>
    <row r="172" spans="2:11" x14ac:dyDescent="0.2">
      <c r="B172" s="27"/>
      <c r="C172" s="23"/>
      <c r="D172" s="79"/>
      <c r="E172" s="79"/>
      <c r="F172" s="79"/>
      <c r="G172" s="79"/>
      <c r="H172" s="79"/>
      <c r="I172" s="23"/>
      <c r="J172" s="27"/>
      <c r="K172" s="27"/>
    </row>
    <row r="173" spans="2:11" x14ac:dyDescent="0.2">
      <c r="B173" s="27"/>
      <c r="C173" s="23"/>
      <c r="D173" s="79"/>
      <c r="E173" s="79"/>
      <c r="F173" s="79"/>
      <c r="G173" s="79"/>
      <c r="H173" s="79"/>
      <c r="I173" s="23"/>
      <c r="J173" s="27"/>
      <c r="K173" s="27"/>
    </row>
    <row r="174" spans="2:11" x14ac:dyDescent="0.2">
      <c r="B174" s="27"/>
      <c r="C174" s="23"/>
      <c r="D174" s="79"/>
      <c r="E174" s="79"/>
      <c r="F174" s="79"/>
      <c r="G174" s="79"/>
      <c r="H174" s="79"/>
      <c r="I174" s="23"/>
      <c r="J174" s="27"/>
      <c r="K174" s="27"/>
    </row>
    <row r="175" spans="2:11" x14ac:dyDescent="0.2">
      <c r="B175" s="27"/>
      <c r="C175" s="23"/>
      <c r="D175" s="79"/>
      <c r="E175" s="79"/>
      <c r="F175" s="79"/>
      <c r="G175" s="79"/>
      <c r="H175" s="79"/>
      <c r="I175" s="23"/>
      <c r="J175" s="27"/>
      <c r="K175" s="27"/>
    </row>
    <row r="176" spans="2:11" x14ac:dyDescent="0.2">
      <c r="B176" s="27"/>
      <c r="C176" s="23"/>
      <c r="D176" s="79"/>
      <c r="E176" s="79"/>
      <c r="F176" s="79"/>
      <c r="G176" s="79"/>
      <c r="H176" s="79"/>
      <c r="I176" s="23"/>
      <c r="J176" s="27"/>
      <c r="K176" s="27"/>
    </row>
    <row r="177" spans="2:11" x14ac:dyDescent="0.2">
      <c r="B177" s="27"/>
      <c r="C177" s="23"/>
      <c r="D177" s="79"/>
      <c r="E177" s="79"/>
      <c r="F177" s="79"/>
      <c r="G177" s="79"/>
      <c r="H177" s="79"/>
      <c r="I177" s="23"/>
      <c r="J177" s="27"/>
      <c r="K177" s="27"/>
    </row>
    <row r="178" spans="2:11" x14ac:dyDescent="0.2">
      <c r="B178" s="27"/>
      <c r="C178" s="23"/>
      <c r="D178" s="79"/>
      <c r="E178" s="79"/>
      <c r="F178" s="79"/>
      <c r="G178" s="79"/>
      <c r="H178" s="79"/>
      <c r="I178" s="23"/>
      <c r="J178" s="27"/>
      <c r="K178" s="27"/>
    </row>
    <row r="179" spans="2:11" x14ac:dyDescent="0.2">
      <c r="B179" s="27"/>
      <c r="C179" s="23"/>
      <c r="D179" s="79"/>
      <c r="E179" s="79"/>
      <c r="F179" s="79"/>
      <c r="G179" s="79"/>
      <c r="H179" s="79"/>
      <c r="I179" s="23"/>
      <c r="J179" s="27"/>
      <c r="K179" s="27"/>
    </row>
    <row r="180" spans="2:11" x14ac:dyDescent="0.2">
      <c r="B180" s="27"/>
      <c r="C180" s="23"/>
      <c r="D180" s="79"/>
      <c r="E180" s="79"/>
      <c r="F180" s="79"/>
      <c r="G180" s="79"/>
      <c r="H180" s="79"/>
      <c r="I180" s="23"/>
      <c r="J180" s="27"/>
      <c r="K180" s="27"/>
    </row>
    <row r="181" spans="2:11" x14ac:dyDescent="0.2">
      <c r="B181" s="27"/>
      <c r="C181" s="23"/>
      <c r="D181" s="79"/>
      <c r="E181" s="79"/>
      <c r="F181" s="79"/>
      <c r="G181" s="79"/>
      <c r="H181" s="79"/>
      <c r="I181" s="23"/>
      <c r="J181" s="27"/>
      <c r="K181" s="27"/>
    </row>
    <row r="182" spans="2:11" x14ac:dyDescent="0.2">
      <c r="B182" s="27"/>
      <c r="C182" s="23"/>
      <c r="D182" s="79"/>
      <c r="E182" s="79"/>
      <c r="F182" s="79"/>
      <c r="G182" s="79"/>
      <c r="H182" s="79"/>
      <c r="I182" s="23"/>
      <c r="J182" s="27"/>
      <c r="K182" s="27"/>
    </row>
    <row r="183" spans="2:11" x14ac:dyDescent="0.2">
      <c r="B183" s="27"/>
      <c r="C183" s="23"/>
      <c r="D183" s="79"/>
      <c r="E183" s="79"/>
      <c r="F183" s="79"/>
      <c r="G183" s="79"/>
      <c r="H183" s="79"/>
      <c r="I183" s="23"/>
      <c r="J183" s="27"/>
      <c r="K183" s="27"/>
    </row>
    <row r="184" spans="2:11" x14ac:dyDescent="0.2">
      <c r="B184" s="27"/>
      <c r="C184" s="23"/>
      <c r="D184" s="79"/>
      <c r="E184" s="79"/>
      <c r="F184" s="79"/>
      <c r="G184" s="79"/>
      <c r="H184" s="79"/>
      <c r="I184" s="23"/>
      <c r="J184" s="27"/>
      <c r="K184" s="27"/>
    </row>
    <row r="185" spans="2:11" x14ac:dyDescent="0.2">
      <c r="B185" s="27"/>
      <c r="C185" s="23"/>
      <c r="D185" s="79"/>
      <c r="E185" s="79"/>
      <c r="F185" s="79"/>
      <c r="G185" s="79"/>
      <c r="H185" s="79"/>
      <c r="I185" s="23"/>
      <c r="J185" s="27"/>
      <c r="K185" s="27"/>
    </row>
    <row r="186" spans="2:11" x14ac:dyDescent="0.2">
      <c r="B186" s="27"/>
      <c r="C186" s="23"/>
      <c r="D186" s="79"/>
      <c r="E186" s="79"/>
      <c r="F186" s="79"/>
      <c r="G186" s="79"/>
      <c r="H186" s="79"/>
      <c r="I186" s="23"/>
      <c r="J186" s="27"/>
      <c r="K186" s="27"/>
    </row>
    <row r="187" spans="2:11" x14ac:dyDescent="0.2">
      <c r="B187" s="27"/>
      <c r="C187" s="23"/>
      <c r="D187" s="79"/>
      <c r="E187" s="79"/>
      <c r="F187" s="79"/>
      <c r="G187" s="79"/>
      <c r="H187" s="79"/>
      <c r="I187" s="23"/>
      <c r="J187" s="27"/>
      <c r="K187" s="27"/>
    </row>
    <row r="188" spans="2:11" x14ac:dyDescent="0.2">
      <c r="B188" s="27"/>
      <c r="C188" s="23"/>
      <c r="D188" s="79"/>
      <c r="E188" s="79"/>
      <c r="F188" s="79"/>
      <c r="G188" s="79"/>
      <c r="H188" s="79"/>
      <c r="I188" s="23"/>
      <c r="J188" s="27"/>
      <c r="K188" s="27"/>
    </row>
    <row r="189" spans="2:11" x14ac:dyDescent="0.2">
      <c r="B189" s="27"/>
      <c r="C189" s="23"/>
      <c r="D189" s="79"/>
      <c r="E189" s="79"/>
      <c r="F189" s="79"/>
      <c r="G189" s="79"/>
      <c r="H189" s="79"/>
      <c r="I189" s="23"/>
      <c r="J189" s="27"/>
      <c r="K189" s="27"/>
    </row>
    <row r="190" spans="2:11" x14ac:dyDescent="0.2">
      <c r="B190" s="27"/>
      <c r="C190" s="23"/>
      <c r="D190" s="79"/>
      <c r="E190" s="79"/>
      <c r="F190" s="79"/>
      <c r="G190" s="79"/>
      <c r="H190" s="79"/>
      <c r="I190" s="23"/>
      <c r="J190" s="27"/>
      <c r="K190" s="27"/>
    </row>
    <row r="191" spans="2:11" x14ac:dyDescent="0.2">
      <c r="B191" s="27"/>
      <c r="C191" s="23"/>
      <c r="D191" s="79"/>
      <c r="E191" s="79"/>
      <c r="F191" s="79"/>
      <c r="G191" s="79"/>
      <c r="H191" s="79"/>
      <c r="I191" s="23"/>
      <c r="J191" s="27"/>
      <c r="K191" s="27"/>
    </row>
    <row r="192" spans="2:11" x14ac:dyDescent="0.2">
      <c r="B192" s="27"/>
      <c r="C192" s="23"/>
      <c r="D192" s="79"/>
      <c r="E192" s="79"/>
      <c r="F192" s="79"/>
      <c r="G192" s="79"/>
      <c r="H192" s="79"/>
      <c r="I192" s="23"/>
      <c r="J192" s="27"/>
      <c r="K192" s="27"/>
    </row>
    <row r="193" spans="2:11" x14ac:dyDescent="0.2">
      <c r="B193" s="27"/>
      <c r="C193" s="23"/>
      <c r="D193" s="79"/>
      <c r="E193" s="79"/>
      <c r="F193" s="79"/>
      <c r="G193" s="79"/>
      <c r="H193" s="79"/>
      <c r="I193" s="23"/>
      <c r="J193" s="27"/>
      <c r="K193" s="27"/>
    </row>
    <row r="194" spans="2:11" x14ac:dyDescent="0.2">
      <c r="B194" s="27"/>
      <c r="C194" s="23"/>
      <c r="D194" s="79"/>
      <c r="E194" s="79"/>
      <c r="F194" s="79"/>
      <c r="G194" s="79"/>
      <c r="H194" s="79"/>
      <c r="I194" s="23"/>
      <c r="J194" s="27"/>
      <c r="K194" s="27"/>
    </row>
    <row r="195" spans="2:11" x14ac:dyDescent="0.2">
      <c r="B195" s="27"/>
      <c r="C195" s="23"/>
      <c r="D195" s="79"/>
      <c r="E195" s="79"/>
      <c r="F195" s="79"/>
      <c r="G195" s="79"/>
      <c r="H195" s="79"/>
      <c r="I195" s="23"/>
      <c r="J195" s="27"/>
      <c r="K195" s="27"/>
    </row>
    <row r="196" spans="2:11" x14ac:dyDescent="0.2">
      <c r="B196" s="27"/>
      <c r="C196" s="23"/>
      <c r="D196" s="79"/>
      <c r="E196" s="79"/>
      <c r="F196" s="79"/>
      <c r="G196" s="79"/>
      <c r="H196" s="79"/>
      <c r="I196" s="23"/>
      <c r="J196" s="27"/>
      <c r="K196" s="27"/>
    </row>
    <row r="197" spans="2:11" x14ac:dyDescent="0.2">
      <c r="B197" s="27"/>
      <c r="C197" s="23"/>
      <c r="D197" s="79"/>
      <c r="E197" s="79"/>
      <c r="F197" s="79"/>
      <c r="G197" s="79"/>
      <c r="H197" s="79"/>
      <c r="I197" s="23"/>
      <c r="J197" s="27"/>
      <c r="K197" s="27"/>
    </row>
    <row r="198" spans="2:11" x14ac:dyDescent="0.2">
      <c r="B198" s="27"/>
      <c r="C198" s="23"/>
      <c r="D198" s="79"/>
      <c r="E198" s="79"/>
      <c r="F198" s="79"/>
      <c r="G198" s="79"/>
      <c r="H198" s="79"/>
      <c r="I198" s="23"/>
      <c r="J198" s="27"/>
      <c r="K198" s="27"/>
    </row>
    <row r="199" spans="2:11" x14ac:dyDescent="0.2">
      <c r="B199" s="27"/>
      <c r="C199" s="23"/>
      <c r="D199" s="79"/>
      <c r="E199" s="79"/>
      <c r="F199" s="79"/>
      <c r="G199" s="79"/>
      <c r="H199" s="79"/>
      <c r="I199" s="23"/>
      <c r="J199" s="27"/>
      <c r="K199" s="27"/>
    </row>
    <row r="200" spans="2:11" x14ac:dyDescent="0.2">
      <c r="B200" s="27"/>
      <c r="C200" s="23"/>
      <c r="D200" s="79"/>
      <c r="E200" s="79"/>
      <c r="F200" s="79"/>
      <c r="G200" s="79"/>
      <c r="H200" s="79"/>
      <c r="I200" s="23"/>
      <c r="J200" s="27"/>
      <c r="K200" s="27"/>
    </row>
    <row r="201" spans="2:11" x14ac:dyDescent="0.2">
      <c r="B201" s="27"/>
      <c r="C201" s="23"/>
      <c r="D201" s="79"/>
      <c r="E201" s="79"/>
      <c r="F201" s="79"/>
      <c r="G201" s="79"/>
      <c r="H201" s="79"/>
      <c r="I201" s="23"/>
      <c r="J201" s="27"/>
      <c r="K201" s="27"/>
    </row>
    <row r="202" spans="2:11" x14ac:dyDescent="0.2">
      <c r="B202" s="27"/>
      <c r="C202" s="23"/>
      <c r="D202" s="79"/>
      <c r="E202" s="79"/>
      <c r="F202" s="79"/>
      <c r="G202" s="79"/>
      <c r="H202" s="79"/>
      <c r="I202" s="23"/>
      <c r="J202" s="27"/>
      <c r="K202" s="27"/>
    </row>
    <row r="203" spans="2:11" x14ac:dyDescent="0.2">
      <c r="B203" s="27"/>
      <c r="C203" s="23"/>
      <c r="D203" s="79"/>
      <c r="E203" s="79"/>
      <c r="F203" s="79"/>
      <c r="G203" s="79"/>
      <c r="H203" s="79"/>
      <c r="I203" s="23"/>
      <c r="J203" s="27"/>
      <c r="K203" s="27"/>
    </row>
    <row r="204" spans="2:11" x14ac:dyDescent="0.2">
      <c r="B204" s="27"/>
      <c r="C204" s="23"/>
      <c r="D204" s="79"/>
      <c r="E204" s="79"/>
      <c r="F204" s="79"/>
      <c r="G204" s="79"/>
      <c r="H204" s="79"/>
      <c r="I204" s="23"/>
      <c r="J204" s="27"/>
      <c r="K204" s="27"/>
    </row>
    <row r="205" spans="2:11" x14ac:dyDescent="0.2">
      <c r="B205" s="27"/>
      <c r="C205" s="23"/>
      <c r="D205" s="79"/>
      <c r="E205" s="79"/>
      <c r="F205" s="79"/>
      <c r="G205" s="79"/>
      <c r="H205" s="79"/>
      <c r="I205" s="23"/>
      <c r="J205" s="27"/>
      <c r="K205" s="27"/>
    </row>
    <row r="206" spans="2:11" x14ac:dyDescent="0.2">
      <c r="B206" s="27"/>
      <c r="C206" s="23"/>
      <c r="D206" s="79"/>
      <c r="E206" s="79"/>
      <c r="F206" s="79"/>
      <c r="G206" s="79"/>
      <c r="H206" s="79"/>
      <c r="I206" s="23"/>
      <c r="J206" s="27"/>
      <c r="K206" s="27"/>
    </row>
    <row r="207" spans="2:11" x14ac:dyDescent="0.2">
      <c r="B207" s="27"/>
      <c r="C207" s="23"/>
      <c r="D207" s="79"/>
      <c r="E207" s="79"/>
      <c r="F207" s="79"/>
      <c r="G207" s="79"/>
      <c r="H207" s="79"/>
      <c r="I207" s="23"/>
      <c r="J207" s="27"/>
      <c r="K207" s="27"/>
    </row>
    <row r="208" spans="2:11" x14ac:dyDescent="0.2">
      <c r="B208" s="27"/>
      <c r="C208" s="23"/>
      <c r="D208" s="79"/>
      <c r="E208" s="79"/>
      <c r="F208" s="79"/>
      <c r="G208" s="79"/>
      <c r="H208" s="79"/>
      <c r="I208" s="23"/>
      <c r="J208" s="27"/>
      <c r="K208" s="27"/>
    </row>
    <row r="209" spans="2:11" x14ac:dyDescent="0.2">
      <c r="B209" s="27"/>
      <c r="C209" s="23"/>
      <c r="D209" s="79"/>
      <c r="E209" s="79"/>
      <c r="F209" s="79"/>
      <c r="G209" s="79"/>
      <c r="H209" s="79"/>
      <c r="I209" s="23"/>
      <c r="J209" s="27"/>
      <c r="K209" s="27"/>
    </row>
    <row r="210" spans="2:11" x14ac:dyDescent="0.2">
      <c r="B210" s="27"/>
      <c r="C210" s="23"/>
      <c r="D210" s="79"/>
      <c r="E210" s="79"/>
      <c r="F210" s="79"/>
      <c r="G210" s="79"/>
      <c r="H210" s="79"/>
      <c r="I210" s="23"/>
      <c r="J210" s="27"/>
      <c r="K210" s="27"/>
    </row>
    <row r="211" spans="2:11" x14ac:dyDescent="0.2">
      <c r="B211" s="27"/>
      <c r="C211" s="23"/>
      <c r="D211" s="79"/>
      <c r="E211" s="79"/>
      <c r="F211" s="79"/>
      <c r="G211" s="79"/>
      <c r="H211" s="79"/>
      <c r="I211" s="23"/>
      <c r="J211" s="27"/>
      <c r="K211" s="27"/>
    </row>
    <row r="212" spans="2:11" x14ac:dyDescent="0.2">
      <c r="B212" s="27"/>
      <c r="C212" s="23"/>
      <c r="D212" s="79"/>
      <c r="E212" s="79"/>
      <c r="F212" s="79"/>
      <c r="G212" s="79"/>
      <c r="H212" s="79"/>
      <c r="I212" s="23"/>
      <c r="J212" s="27"/>
      <c r="K212" s="27"/>
    </row>
    <row r="213" spans="2:11" x14ac:dyDescent="0.2">
      <c r="B213" s="27"/>
      <c r="C213" s="23"/>
      <c r="D213" s="79"/>
      <c r="E213" s="79"/>
      <c r="F213" s="79"/>
      <c r="G213" s="79"/>
      <c r="H213" s="79"/>
      <c r="I213" s="23"/>
      <c r="J213" s="27"/>
      <c r="K213" s="27"/>
    </row>
    <row r="214" spans="2:11" x14ac:dyDescent="0.2">
      <c r="B214" s="27"/>
      <c r="C214" s="23"/>
      <c r="D214" s="79"/>
      <c r="E214" s="79"/>
      <c r="F214" s="79"/>
      <c r="G214" s="79"/>
      <c r="H214" s="79"/>
      <c r="I214" s="23"/>
      <c r="J214" s="27"/>
      <c r="K214" s="27"/>
    </row>
    <row r="215" spans="2:11" x14ac:dyDescent="0.2">
      <c r="B215" s="27"/>
      <c r="C215" s="23"/>
      <c r="D215" s="79"/>
      <c r="E215" s="79"/>
      <c r="F215" s="79"/>
      <c r="G215" s="79"/>
      <c r="H215" s="79"/>
      <c r="I215" s="23"/>
      <c r="J215" s="27"/>
      <c r="K215" s="27"/>
    </row>
    <row r="216" spans="2:11" x14ac:dyDescent="0.2">
      <c r="B216" s="27"/>
      <c r="C216" s="23"/>
      <c r="D216" s="79"/>
      <c r="E216" s="79"/>
      <c r="F216" s="79"/>
      <c r="G216" s="79"/>
      <c r="H216" s="79"/>
      <c r="I216" s="23"/>
      <c r="J216" s="27"/>
      <c r="K216" s="27"/>
    </row>
    <row r="217" spans="2:11" x14ac:dyDescent="0.2">
      <c r="B217" s="27"/>
      <c r="C217" s="23"/>
      <c r="D217" s="79"/>
      <c r="E217" s="79"/>
      <c r="F217" s="79"/>
      <c r="G217" s="79"/>
      <c r="H217" s="79"/>
      <c r="I217" s="23"/>
      <c r="J217" s="27"/>
      <c r="K217" s="27"/>
    </row>
    <row r="218" spans="2:11" x14ac:dyDescent="0.2">
      <c r="B218" s="27"/>
      <c r="C218" s="23"/>
      <c r="D218" s="79"/>
      <c r="E218" s="79"/>
      <c r="F218" s="79"/>
      <c r="G218" s="79"/>
      <c r="H218" s="79"/>
      <c r="I218" s="23"/>
      <c r="J218" s="27"/>
      <c r="K218" s="27"/>
    </row>
    <row r="219" spans="2:11" x14ac:dyDescent="0.2">
      <c r="B219" s="27"/>
      <c r="C219" s="23"/>
      <c r="D219" s="79"/>
      <c r="E219" s="79"/>
      <c r="F219" s="79"/>
      <c r="G219" s="79"/>
      <c r="H219" s="79"/>
      <c r="I219" s="23"/>
      <c r="J219" s="27"/>
      <c r="K219" s="27"/>
    </row>
    <row r="220" spans="2:11" x14ac:dyDescent="0.2">
      <c r="B220" s="27"/>
      <c r="C220" s="23"/>
      <c r="D220" s="79"/>
      <c r="E220" s="79"/>
      <c r="F220" s="79"/>
      <c r="G220" s="79"/>
      <c r="H220" s="79"/>
      <c r="I220" s="23"/>
      <c r="J220" s="27"/>
      <c r="K220" s="27"/>
    </row>
    <row r="221" spans="2:11" x14ac:dyDescent="0.2">
      <c r="B221" s="27"/>
      <c r="C221" s="23"/>
      <c r="D221" s="79"/>
      <c r="E221" s="79"/>
      <c r="F221" s="79"/>
      <c r="G221" s="79"/>
      <c r="H221" s="79"/>
      <c r="I221" s="23"/>
      <c r="J221" s="27"/>
      <c r="K221" s="27"/>
    </row>
    <row r="222" spans="2:11" x14ac:dyDescent="0.2">
      <c r="B222" s="27"/>
      <c r="C222" s="23"/>
      <c r="D222" s="79"/>
      <c r="E222" s="79"/>
      <c r="F222" s="79"/>
      <c r="G222" s="79"/>
      <c r="H222" s="79"/>
      <c r="I222" s="23"/>
      <c r="J222" s="27"/>
      <c r="K222" s="27"/>
    </row>
    <row r="223" spans="2:11" x14ac:dyDescent="0.2">
      <c r="B223" s="27"/>
      <c r="C223" s="23"/>
      <c r="D223" s="79"/>
      <c r="E223" s="79"/>
      <c r="F223" s="79"/>
      <c r="G223" s="79"/>
      <c r="H223" s="79"/>
      <c r="I223" s="23"/>
      <c r="J223" s="27"/>
      <c r="K223" s="27"/>
    </row>
    <row r="224" spans="2:11" x14ac:dyDescent="0.2">
      <c r="B224" s="27"/>
      <c r="C224" s="23"/>
      <c r="D224" s="79"/>
      <c r="E224" s="79"/>
      <c r="F224" s="79"/>
      <c r="G224" s="79"/>
      <c r="H224" s="79"/>
      <c r="I224" s="23"/>
      <c r="J224" s="27"/>
      <c r="K224" s="27"/>
    </row>
    <row r="225" spans="2:11" x14ac:dyDescent="0.2">
      <c r="B225" s="27"/>
      <c r="C225" s="23"/>
      <c r="D225" s="79"/>
      <c r="E225" s="79"/>
      <c r="F225" s="79"/>
      <c r="G225" s="79"/>
      <c r="H225" s="79"/>
      <c r="I225" s="23"/>
      <c r="J225" s="27"/>
      <c r="K225" s="27"/>
    </row>
    <row r="226" spans="2:11" x14ac:dyDescent="0.2">
      <c r="B226" s="27"/>
      <c r="C226" s="23"/>
      <c r="D226" s="79"/>
      <c r="E226" s="79"/>
      <c r="F226" s="79"/>
      <c r="G226" s="79"/>
      <c r="H226" s="79"/>
      <c r="I226" s="23"/>
      <c r="J226" s="27"/>
      <c r="K226" s="27"/>
    </row>
    <row r="227" spans="2:11" x14ac:dyDescent="0.2">
      <c r="B227" s="27"/>
      <c r="C227" s="23"/>
      <c r="D227" s="79"/>
      <c r="E227" s="79"/>
      <c r="F227" s="79"/>
      <c r="G227" s="79"/>
      <c r="H227" s="79"/>
      <c r="I227" s="23"/>
      <c r="J227" s="27"/>
      <c r="K227" s="27"/>
    </row>
    <row r="228" spans="2:11" x14ac:dyDescent="0.2">
      <c r="B228" s="27"/>
      <c r="C228" s="23"/>
      <c r="D228" s="79"/>
      <c r="E228" s="79"/>
      <c r="F228" s="79"/>
      <c r="G228" s="79"/>
      <c r="H228" s="79"/>
      <c r="I228" s="23"/>
      <c r="J228" s="27"/>
      <c r="K228" s="27"/>
    </row>
    <row r="229" spans="2:11" x14ac:dyDescent="0.2">
      <c r="B229" s="27"/>
      <c r="C229" s="23"/>
      <c r="D229" s="79"/>
      <c r="E229" s="79"/>
      <c r="F229" s="79"/>
      <c r="G229" s="79"/>
      <c r="H229" s="79"/>
      <c r="I229" s="23"/>
      <c r="J229" s="27"/>
      <c r="K229" s="27"/>
    </row>
    <row r="230" spans="2:11" x14ac:dyDescent="0.2">
      <c r="B230" s="27"/>
      <c r="C230" s="23"/>
      <c r="D230" s="79"/>
      <c r="E230" s="79"/>
      <c r="F230" s="79"/>
      <c r="G230" s="79"/>
      <c r="H230" s="79"/>
      <c r="I230" s="23"/>
      <c r="J230" s="27"/>
      <c r="K230" s="27"/>
    </row>
    <row r="231" spans="2:11" x14ac:dyDescent="0.2">
      <c r="B231" s="27"/>
      <c r="C231" s="23"/>
      <c r="D231" s="79"/>
      <c r="E231" s="79"/>
      <c r="F231" s="79"/>
      <c r="G231" s="79"/>
      <c r="H231" s="79"/>
      <c r="I231" s="23"/>
      <c r="J231" s="27"/>
      <c r="K231" s="27"/>
    </row>
    <row r="232" spans="2:11" x14ac:dyDescent="0.2">
      <c r="B232" s="27"/>
      <c r="C232" s="23"/>
      <c r="D232" s="79"/>
      <c r="E232" s="79"/>
      <c r="F232" s="79"/>
      <c r="G232" s="79"/>
      <c r="H232" s="79"/>
      <c r="I232" s="23"/>
      <c r="J232" s="27"/>
      <c r="K232" s="27"/>
    </row>
    <row r="233" spans="2:11" x14ac:dyDescent="0.2">
      <c r="B233" s="27"/>
      <c r="C233" s="23"/>
      <c r="D233" s="79"/>
      <c r="E233" s="79"/>
      <c r="F233" s="79"/>
      <c r="G233" s="79"/>
      <c r="H233" s="79"/>
      <c r="I233" s="23"/>
      <c r="J233" s="27"/>
      <c r="K233" s="27"/>
    </row>
    <row r="234" spans="2:11" x14ac:dyDescent="0.2">
      <c r="B234" s="27"/>
      <c r="C234" s="23"/>
      <c r="D234" s="79"/>
      <c r="E234" s="79"/>
      <c r="F234" s="79"/>
      <c r="G234" s="79"/>
      <c r="H234" s="79"/>
      <c r="I234" s="23"/>
      <c r="J234" s="27"/>
      <c r="K234" s="27"/>
    </row>
    <row r="235" spans="2:11" x14ac:dyDescent="0.2">
      <c r="B235" s="27"/>
      <c r="C235" s="23"/>
      <c r="D235" s="79"/>
      <c r="E235" s="79"/>
      <c r="F235" s="79"/>
      <c r="G235" s="79"/>
      <c r="H235" s="79"/>
      <c r="I235" s="23"/>
      <c r="J235" s="27"/>
      <c r="K235" s="27"/>
    </row>
    <row r="236" spans="2:11" x14ac:dyDescent="0.2">
      <c r="B236" s="27"/>
      <c r="C236" s="23"/>
      <c r="D236" s="79"/>
      <c r="E236" s="79"/>
      <c r="F236" s="79"/>
      <c r="G236" s="79"/>
      <c r="H236" s="79"/>
      <c r="I236" s="23"/>
      <c r="J236" s="27"/>
      <c r="K236" s="27"/>
    </row>
    <row r="237" spans="2:11" x14ac:dyDescent="0.2">
      <c r="B237" s="27"/>
      <c r="C237" s="23"/>
      <c r="D237" s="79"/>
      <c r="E237" s="79"/>
      <c r="F237" s="79"/>
      <c r="G237" s="79"/>
      <c r="H237" s="79"/>
      <c r="I237" s="23"/>
      <c r="J237" s="27"/>
      <c r="K237" s="27"/>
    </row>
    <row r="238" spans="2:11" x14ac:dyDescent="0.2">
      <c r="B238" s="27"/>
      <c r="C238" s="23"/>
      <c r="D238" s="79"/>
      <c r="E238" s="79"/>
      <c r="F238" s="79"/>
      <c r="G238" s="79"/>
      <c r="H238" s="79"/>
      <c r="I238" s="23"/>
      <c r="J238" s="27"/>
      <c r="K238" s="27"/>
    </row>
    <row r="239" spans="2:11" x14ac:dyDescent="0.2">
      <c r="B239" s="27"/>
      <c r="C239" s="23"/>
      <c r="D239" s="79"/>
      <c r="E239" s="79"/>
      <c r="F239" s="79"/>
      <c r="G239" s="79"/>
      <c r="H239" s="79"/>
      <c r="I239" s="23"/>
      <c r="J239" s="27"/>
      <c r="K239" s="27"/>
    </row>
    <row r="240" spans="2:11" x14ac:dyDescent="0.2">
      <c r="B240" s="27"/>
      <c r="C240" s="23"/>
      <c r="D240" s="79"/>
      <c r="E240" s="79"/>
      <c r="F240" s="79"/>
      <c r="G240" s="79"/>
      <c r="H240" s="79"/>
      <c r="I240" s="23"/>
      <c r="J240" s="27"/>
      <c r="K240" s="27"/>
    </row>
    <row r="241" spans="2:11" x14ac:dyDescent="0.2">
      <c r="B241" s="27"/>
      <c r="C241" s="23"/>
      <c r="D241" s="79"/>
      <c r="E241" s="79"/>
      <c r="F241" s="79"/>
      <c r="G241" s="79"/>
      <c r="H241" s="79"/>
      <c r="I241" s="23"/>
      <c r="J241" s="27"/>
      <c r="K241" s="27"/>
    </row>
    <row r="242" spans="2:11" x14ac:dyDescent="0.2">
      <c r="B242" s="27"/>
      <c r="C242" s="23"/>
      <c r="D242" s="79"/>
      <c r="E242" s="79"/>
      <c r="F242" s="79"/>
      <c r="G242" s="79"/>
      <c r="H242" s="79"/>
      <c r="I242" s="23"/>
      <c r="J242" s="27"/>
      <c r="K242" s="27"/>
    </row>
    <row r="243" spans="2:11" x14ac:dyDescent="0.2">
      <c r="B243" s="27"/>
      <c r="C243" s="23"/>
      <c r="D243" s="79"/>
      <c r="E243" s="79"/>
      <c r="F243" s="79"/>
      <c r="G243" s="79"/>
      <c r="H243" s="79"/>
      <c r="I243" s="23"/>
      <c r="J243" s="27"/>
      <c r="K243" s="27"/>
    </row>
    <row r="244" spans="2:11" x14ac:dyDescent="0.2">
      <c r="B244" s="27"/>
      <c r="C244" s="23"/>
      <c r="D244" s="79"/>
      <c r="E244" s="79"/>
      <c r="F244" s="79"/>
      <c r="G244" s="79"/>
      <c r="H244" s="79"/>
      <c r="I244" s="23"/>
      <c r="J244" s="27"/>
      <c r="K244" s="27"/>
    </row>
    <row r="245" spans="2:11" x14ac:dyDescent="0.2">
      <c r="B245" s="27"/>
      <c r="C245" s="23"/>
      <c r="D245" s="79"/>
      <c r="E245" s="79"/>
      <c r="F245" s="79"/>
      <c r="G245" s="79"/>
      <c r="H245" s="79"/>
      <c r="I245" s="23"/>
      <c r="J245" s="27"/>
      <c r="K245" s="27"/>
    </row>
    <row r="246" spans="2:11" x14ac:dyDescent="0.2">
      <c r="B246" s="27"/>
      <c r="C246" s="23"/>
      <c r="D246" s="79"/>
      <c r="E246" s="79"/>
      <c r="F246" s="79"/>
      <c r="G246" s="79"/>
      <c r="H246" s="79"/>
      <c r="I246" s="23"/>
      <c r="J246" s="27"/>
      <c r="K246" s="27"/>
    </row>
    <row r="247" spans="2:11" x14ac:dyDescent="0.2">
      <c r="B247" s="27"/>
      <c r="C247" s="23"/>
      <c r="D247" s="79"/>
      <c r="E247" s="79"/>
      <c r="F247" s="79"/>
      <c r="G247" s="79"/>
      <c r="H247" s="79"/>
      <c r="I247" s="23"/>
      <c r="J247" s="27"/>
      <c r="K247" s="27"/>
    </row>
    <row r="248" spans="2:11" x14ac:dyDescent="0.2">
      <c r="B248" s="27"/>
      <c r="C248" s="23"/>
      <c r="D248" s="79"/>
      <c r="E248" s="79"/>
      <c r="F248" s="79"/>
      <c r="G248" s="79"/>
      <c r="H248" s="79"/>
      <c r="I248" s="23"/>
      <c r="J248" s="27"/>
      <c r="K248" s="27"/>
    </row>
    <row r="249" spans="2:11" x14ac:dyDescent="0.2">
      <c r="B249" s="27"/>
      <c r="C249" s="23"/>
      <c r="D249" s="79"/>
      <c r="E249" s="79"/>
      <c r="F249" s="79"/>
      <c r="G249" s="79"/>
      <c r="H249" s="79"/>
      <c r="I249" s="23"/>
      <c r="J249" s="27"/>
      <c r="K249" s="27"/>
    </row>
    <row r="250" spans="2:11" x14ac:dyDescent="0.2">
      <c r="B250" s="27"/>
      <c r="C250" s="23"/>
      <c r="D250" s="79"/>
      <c r="E250" s="79"/>
      <c r="F250" s="79"/>
      <c r="G250" s="79"/>
      <c r="H250" s="79"/>
      <c r="I250" s="23"/>
      <c r="J250" s="27"/>
      <c r="K250" s="27"/>
    </row>
    <row r="251" spans="2:11" x14ac:dyDescent="0.2">
      <c r="B251" s="27"/>
      <c r="C251" s="23"/>
      <c r="D251" s="79"/>
      <c r="E251" s="79"/>
      <c r="F251" s="79"/>
      <c r="G251" s="79"/>
      <c r="H251" s="79"/>
      <c r="I251" s="23"/>
      <c r="J251" s="27"/>
      <c r="K251" s="27"/>
    </row>
    <row r="252" spans="2:11" x14ac:dyDescent="0.2">
      <c r="B252" s="27"/>
      <c r="C252" s="23"/>
      <c r="D252" s="79"/>
      <c r="E252" s="79"/>
      <c r="F252" s="79"/>
      <c r="G252" s="79"/>
      <c r="H252" s="79"/>
      <c r="I252" s="23"/>
      <c r="J252" s="27"/>
      <c r="K252" s="27"/>
    </row>
    <row r="253" spans="2:11" x14ac:dyDescent="0.2">
      <c r="B253" s="27"/>
      <c r="C253" s="23"/>
      <c r="D253" s="79"/>
      <c r="E253" s="79"/>
      <c r="F253" s="79"/>
      <c r="G253" s="79"/>
      <c r="H253" s="79"/>
      <c r="I253" s="23"/>
      <c r="J253" s="27"/>
      <c r="K253" s="27"/>
    </row>
    <row r="254" spans="2:11" x14ac:dyDescent="0.2">
      <c r="B254" s="27"/>
      <c r="C254" s="23"/>
      <c r="D254" s="79"/>
      <c r="E254" s="79"/>
      <c r="F254" s="79"/>
      <c r="G254" s="79"/>
      <c r="H254" s="79"/>
      <c r="I254" s="23"/>
      <c r="J254" s="27"/>
      <c r="K254" s="27"/>
    </row>
    <row r="255" spans="2:11" x14ac:dyDescent="0.2">
      <c r="B255" s="27"/>
      <c r="C255" s="23"/>
      <c r="D255" s="79"/>
      <c r="E255" s="79"/>
      <c r="F255" s="79"/>
      <c r="G255" s="79"/>
      <c r="H255" s="79"/>
      <c r="I255" s="23"/>
      <c r="J255" s="27"/>
      <c r="K255" s="27"/>
    </row>
    <row r="256" spans="2:11" x14ac:dyDescent="0.2">
      <c r="B256" s="27"/>
      <c r="C256" s="23"/>
      <c r="D256" s="79"/>
      <c r="E256" s="79"/>
      <c r="F256" s="79"/>
      <c r="G256" s="79"/>
      <c r="H256" s="79"/>
      <c r="I256" s="23"/>
      <c r="J256" s="27"/>
      <c r="K256" s="27"/>
    </row>
    <row r="257" spans="2:11" x14ac:dyDescent="0.2">
      <c r="B257" s="27"/>
      <c r="C257" s="23"/>
      <c r="D257" s="79"/>
      <c r="E257" s="79"/>
      <c r="F257" s="79"/>
      <c r="G257" s="79"/>
      <c r="H257" s="79"/>
      <c r="I257" s="23"/>
      <c r="J257" s="27"/>
      <c r="K257" s="27"/>
    </row>
    <row r="258" spans="2:11" x14ac:dyDescent="0.2">
      <c r="B258" s="27"/>
      <c r="C258" s="23"/>
      <c r="D258" s="79"/>
      <c r="E258" s="79"/>
      <c r="F258" s="79"/>
      <c r="G258" s="79"/>
      <c r="H258" s="79"/>
      <c r="I258" s="23"/>
      <c r="J258" s="27"/>
      <c r="K258" s="27"/>
    </row>
    <row r="259" spans="2:11" x14ac:dyDescent="0.2">
      <c r="B259" s="27"/>
      <c r="C259" s="23"/>
      <c r="D259" s="79"/>
      <c r="E259" s="79"/>
      <c r="F259" s="79"/>
      <c r="G259" s="79"/>
      <c r="H259" s="79"/>
      <c r="I259" s="23"/>
      <c r="J259" s="27"/>
      <c r="K259" s="27"/>
    </row>
    <row r="260" spans="2:11" x14ac:dyDescent="0.2">
      <c r="B260" s="27"/>
      <c r="C260" s="23"/>
      <c r="D260" s="79"/>
      <c r="E260" s="79"/>
      <c r="F260" s="79"/>
      <c r="G260" s="79"/>
      <c r="H260" s="79"/>
      <c r="I260" s="23"/>
      <c r="J260" s="27"/>
      <c r="K260" s="27"/>
    </row>
    <row r="261" spans="2:11" x14ac:dyDescent="0.2">
      <c r="B261" s="27"/>
      <c r="C261" s="23"/>
      <c r="D261" s="79"/>
      <c r="E261" s="79"/>
      <c r="F261" s="79"/>
      <c r="G261" s="79"/>
      <c r="H261" s="79"/>
      <c r="I261" s="23"/>
      <c r="J261" s="27"/>
      <c r="K261" s="27"/>
    </row>
    <row r="262" spans="2:11" x14ac:dyDescent="0.2">
      <c r="B262" s="27"/>
      <c r="C262" s="23"/>
      <c r="D262" s="79"/>
      <c r="E262" s="79"/>
      <c r="F262" s="79"/>
      <c r="G262" s="79"/>
      <c r="H262" s="79"/>
      <c r="I262" s="23"/>
      <c r="J262" s="27"/>
      <c r="K262" s="27"/>
    </row>
    <row r="263" spans="2:11" x14ac:dyDescent="0.2">
      <c r="B263" s="27"/>
      <c r="C263" s="23"/>
      <c r="D263" s="79"/>
      <c r="E263" s="79"/>
      <c r="F263" s="79"/>
      <c r="G263" s="79"/>
      <c r="H263" s="79"/>
      <c r="I263" s="23"/>
      <c r="J263" s="27"/>
      <c r="K263" s="27"/>
    </row>
    <row r="264" spans="2:11" x14ac:dyDescent="0.2">
      <c r="B264" s="27"/>
      <c r="C264" s="23"/>
      <c r="D264" s="79"/>
      <c r="E264" s="79"/>
      <c r="F264" s="79"/>
      <c r="G264" s="79"/>
      <c r="H264" s="79"/>
      <c r="I264" s="23"/>
      <c r="J264" s="27"/>
      <c r="K264" s="27"/>
    </row>
    <row r="265" spans="2:11" x14ac:dyDescent="0.2">
      <c r="B265" s="27"/>
      <c r="C265" s="23"/>
      <c r="D265" s="79"/>
      <c r="E265" s="79"/>
      <c r="F265" s="79"/>
      <c r="G265" s="79"/>
      <c r="H265" s="79"/>
      <c r="I265" s="23"/>
      <c r="J265" s="27"/>
      <c r="K265" s="27"/>
    </row>
    <row r="266" spans="2:11" x14ac:dyDescent="0.2">
      <c r="B266" s="27"/>
      <c r="C266" s="23"/>
      <c r="D266" s="79"/>
      <c r="E266" s="79"/>
      <c r="F266" s="79"/>
      <c r="G266" s="79"/>
      <c r="H266" s="79"/>
      <c r="I266" s="23"/>
      <c r="J266" s="27"/>
      <c r="K266" s="27"/>
    </row>
    <row r="267" spans="2:11" x14ac:dyDescent="0.2">
      <c r="B267" s="27"/>
      <c r="C267" s="23"/>
      <c r="D267" s="79"/>
      <c r="E267" s="79"/>
      <c r="F267" s="79"/>
      <c r="G267" s="79"/>
      <c r="H267" s="79"/>
      <c r="I267" s="23"/>
      <c r="J267" s="27"/>
      <c r="K267" s="27"/>
    </row>
    <row r="268" spans="2:11" x14ac:dyDescent="0.2">
      <c r="B268" s="27"/>
      <c r="C268" s="23"/>
      <c r="D268" s="79"/>
      <c r="E268" s="79"/>
      <c r="F268" s="79"/>
      <c r="G268" s="79"/>
      <c r="H268" s="79"/>
      <c r="I268" s="23"/>
      <c r="J268" s="27"/>
      <c r="K268" s="27"/>
    </row>
    <row r="269" spans="2:11" x14ac:dyDescent="0.2">
      <c r="B269" s="27"/>
      <c r="C269" s="23"/>
      <c r="D269" s="79"/>
      <c r="E269" s="79"/>
      <c r="F269" s="79"/>
      <c r="G269" s="79"/>
      <c r="H269" s="79"/>
      <c r="I269" s="23"/>
      <c r="J269" s="27"/>
      <c r="K269" s="27"/>
    </row>
    <row r="270" spans="2:11" x14ac:dyDescent="0.2">
      <c r="B270" s="27"/>
      <c r="C270" s="23"/>
      <c r="D270" s="79"/>
      <c r="E270" s="79"/>
      <c r="F270" s="79"/>
      <c r="G270" s="79"/>
      <c r="H270" s="79"/>
      <c r="I270" s="23"/>
      <c r="J270" s="27"/>
      <c r="K270" s="27"/>
    </row>
    <row r="271" spans="2:11" x14ac:dyDescent="0.2">
      <c r="B271" s="27"/>
      <c r="C271" s="23"/>
      <c r="D271" s="79"/>
      <c r="E271" s="79"/>
      <c r="F271" s="79"/>
      <c r="G271" s="79"/>
      <c r="H271" s="79"/>
      <c r="I271" s="23"/>
      <c r="J271" s="27"/>
      <c r="K271" s="27"/>
    </row>
    <row r="272" spans="2:11" x14ac:dyDescent="0.2">
      <c r="B272" s="27"/>
      <c r="C272" s="23"/>
      <c r="D272" s="79"/>
      <c r="E272" s="79"/>
      <c r="F272" s="79"/>
      <c r="G272" s="79"/>
      <c r="H272" s="79"/>
      <c r="I272" s="23"/>
      <c r="J272" s="27"/>
      <c r="K272" s="27"/>
    </row>
    <row r="273" spans="2:11" x14ac:dyDescent="0.2">
      <c r="B273" s="27"/>
      <c r="C273" s="23"/>
      <c r="D273" s="79"/>
      <c r="E273" s="79"/>
      <c r="F273" s="79"/>
      <c r="G273" s="79"/>
      <c r="H273" s="79"/>
      <c r="I273" s="23"/>
      <c r="J273" s="27"/>
      <c r="K273" s="27"/>
    </row>
    <row r="274" spans="2:11" x14ac:dyDescent="0.2">
      <c r="B274" s="27"/>
      <c r="C274" s="23"/>
      <c r="D274" s="79"/>
      <c r="E274" s="79"/>
      <c r="F274" s="79"/>
      <c r="G274" s="79"/>
      <c r="H274" s="79"/>
      <c r="I274" s="23"/>
      <c r="J274" s="27"/>
      <c r="K274" s="27"/>
    </row>
    <row r="275" spans="2:11" x14ac:dyDescent="0.2">
      <c r="B275" s="27"/>
      <c r="C275" s="23"/>
      <c r="D275" s="79"/>
      <c r="E275" s="79"/>
      <c r="F275" s="79"/>
      <c r="G275" s="79"/>
      <c r="H275" s="79"/>
      <c r="I275" s="23"/>
      <c r="J275" s="27"/>
      <c r="K275" s="27"/>
    </row>
    <row r="276" spans="2:11" x14ac:dyDescent="0.2">
      <c r="B276" s="27"/>
      <c r="C276" s="23"/>
      <c r="D276" s="79"/>
      <c r="E276" s="79"/>
      <c r="F276" s="79"/>
      <c r="G276" s="79"/>
      <c r="H276" s="79"/>
      <c r="I276" s="23"/>
      <c r="J276" s="27"/>
      <c r="K276" s="27"/>
    </row>
    <row r="277" spans="2:11" x14ac:dyDescent="0.2">
      <c r="B277" s="27"/>
      <c r="C277" s="23"/>
      <c r="D277" s="79"/>
      <c r="E277" s="79"/>
      <c r="F277" s="79"/>
      <c r="G277" s="79"/>
      <c r="H277" s="79"/>
      <c r="I277" s="23"/>
      <c r="J277" s="27"/>
      <c r="K277" s="27"/>
    </row>
    <row r="278" spans="2:11" x14ac:dyDescent="0.2">
      <c r="B278" s="27"/>
      <c r="C278" s="23"/>
      <c r="D278" s="79"/>
      <c r="E278" s="79"/>
      <c r="F278" s="79"/>
      <c r="G278" s="79"/>
      <c r="H278" s="79"/>
      <c r="I278" s="23"/>
      <c r="J278" s="27"/>
      <c r="K278" s="27"/>
    </row>
    <row r="279" spans="2:11" x14ac:dyDescent="0.2">
      <c r="B279" s="27"/>
      <c r="C279" s="23"/>
      <c r="D279" s="79"/>
      <c r="E279" s="79"/>
      <c r="F279" s="79"/>
      <c r="G279" s="79"/>
      <c r="H279" s="79"/>
      <c r="I279" s="23"/>
      <c r="J279" s="27"/>
      <c r="K279" s="27"/>
    </row>
    <row r="280" spans="2:11" x14ac:dyDescent="0.2">
      <c r="B280" s="27"/>
      <c r="C280" s="23"/>
      <c r="D280" s="79"/>
      <c r="E280" s="79"/>
      <c r="F280" s="79"/>
      <c r="G280" s="79"/>
      <c r="H280" s="79"/>
      <c r="I280" s="23"/>
      <c r="J280" s="27"/>
      <c r="K280" s="27"/>
    </row>
    <row r="281" spans="2:11" x14ac:dyDescent="0.2">
      <c r="B281" s="27"/>
      <c r="C281" s="23"/>
      <c r="D281" s="79"/>
      <c r="E281" s="79"/>
      <c r="F281" s="79"/>
      <c r="G281" s="79"/>
      <c r="H281" s="79"/>
      <c r="I281" s="23"/>
      <c r="J281" s="27"/>
      <c r="K281" s="27"/>
    </row>
    <row r="282" spans="2:11" x14ac:dyDescent="0.2">
      <c r="B282" s="27"/>
      <c r="C282" s="23"/>
      <c r="D282" s="79"/>
      <c r="E282" s="79"/>
      <c r="F282" s="79"/>
      <c r="G282" s="79"/>
      <c r="H282" s="79"/>
      <c r="I282" s="23"/>
      <c r="J282" s="27"/>
      <c r="K282" s="27"/>
    </row>
    <row r="283" spans="2:11" x14ac:dyDescent="0.2">
      <c r="B283" s="27"/>
      <c r="C283" s="23"/>
      <c r="D283" s="79"/>
      <c r="E283" s="79"/>
      <c r="F283" s="79"/>
      <c r="G283" s="79"/>
      <c r="H283" s="79"/>
      <c r="I283" s="23"/>
      <c r="J283" s="27"/>
      <c r="K283" s="27"/>
    </row>
    <row r="284" spans="2:11" x14ac:dyDescent="0.2">
      <c r="B284" s="27"/>
      <c r="C284" s="23"/>
      <c r="D284" s="79"/>
      <c r="E284" s="79"/>
      <c r="F284" s="79"/>
      <c r="G284" s="79"/>
      <c r="H284" s="79"/>
      <c r="I284" s="23"/>
      <c r="J284" s="27"/>
      <c r="K284" s="27"/>
    </row>
    <row r="285" spans="2:11" x14ac:dyDescent="0.2">
      <c r="B285" s="27"/>
      <c r="C285" s="23"/>
      <c r="D285" s="79"/>
      <c r="E285" s="79"/>
      <c r="F285" s="79"/>
      <c r="G285" s="79"/>
      <c r="H285" s="79"/>
      <c r="I285" s="23"/>
      <c r="J285" s="27"/>
      <c r="K285" s="27"/>
    </row>
    <row r="286" spans="2:11" x14ac:dyDescent="0.2">
      <c r="B286" s="27"/>
      <c r="C286" s="23"/>
      <c r="D286" s="79"/>
      <c r="E286" s="79"/>
      <c r="F286" s="79"/>
      <c r="G286" s="79"/>
      <c r="H286" s="79"/>
      <c r="I286" s="23"/>
      <c r="J286" s="27"/>
      <c r="K286" s="27"/>
    </row>
    <row r="287" spans="2:11" x14ac:dyDescent="0.2">
      <c r="B287" s="27"/>
      <c r="C287" s="23"/>
      <c r="D287" s="79"/>
      <c r="E287" s="79"/>
      <c r="F287" s="79"/>
      <c r="G287" s="79"/>
      <c r="H287" s="79"/>
      <c r="I287" s="23"/>
      <c r="J287" s="27"/>
      <c r="K287" s="27"/>
    </row>
    <row r="288" spans="2:11" x14ac:dyDescent="0.2">
      <c r="B288" s="27"/>
      <c r="C288" s="23"/>
      <c r="D288" s="79"/>
      <c r="E288" s="79"/>
      <c r="F288" s="79"/>
      <c r="G288" s="79"/>
      <c r="H288" s="79"/>
      <c r="I288" s="23"/>
      <c r="J288" s="27"/>
      <c r="K288" s="27"/>
    </row>
    <row r="289" spans="2:11" x14ac:dyDescent="0.2">
      <c r="B289" s="27"/>
      <c r="C289" s="23"/>
      <c r="D289" s="79"/>
      <c r="E289" s="79"/>
      <c r="F289" s="79"/>
      <c r="G289" s="79"/>
      <c r="H289" s="79"/>
      <c r="I289" s="23"/>
      <c r="J289" s="27"/>
      <c r="K289" s="27"/>
    </row>
    <row r="290" spans="2:11" x14ac:dyDescent="0.2">
      <c r="B290" s="27"/>
      <c r="C290" s="23"/>
      <c r="D290" s="79"/>
      <c r="E290" s="79"/>
      <c r="F290" s="79"/>
      <c r="G290" s="79"/>
      <c r="H290" s="79"/>
      <c r="I290" s="23"/>
      <c r="J290" s="27"/>
      <c r="K290" s="27"/>
    </row>
    <row r="291" spans="2:11" x14ac:dyDescent="0.2">
      <c r="B291" s="27"/>
      <c r="C291" s="23"/>
      <c r="D291" s="79"/>
      <c r="E291" s="79"/>
      <c r="F291" s="79"/>
      <c r="G291" s="79"/>
      <c r="H291" s="79"/>
      <c r="I291" s="23"/>
      <c r="J291" s="27"/>
      <c r="K291" s="27"/>
    </row>
    <row r="292" spans="2:11" x14ac:dyDescent="0.2">
      <c r="B292" s="27"/>
      <c r="C292" s="23"/>
      <c r="D292" s="79"/>
      <c r="E292" s="79"/>
      <c r="F292" s="79"/>
      <c r="G292" s="79"/>
      <c r="H292" s="79"/>
      <c r="I292" s="23"/>
      <c r="J292" s="27"/>
      <c r="K292" s="27"/>
    </row>
    <row r="293" spans="2:11" x14ac:dyDescent="0.2">
      <c r="B293" s="27"/>
      <c r="C293" s="23"/>
      <c r="D293" s="79"/>
      <c r="E293" s="79"/>
      <c r="F293" s="79"/>
      <c r="G293" s="79"/>
      <c r="H293" s="79"/>
      <c r="I293" s="23"/>
      <c r="J293" s="27"/>
      <c r="K293" s="27"/>
    </row>
    <row r="294" spans="2:11" x14ac:dyDescent="0.2">
      <c r="B294" s="27"/>
      <c r="C294" s="23"/>
      <c r="D294" s="79"/>
      <c r="E294" s="79"/>
      <c r="F294" s="79"/>
      <c r="G294" s="79"/>
      <c r="H294" s="79"/>
      <c r="I294" s="23"/>
      <c r="J294" s="27"/>
      <c r="K294" s="27"/>
    </row>
    <row r="295" spans="2:11" x14ac:dyDescent="0.2">
      <c r="B295" s="27"/>
      <c r="C295" s="23"/>
      <c r="D295" s="79"/>
      <c r="E295" s="79"/>
      <c r="F295" s="79"/>
      <c r="G295" s="79"/>
      <c r="H295" s="79"/>
      <c r="I295" s="23"/>
      <c r="J295" s="27"/>
      <c r="K295" s="27"/>
    </row>
    <row r="296" spans="2:11" x14ac:dyDescent="0.2">
      <c r="B296" s="27"/>
      <c r="C296" s="23"/>
      <c r="D296" s="79"/>
      <c r="E296" s="79"/>
      <c r="F296" s="79"/>
      <c r="G296" s="79"/>
      <c r="H296" s="79"/>
      <c r="I296" s="23"/>
      <c r="J296" s="27"/>
      <c r="K296" s="27"/>
    </row>
    <row r="297" spans="2:11" x14ac:dyDescent="0.2">
      <c r="B297" s="27"/>
      <c r="C297" s="23"/>
      <c r="D297" s="79"/>
      <c r="E297" s="79"/>
      <c r="F297" s="79"/>
      <c r="G297" s="79"/>
      <c r="H297" s="79"/>
      <c r="I297" s="23"/>
      <c r="J297" s="27"/>
      <c r="K297" s="27"/>
    </row>
    <row r="298" spans="2:11" x14ac:dyDescent="0.2">
      <c r="B298" s="27"/>
      <c r="C298" s="23"/>
      <c r="D298" s="79"/>
      <c r="E298" s="79"/>
      <c r="F298" s="79"/>
      <c r="G298" s="79"/>
      <c r="H298" s="79"/>
      <c r="I298" s="23"/>
      <c r="J298" s="27"/>
      <c r="K298" s="27"/>
    </row>
    <row r="299" spans="2:11" x14ac:dyDescent="0.2">
      <c r="B299" s="27"/>
      <c r="C299" s="23"/>
      <c r="D299" s="79"/>
      <c r="E299" s="79"/>
      <c r="F299" s="79"/>
      <c r="G299" s="79"/>
      <c r="H299" s="79"/>
      <c r="I299" s="23"/>
      <c r="J299" s="27"/>
      <c r="K299" s="27"/>
    </row>
    <row r="300" spans="2:11" x14ac:dyDescent="0.2">
      <c r="B300" s="27"/>
      <c r="C300" s="23"/>
      <c r="D300" s="79"/>
      <c r="E300" s="79"/>
      <c r="F300" s="79"/>
      <c r="G300" s="79"/>
      <c r="H300" s="79"/>
      <c r="I300" s="23"/>
      <c r="J300" s="27"/>
      <c r="K300" s="27"/>
    </row>
    <row r="301" spans="2:11" x14ac:dyDescent="0.2">
      <c r="B301" s="27"/>
      <c r="C301" s="23"/>
      <c r="D301" s="79"/>
      <c r="E301" s="79"/>
      <c r="F301" s="79"/>
      <c r="G301" s="79"/>
      <c r="H301" s="79"/>
      <c r="I301" s="23"/>
      <c r="J301" s="27"/>
      <c r="K301" s="27"/>
    </row>
    <row r="302" spans="2:11" x14ac:dyDescent="0.2">
      <c r="B302" s="27"/>
      <c r="C302" s="23"/>
      <c r="D302" s="79"/>
      <c r="E302" s="79"/>
      <c r="F302" s="79"/>
      <c r="G302" s="79"/>
      <c r="H302" s="79"/>
      <c r="I302" s="23"/>
      <c r="J302" s="27"/>
      <c r="K302" s="27"/>
    </row>
    <row r="303" spans="2:11" x14ac:dyDescent="0.2">
      <c r="B303" s="27"/>
      <c r="C303" s="23"/>
      <c r="D303" s="79"/>
      <c r="E303" s="79"/>
      <c r="F303" s="79"/>
      <c r="G303" s="79"/>
      <c r="H303" s="79"/>
      <c r="I303" s="23"/>
      <c r="J303" s="27"/>
      <c r="K303" s="27"/>
    </row>
    <row r="304" spans="2:11" x14ac:dyDescent="0.2">
      <c r="B304" s="27"/>
      <c r="C304" s="23"/>
      <c r="D304" s="79"/>
      <c r="E304" s="79"/>
      <c r="F304" s="79"/>
      <c r="G304" s="79"/>
      <c r="H304" s="79"/>
      <c r="I304" s="23"/>
      <c r="J304" s="27"/>
      <c r="K304" s="27"/>
    </row>
    <row r="305" spans="2:11" x14ac:dyDescent="0.2">
      <c r="B305" s="27"/>
      <c r="C305" s="23"/>
      <c r="D305" s="79"/>
      <c r="E305" s="79"/>
      <c r="F305" s="79"/>
      <c r="G305" s="79"/>
      <c r="H305" s="79"/>
      <c r="I305" s="23"/>
      <c r="J305" s="27"/>
      <c r="K305" s="27"/>
    </row>
    <row r="306" spans="2:11" x14ac:dyDescent="0.2">
      <c r="B306" s="27"/>
      <c r="C306" s="23"/>
      <c r="D306" s="79"/>
      <c r="E306" s="79"/>
      <c r="F306" s="79"/>
      <c r="G306" s="79"/>
      <c r="H306" s="79"/>
      <c r="I306" s="23"/>
      <c r="J306" s="27"/>
      <c r="K306" s="27"/>
    </row>
    <row r="307" spans="2:11" x14ac:dyDescent="0.2">
      <c r="B307" s="27"/>
      <c r="C307" s="23"/>
      <c r="D307" s="79"/>
      <c r="E307" s="79"/>
      <c r="F307" s="79"/>
      <c r="G307" s="79"/>
      <c r="H307" s="79"/>
      <c r="I307" s="23"/>
      <c r="J307" s="27"/>
      <c r="K307" s="27"/>
    </row>
    <row r="308" spans="2:11" x14ac:dyDescent="0.2">
      <c r="B308" s="27"/>
      <c r="C308" s="23"/>
      <c r="D308" s="79"/>
      <c r="E308" s="79"/>
      <c r="F308" s="79"/>
      <c r="G308" s="79"/>
      <c r="H308" s="79"/>
      <c r="I308" s="23"/>
      <c r="J308" s="27"/>
      <c r="K308" s="27"/>
    </row>
    <row r="309" spans="2:11" x14ac:dyDescent="0.2">
      <c r="B309" s="27"/>
      <c r="C309" s="23"/>
      <c r="D309" s="79"/>
      <c r="E309" s="79"/>
      <c r="F309" s="79"/>
      <c r="G309" s="79"/>
      <c r="H309" s="79"/>
      <c r="I309" s="23"/>
      <c r="J309" s="27"/>
      <c r="K309" s="27"/>
    </row>
    <row r="310" spans="2:11" x14ac:dyDescent="0.2">
      <c r="B310" s="27"/>
      <c r="C310" s="23"/>
      <c r="D310" s="79"/>
      <c r="E310" s="79"/>
      <c r="F310" s="79"/>
      <c r="G310" s="79"/>
      <c r="H310" s="79"/>
      <c r="I310" s="23"/>
      <c r="J310" s="27"/>
      <c r="K310" s="27"/>
    </row>
    <row r="311" spans="2:11" x14ac:dyDescent="0.2">
      <c r="B311" s="27"/>
      <c r="C311" s="23"/>
      <c r="D311" s="79"/>
      <c r="E311" s="79"/>
      <c r="F311" s="79"/>
      <c r="G311" s="79"/>
      <c r="H311" s="79"/>
      <c r="I311" s="23"/>
      <c r="J311" s="27"/>
      <c r="K311" s="27"/>
    </row>
    <row r="312" spans="2:11" x14ac:dyDescent="0.2">
      <c r="B312" s="27"/>
      <c r="C312" s="23"/>
      <c r="D312" s="79"/>
      <c r="E312" s="79"/>
      <c r="F312" s="79"/>
      <c r="G312" s="79"/>
      <c r="H312" s="79"/>
      <c r="I312" s="23"/>
      <c r="J312" s="27"/>
      <c r="K312" s="27"/>
    </row>
    <row r="313" spans="2:11" x14ac:dyDescent="0.2">
      <c r="B313" s="27"/>
      <c r="C313" s="23"/>
      <c r="D313" s="79"/>
      <c r="E313" s="79"/>
      <c r="F313" s="79"/>
      <c r="G313" s="79"/>
      <c r="H313" s="79"/>
      <c r="I313" s="23"/>
      <c r="J313" s="27"/>
      <c r="K313" s="27"/>
    </row>
    <row r="314" spans="2:11" x14ac:dyDescent="0.2">
      <c r="B314" s="27"/>
      <c r="C314" s="23"/>
      <c r="D314" s="79"/>
      <c r="E314" s="79"/>
      <c r="F314" s="79"/>
      <c r="G314" s="79"/>
      <c r="H314" s="79"/>
      <c r="I314" s="23"/>
      <c r="J314" s="27"/>
      <c r="K314" s="27"/>
    </row>
    <row r="315" spans="2:11" x14ac:dyDescent="0.2">
      <c r="B315" s="27"/>
      <c r="C315" s="23"/>
      <c r="D315" s="79"/>
      <c r="E315" s="79"/>
      <c r="F315" s="79"/>
      <c r="G315" s="79"/>
      <c r="H315" s="79"/>
      <c r="I315" s="23"/>
      <c r="J315" s="27"/>
      <c r="K315" s="27"/>
    </row>
    <row r="316" spans="2:11" x14ac:dyDescent="0.2">
      <c r="B316" s="27"/>
      <c r="C316" s="23"/>
      <c r="D316" s="79"/>
      <c r="E316" s="79"/>
      <c r="F316" s="79"/>
      <c r="G316" s="79"/>
      <c r="H316" s="79"/>
      <c r="I316" s="23"/>
      <c r="J316" s="27"/>
      <c r="K316" s="27"/>
    </row>
    <row r="317" spans="2:11" x14ac:dyDescent="0.2">
      <c r="B317" s="27"/>
      <c r="C317" s="23"/>
      <c r="D317" s="79"/>
      <c r="E317" s="79"/>
      <c r="F317" s="79"/>
      <c r="G317" s="79"/>
      <c r="H317" s="79"/>
      <c r="I317" s="23"/>
      <c r="J317" s="27"/>
      <c r="K317" s="27"/>
    </row>
    <row r="318" spans="2:11" x14ac:dyDescent="0.2">
      <c r="B318" s="27"/>
      <c r="C318" s="23"/>
      <c r="D318" s="79"/>
      <c r="E318" s="79"/>
      <c r="F318" s="79"/>
      <c r="G318" s="79"/>
      <c r="H318" s="79"/>
      <c r="I318" s="23"/>
      <c r="J318" s="27"/>
      <c r="K318" s="27"/>
    </row>
    <row r="319" spans="2:11" x14ac:dyDescent="0.2">
      <c r="B319" s="27"/>
      <c r="C319" s="23"/>
      <c r="D319" s="79"/>
      <c r="E319" s="79"/>
      <c r="F319" s="79"/>
      <c r="G319" s="79"/>
      <c r="H319" s="79"/>
      <c r="I319" s="23"/>
      <c r="J319" s="27"/>
      <c r="K319" s="27"/>
    </row>
    <row r="320" spans="2:11" x14ac:dyDescent="0.2">
      <c r="B320" s="27"/>
      <c r="C320" s="23"/>
      <c r="D320" s="79"/>
      <c r="E320" s="79"/>
      <c r="F320" s="79"/>
      <c r="G320" s="79"/>
      <c r="H320" s="79"/>
      <c r="I320" s="23"/>
      <c r="J320" s="27"/>
      <c r="K320" s="27"/>
    </row>
    <row r="321" spans="2:11" x14ac:dyDescent="0.2">
      <c r="B321" s="27"/>
      <c r="C321" s="23"/>
      <c r="D321" s="79"/>
      <c r="E321" s="79"/>
      <c r="F321" s="79"/>
      <c r="G321" s="79"/>
      <c r="H321" s="79"/>
      <c r="I321" s="23"/>
      <c r="J321" s="27"/>
      <c r="K321" s="27"/>
    </row>
    <row r="322" spans="2:11" x14ac:dyDescent="0.2">
      <c r="B322" s="27"/>
      <c r="C322" s="23"/>
      <c r="D322" s="79"/>
      <c r="E322" s="79"/>
      <c r="F322" s="79"/>
      <c r="G322" s="79"/>
      <c r="H322" s="79"/>
      <c r="I322" s="23"/>
      <c r="J322" s="27"/>
      <c r="K322" s="27"/>
    </row>
    <row r="323" spans="2:11" x14ac:dyDescent="0.2">
      <c r="B323" s="27"/>
      <c r="C323" s="23"/>
      <c r="D323" s="79"/>
      <c r="E323" s="79"/>
      <c r="F323" s="79"/>
      <c r="G323" s="79"/>
      <c r="H323" s="79"/>
      <c r="I323" s="23"/>
      <c r="J323" s="27"/>
      <c r="K323" s="27"/>
    </row>
    <row r="324" spans="2:11" x14ac:dyDescent="0.2">
      <c r="B324" s="27"/>
      <c r="C324" s="23"/>
      <c r="D324" s="79"/>
      <c r="E324" s="79"/>
      <c r="F324" s="79"/>
      <c r="G324" s="79"/>
      <c r="H324" s="79"/>
      <c r="I324" s="23"/>
      <c r="J324" s="27"/>
      <c r="K324" s="27"/>
    </row>
    <row r="325" spans="2:11" x14ac:dyDescent="0.2">
      <c r="B325" s="27"/>
      <c r="C325" s="23"/>
      <c r="D325" s="79"/>
      <c r="E325" s="79"/>
      <c r="F325" s="79"/>
      <c r="G325" s="79"/>
      <c r="H325" s="79"/>
      <c r="I325" s="23"/>
      <c r="J325" s="27"/>
      <c r="K325" s="27"/>
    </row>
    <row r="326" spans="2:11" x14ac:dyDescent="0.2">
      <c r="B326" s="27"/>
      <c r="C326" s="23"/>
      <c r="D326" s="79"/>
      <c r="E326" s="79"/>
      <c r="F326" s="79"/>
      <c r="G326" s="79"/>
      <c r="H326" s="79"/>
      <c r="I326" s="23"/>
      <c r="J326" s="27"/>
      <c r="K326" s="27"/>
    </row>
    <row r="327" spans="2:11" x14ac:dyDescent="0.2">
      <c r="B327" s="27"/>
      <c r="C327" s="23"/>
      <c r="D327" s="79"/>
      <c r="E327" s="79"/>
      <c r="F327" s="79"/>
      <c r="G327" s="79"/>
      <c r="H327" s="79"/>
      <c r="I327" s="23"/>
      <c r="J327" s="27"/>
      <c r="K327" s="27"/>
    </row>
    <row r="328" spans="2:11" x14ac:dyDescent="0.2">
      <c r="B328" s="27"/>
      <c r="C328" s="23"/>
      <c r="D328" s="79"/>
      <c r="E328" s="79"/>
      <c r="F328" s="79"/>
      <c r="G328" s="79"/>
      <c r="H328" s="79"/>
      <c r="I328" s="23"/>
      <c r="J328" s="27"/>
      <c r="K328" s="27"/>
    </row>
    <row r="329" spans="2:11" x14ac:dyDescent="0.2">
      <c r="B329" s="27"/>
      <c r="C329" s="23"/>
      <c r="D329" s="79"/>
      <c r="E329" s="79"/>
      <c r="F329" s="79"/>
      <c r="G329" s="79"/>
      <c r="H329" s="79"/>
      <c r="I329" s="23"/>
      <c r="J329" s="27"/>
      <c r="K329" s="27"/>
    </row>
    <row r="330" spans="2:11" x14ac:dyDescent="0.2">
      <c r="B330" s="27"/>
      <c r="C330" s="23"/>
      <c r="D330" s="79"/>
      <c r="E330" s="79"/>
      <c r="F330" s="79"/>
      <c r="G330" s="79"/>
      <c r="H330" s="79"/>
      <c r="I330" s="23"/>
      <c r="J330" s="27"/>
      <c r="K330" s="27"/>
    </row>
    <row r="331" spans="2:11" x14ac:dyDescent="0.2">
      <c r="B331" s="27"/>
      <c r="C331" s="23"/>
      <c r="D331" s="79"/>
      <c r="E331" s="79"/>
      <c r="F331" s="79"/>
      <c r="G331" s="79"/>
      <c r="H331" s="79"/>
      <c r="I331" s="23"/>
      <c r="J331" s="27"/>
      <c r="K331" s="27"/>
    </row>
    <row r="332" spans="2:11" x14ac:dyDescent="0.2">
      <c r="B332" s="27"/>
      <c r="C332" s="23"/>
      <c r="D332" s="79"/>
      <c r="E332" s="79"/>
      <c r="F332" s="79"/>
      <c r="G332" s="79"/>
      <c r="H332" s="79"/>
      <c r="I332" s="23"/>
      <c r="J332" s="27"/>
      <c r="K332" s="27"/>
    </row>
    <row r="333" spans="2:11" x14ac:dyDescent="0.2">
      <c r="B333" s="27"/>
      <c r="C333" s="23"/>
      <c r="D333" s="79"/>
      <c r="E333" s="79"/>
      <c r="F333" s="79"/>
      <c r="G333" s="79"/>
      <c r="H333" s="79"/>
      <c r="I333" s="23"/>
      <c r="J333" s="27"/>
      <c r="K333" s="27"/>
    </row>
    <row r="334" spans="2:11" x14ac:dyDescent="0.2">
      <c r="B334" s="27"/>
      <c r="C334" s="23"/>
      <c r="D334" s="79"/>
      <c r="E334" s="79"/>
      <c r="F334" s="79"/>
      <c r="G334" s="79"/>
      <c r="H334" s="79"/>
      <c r="I334" s="23"/>
      <c r="J334" s="27"/>
      <c r="K334" s="27"/>
    </row>
    <row r="335" spans="2:11" x14ac:dyDescent="0.2">
      <c r="B335" s="27"/>
      <c r="C335" s="23"/>
      <c r="D335" s="79"/>
      <c r="E335" s="79"/>
      <c r="F335" s="79"/>
      <c r="G335" s="79"/>
      <c r="H335" s="79"/>
      <c r="I335" s="23"/>
      <c r="J335" s="27"/>
      <c r="K335" s="27"/>
    </row>
    <row r="336" spans="2:11" x14ac:dyDescent="0.2">
      <c r="B336" s="27"/>
      <c r="C336" s="23"/>
      <c r="D336" s="79"/>
      <c r="E336" s="79"/>
      <c r="F336" s="79"/>
      <c r="G336" s="79"/>
      <c r="H336" s="79"/>
      <c r="I336" s="23"/>
      <c r="J336" s="27"/>
      <c r="K336" s="27"/>
    </row>
    <row r="337" spans="2:11" x14ac:dyDescent="0.2">
      <c r="B337" s="27"/>
      <c r="C337" s="23"/>
      <c r="D337" s="79"/>
      <c r="E337" s="79"/>
      <c r="F337" s="79"/>
      <c r="G337" s="79"/>
      <c r="H337" s="79"/>
      <c r="I337" s="23"/>
      <c r="J337" s="27"/>
      <c r="K337" s="27"/>
    </row>
    <row r="338" spans="2:11" x14ac:dyDescent="0.2">
      <c r="B338" s="27"/>
      <c r="C338" s="23"/>
      <c r="D338" s="79"/>
      <c r="E338" s="79"/>
      <c r="F338" s="79"/>
      <c r="G338" s="79"/>
      <c r="H338" s="79"/>
      <c r="I338" s="23"/>
      <c r="J338" s="27"/>
      <c r="K338" s="27"/>
    </row>
    <row r="339" spans="2:11" x14ac:dyDescent="0.2">
      <c r="B339" s="27"/>
      <c r="C339" s="23"/>
      <c r="D339" s="79"/>
      <c r="E339" s="79"/>
      <c r="F339" s="79"/>
      <c r="G339" s="79"/>
      <c r="H339" s="79"/>
      <c r="I339" s="23"/>
      <c r="J339" s="27"/>
      <c r="K339" s="27"/>
    </row>
    <row r="340" spans="2:11" x14ac:dyDescent="0.2">
      <c r="B340" s="27"/>
      <c r="C340" s="23"/>
      <c r="D340" s="79"/>
      <c r="E340" s="79"/>
      <c r="F340" s="79"/>
      <c r="G340" s="79"/>
      <c r="H340" s="79"/>
      <c r="I340" s="23"/>
      <c r="J340" s="27"/>
      <c r="K340" s="27"/>
    </row>
    <row r="341" spans="2:11" x14ac:dyDescent="0.2">
      <c r="B341" s="27"/>
      <c r="C341" s="23"/>
      <c r="D341" s="79"/>
      <c r="E341" s="79"/>
      <c r="F341" s="79"/>
      <c r="G341" s="79"/>
      <c r="H341" s="79"/>
      <c r="I341" s="23"/>
      <c r="J341" s="27"/>
      <c r="K341" s="27"/>
    </row>
    <row r="342" spans="2:11" x14ac:dyDescent="0.2">
      <c r="B342" s="27"/>
      <c r="C342" s="23"/>
      <c r="D342" s="79"/>
      <c r="E342" s="79"/>
      <c r="F342" s="79"/>
      <c r="G342" s="79"/>
      <c r="H342" s="79"/>
      <c r="I342" s="23"/>
      <c r="J342" s="27"/>
      <c r="K342" s="27"/>
    </row>
    <row r="343" spans="2:11" x14ac:dyDescent="0.2">
      <c r="B343" s="27"/>
      <c r="C343" s="23"/>
      <c r="D343" s="79"/>
      <c r="E343" s="79"/>
      <c r="F343" s="79"/>
      <c r="G343" s="79"/>
      <c r="H343" s="79"/>
      <c r="I343" s="23"/>
      <c r="J343" s="27"/>
      <c r="K343" s="27"/>
    </row>
    <row r="344" spans="2:11" x14ac:dyDescent="0.2">
      <c r="B344" s="27"/>
      <c r="C344" s="23"/>
      <c r="D344" s="79"/>
      <c r="E344" s="79"/>
      <c r="F344" s="79"/>
      <c r="G344" s="79"/>
      <c r="H344" s="79"/>
      <c r="I344" s="23"/>
      <c r="J344" s="27"/>
      <c r="K344" s="27"/>
    </row>
    <row r="345" spans="2:11" x14ac:dyDescent="0.2">
      <c r="B345" s="27"/>
      <c r="C345" s="23"/>
      <c r="D345" s="79"/>
      <c r="E345" s="79"/>
      <c r="F345" s="79"/>
      <c r="G345" s="79"/>
      <c r="H345" s="79"/>
      <c r="I345" s="23"/>
      <c r="J345" s="27"/>
      <c r="K345" s="27"/>
    </row>
    <row r="346" spans="2:11" x14ac:dyDescent="0.2">
      <c r="B346" s="27"/>
      <c r="C346" s="23"/>
      <c r="D346" s="79"/>
      <c r="E346" s="79"/>
      <c r="F346" s="79"/>
      <c r="G346" s="79"/>
      <c r="H346" s="79"/>
      <c r="I346" s="23"/>
      <c r="J346" s="27"/>
      <c r="K346" s="27"/>
    </row>
    <row r="347" spans="2:11" x14ac:dyDescent="0.2">
      <c r="B347" s="27"/>
      <c r="C347" s="23"/>
      <c r="D347" s="79"/>
      <c r="E347" s="79"/>
      <c r="F347" s="79"/>
      <c r="G347" s="79"/>
      <c r="H347" s="79"/>
      <c r="I347" s="23"/>
      <c r="J347" s="27"/>
      <c r="K347" s="27"/>
    </row>
    <row r="348" spans="2:11" x14ac:dyDescent="0.2">
      <c r="B348" s="27"/>
      <c r="C348" s="23"/>
      <c r="D348" s="79"/>
      <c r="E348" s="79"/>
      <c r="F348" s="79"/>
      <c r="G348" s="79"/>
      <c r="H348" s="79"/>
      <c r="I348" s="23"/>
      <c r="J348" s="27"/>
      <c r="K348" s="27"/>
    </row>
    <row r="349" spans="2:11" x14ac:dyDescent="0.2">
      <c r="B349" s="27"/>
      <c r="C349" s="23"/>
      <c r="D349" s="79"/>
      <c r="E349" s="79"/>
      <c r="F349" s="79"/>
      <c r="G349" s="79"/>
      <c r="H349" s="79"/>
      <c r="I349" s="23"/>
      <c r="J349" s="27"/>
      <c r="K349" s="27"/>
    </row>
    <row r="350" spans="2:11" x14ac:dyDescent="0.2">
      <c r="B350" s="27"/>
      <c r="C350" s="23"/>
      <c r="D350" s="79"/>
      <c r="E350" s="79"/>
      <c r="F350" s="79"/>
      <c r="G350" s="79"/>
      <c r="H350" s="79"/>
      <c r="I350" s="23"/>
      <c r="J350" s="27"/>
      <c r="K350" s="27"/>
    </row>
    <row r="351" spans="2:11" x14ac:dyDescent="0.2">
      <c r="B351" s="27"/>
      <c r="C351" s="23"/>
      <c r="D351" s="79"/>
      <c r="E351" s="79"/>
      <c r="F351" s="79"/>
      <c r="G351" s="79"/>
      <c r="H351" s="79"/>
      <c r="I351" s="23"/>
      <c r="J351" s="27"/>
      <c r="K351" s="27"/>
    </row>
    <row r="352" spans="2:11" x14ac:dyDescent="0.2">
      <c r="B352" s="27"/>
      <c r="C352" s="23"/>
      <c r="D352" s="79"/>
      <c r="E352" s="79"/>
      <c r="F352" s="79"/>
      <c r="G352" s="79"/>
      <c r="H352" s="79"/>
      <c r="I352" s="23"/>
      <c r="J352" s="27"/>
      <c r="K352" s="27"/>
    </row>
    <row r="353" spans="2:11" x14ac:dyDescent="0.2">
      <c r="B353" s="27"/>
      <c r="C353" s="23"/>
      <c r="D353" s="79"/>
      <c r="E353" s="79"/>
      <c r="F353" s="79"/>
      <c r="G353" s="79"/>
      <c r="H353" s="79"/>
      <c r="I353" s="23"/>
      <c r="J353" s="27"/>
      <c r="K353" s="27"/>
    </row>
    <row r="354" spans="2:11" x14ac:dyDescent="0.2">
      <c r="B354" s="27"/>
      <c r="C354" s="23"/>
      <c r="D354" s="79"/>
      <c r="E354" s="79"/>
      <c r="F354" s="79"/>
      <c r="G354" s="79"/>
      <c r="H354" s="79"/>
      <c r="I354" s="23"/>
      <c r="J354" s="27"/>
      <c r="K354" s="27"/>
    </row>
    <row r="355" spans="2:11" x14ac:dyDescent="0.2">
      <c r="B355" s="27"/>
      <c r="C355" s="23"/>
      <c r="D355" s="79"/>
      <c r="E355" s="79"/>
      <c r="F355" s="79"/>
      <c r="G355" s="79"/>
      <c r="H355" s="79"/>
      <c r="I355" s="23"/>
      <c r="J355" s="27"/>
      <c r="K355" s="27"/>
    </row>
    <row r="356" spans="2:11" x14ac:dyDescent="0.2">
      <c r="B356" s="27"/>
      <c r="C356" s="23"/>
      <c r="D356" s="79"/>
      <c r="E356" s="79"/>
      <c r="F356" s="79"/>
      <c r="G356" s="79"/>
      <c r="H356" s="79"/>
      <c r="I356" s="23"/>
      <c r="J356" s="27"/>
      <c r="K356" s="27"/>
    </row>
    <row r="357" spans="2:11" x14ac:dyDescent="0.2">
      <c r="B357" s="27"/>
      <c r="C357" s="23"/>
      <c r="D357" s="79"/>
      <c r="E357" s="79"/>
      <c r="F357" s="79"/>
      <c r="G357" s="79"/>
      <c r="H357" s="79"/>
      <c r="I357" s="23"/>
      <c r="J357" s="27"/>
      <c r="K357" s="27"/>
    </row>
    <row r="358" spans="2:11" x14ac:dyDescent="0.2">
      <c r="B358" s="27"/>
      <c r="C358" s="23"/>
      <c r="D358" s="79"/>
      <c r="E358" s="79"/>
      <c r="F358" s="79"/>
      <c r="G358" s="79"/>
      <c r="H358" s="79"/>
      <c r="I358" s="23"/>
      <c r="J358" s="27"/>
      <c r="K358" s="27"/>
    </row>
    <row r="359" spans="2:11" x14ac:dyDescent="0.2">
      <c r="B359" s="27"/>
      <c r="C359" s="23"/>
      <c r="D359" s="79"/>
      <c r="E359" s="79"/>
      <c r="F359" s="79"/>
      <c r="G359" s="79"/>
      <c r="H359" s="79"/>
      <c r="I359" s="23"/>
      <c r="J359" s="27"/>
      <c r="K359" s="27"/>
    </row>
    <row r="360" spans="2:11" x14ac:dyDescent="0.2">
      <c r="B360" s="27"/>
      <c r="C360" s="23"/>
      <c r="D360" s="79"/>
      <c r="E360" s="79"/>
      <c r="F360" s="79"/>
      <c r="G360" s="79"/>
      <c r="H360" s="79"/>
      <c r="I360" s="23"/>
      <c r="J360" s="27"/>
      <c r="K360" s="27"/>
    </row>
    <row r="361" spans="2:11" x14ac:dyDescent="0.2">
      <c r="B361" s="27"/>
      <c r="C361" s="23"/>
      <c r="D361" s="79"/>
      <c r="E361" s="79"/>
      <c r="F361" s="79"/>
      <c r="G361" s="79"/>
      <c r="H361" s="79"/>
      <c r="I361" s="23"/>
      <c r="J361" s="27"/>
      <c r="K361" s="27"/>
    </row>
    <row r="362" spans="2:11" x14ac:dyDescent="0.2">
      <c r="B362" s="27"/>
      <c r="C362" s="23"/>
      <c r="D362" s="79"/>
      <c r="E362" s="79"/>
      <c r="F362" s="79"/>
      <c r="G362" s="79"/>
      <c r="H362" s="79"/>
      <c r="I362" s="23"/>
      <c r="J362" s="27"/>
      <c r="K362" s="27"/>
    </row>
    <row r="363" spans="2:11" x14ac:dyDescent="0.2">
      <c r="B363" s="27"/>
      <c r="C363" s="23"/>
      <c r="D363" s="79"/>
      <c r="E363" s="79"/>
      <c r="F363" s="79"/>
      <c r="G363" s="79"/>
      <c r="H363" s="79"/>
      <c r="I363" s="23"/>
      <c r="J363" s="27"/>
      <c r="K363" s="27"/>
    </row>
    <row r="364" spans="2:11" x14ac:dyDescent="0.2">
      <c r="B364" s="27"/>
      <c r="C364" s="23"/>
      <c r="D364" s="79"/>
      <c r="E364" s="79"/>
      <c r="F364" s="79"/>
      <c r="G364" s="79"/>
      <c r="H364" s="79"/>
      <c r="I364" s="23"/>
      <c r="J364" s="27"/>
      <c r="K364" s="27"/>
    </row>
    <row r="365" spans="2:11" x14ac:dyDescent="0.2">
      <c r="B365" s="27"/>
      <c r="C365" s="23"/>
      <c r="D365" s="79"/>
      <c r="E365" s="79"/>
      <c r="F365" s="79"/>
      <c r="G365" s="79"/>
      <c r="H365" s="79"/>
      <c r="I365" s="23"/>
      <c r="J365" s="27"/>
      <c r="K365" s="27"/>
    </row>
    <row r="366" spans="2:11" x14ac:dyDescent="0.2">
      <c r="B366" s="27"/>
      <c r="C366" s="23"/>
      <c r="D366" s="79"/>
      <c r="E366" s="79"/>
      <c r="F366" s="79"/>
      <c r="G366" s="79"/>
      <c r="H366" s="79"/>
      <c r="I366" s="23"/>
      <c r="J366" s="27"/>
      <c r="K366" s="27"/>
    </row>
    <row r="367" spans="2:11" x14ac:dyDescent="0.2">
      <c r="B367" s="27"/>
      <c r="C367" s="23"/>
      <c r="D367" s="79"/>
      <c r="E367" s="79"/>
      <c r="F367" s="79"/>
      <c r="G367" s="79"/>
      <c r="H367" s="79"/>
      <c r="I367" s="23"/>
      <c r="J367" s="27"/>
      <c r="K367" s="27"/>
    </row>
    <row r="368" spans="2:11" x14ac:dyDescent="0.2">
      <c r="B368" s="27"/>
      <c r="C368" s="23"/>
      <c r="D368" s="79"/>
      <c r="E368" s="79"/>
      <c r="F368" s="79"/>
      <c r="G368" s="79"/>
      <c r="H368" s="79"/>
      <c r="I368" s="23"/>
      <c r="J368" s="27"/>
      <c r="K368" s="27"/>
    </row>
    <row r="369" spans="2:11" x14ac:dyDescent="0.2">
      <c r="B369" s="27"/>
      <c r="C369" s="23"/>
      <c r="D369" s="79"/>
      <c r="E369" s="79"/>
      <c r="F369" s="79"/>
      <c r="G369" s="79"/>
      <c r="H369" s="79"/>
      <c r="I369" s="23"/>
      <c r="J369" s="27"/>
      <c r="K369" s="27"/>
    </row>
    <row r="370" spans="2:11" x14ac:dyDescent="0.2">
      <c r="B370" s="27"/>
      <c r="C370" s="23"/>
      <c r="D370" s="79"/>
      <c r="E370" s="79"/>
      <c r="F370" s="79"/>
      <c r="G370" s="79"/>
      <c r="H370" s="79"/>
      <c r="I370" s="23"/>
      <c r="J370" s="27"/>
      <c r="K370" s="27"/>
    </row>
    <row r="371" spans="2:11" x14ac:dyDescent="0.2">
      <c r="B371" s="27"/>
      <c r="C371" s="23"/>
      <c r="D371" s="79"/>
      <c r="E371" s="79"/>
      <c r="F371" s="79"/>
      <c r="G371" s="79"/>
      <c r="H371" s="79"/>
      <c r="I371" s="23"/>
      <c r="J371" s="27"/>
      <c r="K371" s="27"/>
    </row>
    <row r="372" spans="2:11" x14ac:dyDescent="0.2">
      <c r="B372" s="27"/>
      <c r="C372" s="23"/>
      <c r="D372" s="79"/>
      <c r="E372" s="79"/>
      <c r="F372" s="79"/>
      <c r="G372" s="79"/>
      <c r="H372" s="79"/>
      <c r="I372" s="23"/>
      <c r="J372" s="27"/>
      <c r="K372" s="27"/>
    </row>
    <row r="373" spans="2:11" x14ac:dyDescent="0.2">
      <c r="B373" s="27"/>
      <c r="C373" s="23"/>
      <c r="D373" s="79"/>
      <c r="E373" s="79"/>
      <c r="F373" s="79"/>
      <c r="G373" s="79"/>
      <c r="H373" s="79"/>
      <c r="I373" s="23"/>
      <c r="J373" s="27"/>
      <c r="K373" s="27"/>
    </row>
    <row r="374" spans="2:11" x14ac:dyDescent="0.2">
      <c r="B374" s="27"/>
      <c r="C374" s="23"/>
      <c r="D374" s="79"/>
      <c r="E374" s="79"/>
      <c r="F374" s="79"/>
      <c r="G374" s="79"/>
      <c r="H374" s="79"/>
      <c r="I374" s="23"/>
      <c r="J374" s="27"/>
      <c r="K374" s="27"/>
    </row>
    <row r="375" spans="2:11" x14ac:dyDescent="0.2">
      <c r="B375" s="27"/>
      <c r="C375" s="23"/>
      <c r="D375" s="79"/>
      <c r="E375" s="79"/>
      <c r="F375" s="79"/>
      <c r="G375" s="79"/>
      <c r="H375" s="79"/>
      <c r="I375" s="23"/>
      <c r="J375" s="27"/>
      <c r="K375" s="27"/>
    </row>
    <row r="376" spans="2:11" x14ac:dyDescent="0.2">
      <c r="B376" s="27"/>
      <c r="C376" s="23"/>
      <c r="D376" s="79"/>
      <c r="E376" s="79"/>
      <c r="F376" s="79"/>
      <c r="G376" s="79"/>
      <c r="H376" s="79"/>
      <c r="I376" s="23"/>
      <c r="J376" s="27"/>
      <c r="K376" s="27"/>
    </row>
    <row r="377" spans="2:11" x14ac:dyDescent="0.2">
      <c r="B377" s="27"/>
      <c r="C377" s="23"/>
      <c r="D377" s="79"/>
      <c r="E377" s="79"/>
      <c r="F377" s="79"/>
      <c r="G377" s="79"/>
      <c r="H377" s="79"/>
      <c r="I377" s="23"/>
      <c r="J377" s="27"/>
      <c r="K377" s="27"/>
    </row>
    <row r="378" spans="2:11" x14ac:dyDescent="0.2">
      <c r="B378" s="27"/>
      <c r="C378" s="23"/>
      <c r="D378" s="79"/>
      <c r="E378" s="79"/>
      <c r="F378" s="79"/>
      <c r="G378" s="79"/>
      <c r="H378" s="79"/>
      <c r="I378" s="23"/>
      <c r="J378" s="27"/>
      <c r="K378" s="27"/>
    </row>
    <row r="379" spans="2:11" x14ac:dyDescent="0.2">
      <c r="B379" s="27"/>
      <c r="C379" s="23"/>
      <c r="D379" s="79"/>
      <c r="E379" s="79"/>
      <c r="F379" s="79"/>
      <c r="G379" s="79"/>
      <c r="H379" s="79"/>
      <c r="I379" s="23"/>
      <c r="J379" s="27"/>
      <c r="K379" s="27"/>
    </row>
    <row r="380" spans="2:11" x14ac:dyDescent="0.2">
      <c r="B380" s="27"/>
      <c r="C380" s="23"/>
      <c r="D380" s="79"/>
      <c r="E380" s="79"/>
      <c r="F380" s="79"/>
      <c r="G380" s="79"/>
      <c r="H380" s="79"/>
      <c r="I380" s="23"/>
      <c r="J380" s="27"/>
      <c r="K380" s="27"/>
    </row>
    <row r="381" spans="2:11" x14ac:dyDescent="0.2">
      <c r="B381" s="27"/>
      <c r="C381" s="23"/>
      <c r="D381" s="79"/>
      <c r="E381" s="79"/>
      <c r="F381" s="79"/>
      <c r="G381" s="79"/>
      <c r="H381" s="79"/>
      <c r="I381" s="23"/>
      <c r="J381" s="27"/>
      <c r="K381" s="27"/>
    </row>
    <row r="382" spans="2:11" x14ac:dyDescent="0.2">
      <c r="B382" s="27"/>
      <c r="C382" s="23"/>
      <c r="D382" s="79"/>
      <c r="E382" s="79"/>
      <c r="F382" s="79"/>
      <c r="G382" s="79"/>
      <c r="H382" s="79"/>
      <c r="I382" s="23"/>
      <c r="J382" s="27"/>
      <c r="K382" s="27"/>
    </row>
    <row r="383" spans="2:11" x14ac:dyDescent="0.2">
      <c r="B383" s="27"/>
      <c r="C383" s="23"/>
      <c r="D383" s="79"/>
      <c r="E383" s="79"/>
      <c r="F383" s="79"/>
      <c r="G383" s="79"/>
      <c r="H383" s="79"/>
      <c r="I383" s="23"/>
      <c r="J383" s="27"/>
      <c r="K383" s="27"/>
    </row>
    <row r="384" spans="2:11" x14ac:dyDescent="0.2">
      <c r="B384" s="27"/>
      <c r="C384" s="23"/>
      <c r="D384" s="79"/>
      <c r="E384" s="79"/>
      <c r="F384" s="79"/>
      <c r="G384" s="79"/>
      <c r="H384" s="79"/>
      <c r="I384" s="23"/>
      <c r="J384" s="27"/>
      <c r="K384" s="27"/>
    </row>
    <row r="385" spans="2:11" x14ac:dyDescent="0.2">
      <c r="B385" s="27"/>
      <c r="C385" s="23"/>
      <c r="D385" s="79"/>
      <c r="E385" s="79"/>
      <c r="F385" s="79"/>
      <c r="G385" s="79"/>
      <c r="H385" s="79"/>
      <c r="I385" s="23"/>
      <c r="J385" s="27"/>
      <c r="K385" s="27"/>
    </row>
    <row r="386" spans="2:11" x14ac:dyDescent="0.2">
      <c r="B386" s="27"/>
      <c r="C386" s="23"/>
      <c r="D386" s="79"/>
      <c r="E386" s="79"/>
      <c r="F386" s="79"/>
      <c r="G386" s="79"/>
      <c r="H386" s="79"/>
      <c r="I386" s="23"/>
      <c r="J386" s="27"/>
      <c r="K386" s="27"/>
    </row>
    <row r="387" spans="2:11" x14ac:dyDescent="0.2">
      <c r="B387" s="27"/>
      <c r="C387" s="23"/>
      <c r="D387" s="79"/>
      <c r="E387" s="79"/>
      <c r="F387" s="79"/>
      <c r="G387" s="79"/>
      <c r="H387" s="79"/>
      <c r="I387" s="23"/>
      <c r="J387" s="27"/>
      <c r="K387" s="27"/>
    </row>
    <row r="388" spans="2:11" x14ac:dyDescent="0.2">
      <c r="B388" s="27"/>
      <c r="C388" s="23"/>
      <c r="D388" s="79"/>
      <c r="E388" s="79"/>
      <c r="F388" s="79"/>
      <c r="G388" s="79"/>
      <c r="H388" s="79"/>
      <c r="I388" s="23"/>
      <c r="J388" s="27"/>
      <c r="K388" s="27"/>
    </row>
    <row r="389" spans="2:11" x14ac:dyDescent="0.2">
      <c r="B389" s="27"/>
      <c r="C389" s="23"/>
      <c r="D389" s="79"/>
      <c r="E389" s="79"/>
      <c r="F389" s="79"/>
      <c r="G389" s="79"/>
      <c r="H389" s="79"/>
      <c r="I389" s="23"/>
      <c r="J389" s="27"/>
      <c r="K389" s="27"/>
    </row>
    <row r="390" spans="2:11" x14ac:dyDescent="0.2">
      <c r="B390" s="27"/>
      <c r="C390" s="23"/>
      <c r="D390" s="79"/>
      <c r="E390" s="79"/>
      <c r="F390" s="79"/>
      <c r="G390" s="79"/>
      <c r="H390" s="79"/>
      <c r="I390" s="23"/>
      <c r="J390" s="27"/>
      <c r="K390" s="27"/>
    </row>
    <row r="391" spans="2:11" x14ac:dyDescent="0.2">
      <c r="B391" s="27"/>
      <c r="C391" s="23"/>
      <c r="D391" s="79"/>
      <c r="E391" s="79"/>
      <c r="F391" s="79"/>
      <c r="G391" s="79"/>
      <c r="H391" s="79"/>
      <c r="I391" s="23"/>
      <c r="J391" s="27"/>
      <c r="K391" s="27"/>
    </row>
    <row r="392" spans="2:11" x14ac:dyDescent="0.2">
      <c r="B392" s="27"/>
      <c r="C392" s="23"/>
      <c r="D392" s="79"/>
      <c r="E392" s="79"/>
      <c r="F392" s="79"/>
      <c r="G392" s="79"/>
      <c r="H392" s="79"/>
      <c r="I392" s="23"/>
      <c r="J392" s="27"/>
      <c r="K392" s="27"/>
    </row>
    <row r="393" spans="2:11" x14ac:dyDescent="0.2">
      <c r="B393" s="27"/>
      <c r="C393" s="23"/>
      <c r="D393" s="79"/>
      <c r="E393" s="79"/>
      <c r="F393" s="79"/>
      <c r="G393" s="79"/>
      <c r="H393" s="79"/>
      <c r="I393" s="23"/>
      <c r="J393" s="27"/>
      <c r="K393" s="27"/>
    </row>
    <row r="394" spans="2:11" x14ac:dyDescent="0.2">
      <c r="B394" s="27"/>
      <c r="C394" s="23"/>
      <c r="D394" s="79"/>
      <c r="E394" s="79"/>
      <c r="F394" s="79"/>
      <c r="G394" s="79"/>
      <c r="H394" s="79"/>
      <c r="I394" s="23"/>
      <c r="J394" s="27"/>
      <c r="K394" s="27"/>
    </row>
    <row r="395" spans="2:11" x14ac:dyDescent="0.2">
      <c r="B395" s="27"/>
      <c r="C395" s="23"/>
      <c r="D395" s="79"/>
      <c r="E395" s="79"/>
      <c r="F395" s="79"/>
      <c r="G395" s="79"/>
      <c r="H395" s="79"/>
      <c r="I395" s="23"/>
      <c r="J395" s="27"/>
      <c r="K395" s="27"/>
    </row>
    <row r="396" spans="2:11" x14ac:dyDescent="0.2">
      <c r="B396" s="27"/>
      <c r="C396" s="23"/>
      <c r="D396" s="79"/>
      <c r="E396" s="79"/>
      <c r="F396" s="79"/>
      <c r="G396" s="79"/>
      <c r="H396" s="79"/>
      <c r="I396" s="23"/>
      <c r="J396" s="27"/>
      <c r="K396" s="27"/>
    </row>
    <row r="397" spans="2:11" x14ac:dyDescent="0.2">
      <c r="B397" s="27"/>
      <c r="C397" s="23"/>
      <c r="D397" s="79"/>
      <c r="E397" s="79"/>
      <c r="F397" s="79"/>
      <c r="G397" s="79"/>
      <c r="H397" s="79"/>
      <c r="I397" s="23"/>
      <c r="J397" s="27"/>
      <c r="K397" s="27"/>
    </row>
    <row r="398" spans="2:11" x14ac:dyDescent="0.2">
      <c r="B398" s="27"/>
      <c r="C398" s="23"/>
      <c r="D398" s="79"/>
      <c r="E398" s="79"/>
      <c r="F398" s="79"/>
      <c r="G398" s="79"/>
      <c r="H398" s="79"/>
      <c r="I398" s="23"/>
      <c r="J398" s="27"/>
      <c r="K398" s="27"/>
    </row>
    <row r="399" spans="2:11" x14ac:dyDescent="0.2">
      <c r="B399" s="27"/>
      <c r="C399" s="23"/>
      <c r="D399" s="79"/>
      <c r="E399" s="79"/>
      <c r="F399" s="79"/>
      <c r="G399" s="79"/>
      <c r="H399" s="79"/>
      <c r="I399" s="23"/>
      <c r="J399" s="27"/>
      <c r="K399" s="27"/>
    </row>
    <row r="400" spans="2:11" x14ac:dyDescent="0.2">
      <c r="B400" s="27"/>
      <c r="C400" s="23"/>
      <c r="D400" s="79"/>
      <c r="E400" s="79"/>
      <c r="F400" s="79"/>
      <c r="G400" s="79"/>
      <c r="H400" s="79"/>
      <c r="I400" s="23"/>
      <c r="J400" s="27"/>
      <c r="K400" s="27"/>
    </row>
    <row r="401" spans="2:11" x14ac:dyDescent="0.2">
      <c r="B401" s="27"/>
      <c r="C401" s="23"/>
      <c r="D401" s="79"/>
      <c r="E401" s="79"/>
      <c r="F401" s="79"/>
      <c r="G401" s="79"/>
      <c r="H401" s="79"/>
      <c r="I401" s="23"/>
      <c r="J401" s="27"/>
      <c r="K401" s="27"/>
    </row>
    <row r="402" spans="2:11" x14ac:dyDescent="0.2">
      <c r="B402" s="27"/>
      <c r="C402" s="23"/>
      <c r="D402" s="79"/>
      <c r="E402" s="79"/>
      <c r="F402" s="79"/>
      <c r="G402" s="79"/>
      <c r="H402" s="79"/>
      <c r="I402" s="23"/>
      <c r="J402" s="27"/>
      <c r="K402" s="27"/>
    </row>
    <row r="403" spans="2:11" x14ac:dyDescent="0.2">
      <c r="B403" s="27"/>
      <c r="C403" s="23"/>
      <c r="D403" s="79"/>
      <c r="E403" s="79"/>
      <c r="F403" s="79"/>
      <c r="G403" s="79"/>
      <c r="H403" s="79"/>
      <c r="I403" s="23"/>
      <c r="J403" s="27"/>
      <c r="K403" s="27"/>
    </row>
    <row r="404" spans="2:11" x14ac:dyDescent="0.2">
      <c r="B404" s="27"/>
      <c r="C404" s="23"/>
      <c r="D404" s="79"/>
      <c r="E404" s="79"/>
      <c r="F404" s="79"/>
      <c r="G404" s="79"/>
      <c r="H404" s="79"/>
      <c r="I404" s="23"/>
      <c r="J404" s="27"/>
      <c r="K404" s="27"/>
    </row>
    <row r="405" spans="2:11" x14ac:dyDescent="0.2">
      <c r="B405" s="27"/>
      <c r="C405" s="23"/>
      <c r="D405" s="79"/>
      <c r="E405" s="79"/>
      <c r="F405" s="79"/>
      <c r="G405" s="79"/>
      <c r="H405" s="79"/>
      <c r="I405" s="23"/>
      <c r="J405" s="27"/>
      <c r="K405" s="27"/>
    </row>
    <row r="406" spans="2:11" x14ac:dyDescent="0.2">
      <c r="B406" s="27"/>
      <c r="C406" s="23"/>
      <c r="D406" s="79"/>
      <c r="E406" s="79"/>
      <c r="F406" s="79"/>
      <c r="G406" s="79"/>
      <c r="H406" s="79"/>
      <c r="I406" s="23"/>
      <c r="J406" s="27"/>
      <c r="K406" s="27"/>
    </row>
    <row r="407" spans="2:11" x14ac:dyDescent="0.2">
      <c r="B407" s="27"/>
      <c r="C407" s="23"/>
      <c r="D407" s="79"/>
      <c r="E407" s="79"/>
      <c r="F407" s="79"/>
      <c r="G407" s="79"/>
      <c r="H407" s="79"/>
      <c r="I407" s="23"/>
      <c r="J407" s="27"/>
      <c r="K407" s="27"/>
    </row>
    <row r="408" spans="2:11" x14ac:dyDescent="0.2">
      <c r="B408" s="27"/>
      <c r="C408" s="23"/>
      <c r="D408" s="79"/>
      <c r="E408" s="79"/>
      <c r="F408" s="79"/>
      <c r="G408" s="79"/>
      <c r="H408" s="79"/>
      <c r="I408" s="23"/>
      <c r="J408" s="27"/>
      <c r="K408" s="27"/>
    </row>
    <row r="409" spans="2:11" x14ac:dyDescent="0.2">
      <c r="B409" s="27"/>
      <c r="C409" s="23"/>
      <c r="D409" s="79"/>
      <c r="E409" s="79"/>
      <c r="F409" s="79"/>
      <c r="G409" s="79"/>
      <c r="H409" s="79"/>
      <c r="I409" s="23"/>
      <c r="J409" s="27"/>
      <c r="K409" s="27"/>
    </row>
    <row r="410" spans="2:11" x14ac:dyDescent="0.2">
      <c r="B410" s="27"/>
      <c r="C410" s="23"/>
      <c r="D410" s="79"/>
      <c r="E410" s="79"/>
      <c r="F410" s="79"/>
      <c r="G410" s="79"/>
      <c r="H410" s="79"/>
      <c r="I410" s="23"/>
      <c r="J410" s="27"/>
      <c r="K410" s="27"/>
    </row>
    <row r="411" spans="2:11" x14ac:dyDescent="0.2">
      <c r="B411" s="27"/>
      <c r="C411" s="23"/>
      <c r="D411" s="79"/>
      <c r="E411" s="79"/>
      <c r="F411" s="79"/>
      <c r="G411" s="79"/>
      <c r="H411" s="79"/>
      <c r="I411" s="23"/>
      <c r="J411" s="27"/>
      <c r="K411" s="27"/>
    </row>
    <row r="412" spans="2:11" x14ac:dyDescent="0.2">
      <c r="B412" s="27"/>
      <c r="C412" s="23"/>
      <c r="D412" s="79"/>
      <c r="E412" s="79"/>
      <c r="F412" s="79"/>
      <c r="G412" s="79"/>
      <c r="H412" s="79"/>
      <c r="I412" s="23"/>
      <c r="J412" s="27"/>
      <c r="K412" s="27"/>
    </row>
    <row r="413" spans="2:11" x14ac:dyDescent="0.2">
      <c r="B413" s="27"/>
      <c r="C413" s="23"/>
      <c r="D413" s="79"/>
      <c r="E413" s="79"/>
      <c r="F413" s="79"/>
      <c r="G413" s="79"/>
      <c r="H413" s="79"/>
      <c r="I413" s="23"/>
      <c r="J413" s="27"/>
      <c r="K413" s="27"/>
    </row>
    <row r="414" spans="2:11" x14ac:dyDescent="0.2">
      <c r="B414" s="27"/>
      <c r="C414" s="23"/>
      <c r="D414" s="79"/>
      <c r="E414" s="79"/>
      <c r="F414" s="79"/>
      <c r="G414" s="79"/>
      <c r="H414" s="79"/>
      <c r="I414" s="23"/>
      <c r="J414" s="27"/>
      <c r="K414" s="27"/>
    </row>
    <row r="415" spans="2:11" x14ac:dyDescent="0.2">
      <c r="B415" s="27"/>
      <c r="C415" s="23"/>
      <c r="D415" s="79"/>
      <c r="E415" s="79"/>
      <c r="F415" s="79"/>
      <c r="G415" s="79"/>
      <c r="H415" s="79"/>
      <c r="I415" s="23"/>
      <c r="J415" s="27"/>
      <c r="K415" s="27"/>
    </row>
    <row r="416" spans="2:11" x14ac:dyDescent="0.2">
      <c r="B416" s="27"/>
      <c r="C416" s="23"/>
      <c r="D416" s="79"/>
      <c r="E416" s="79"/>
      <c r="F416" s="79"/>
      <c r="G416" s="79"/>
      <c r="H416" s="79"/>
      <c r="I416" s="23"/>
      <c r="J416" s="27"/>
      <c r="K416" s="27"/>
    </row>
    <row r="417" spans="2:11" x14ac:dyDescent="0.2">
      <c r="B417" s="27"/>
      <c r="C417" s="23"/>
      <c r="D417" s="79"/>
      <c r="E417" s="79"/>
      <c r="F417" s="79"/>
      <c r="G417" s="79"/>
      <c r="H417" s="79"/>
      <c r="I417" s="23"/>
      <c r="J417" s="27"/>
      <c r="K417" s="27"/>
    </row>
    <row r="418" spans="2:11" x14ac:dyDescent="0.2">
      <c r="B418" s="27"/>
      <c r="C418" s="23"/>
      <c r="D418" s="79"/>
      <c r="E418" s="79"/>
      <c r="F418" s="79"/>
      <c r="G418" s="79"/>
      <c r="H418" s="79"/>
      <c r="I418" s="23"/>
      <c r="J418" s="27"/>
      <c r="K418" s="27"/>
    </row>
    <row r="419" spans="2:11" x14ac:dyDescent="0.2">
      <c r="B419" s="27"/>
      <c r="C419" s="23"/>
      <c r="D419" s="79"/>
      <c r="E419" s="79"/>
      <c r="F419" s="79"/>
      <c r="G419" s="79"/>
      <c r="H419" s="79"/>
      <c r="I419" s="23"/>
      <c r="J419" s="27"/>
      <c r="K419" s="27"/>
    </row>
    <row r="420" spans="2:11" x14ac:dyDescent="0.2">
      <c r="B420" s="27"/>
      <c r="C420" s="23"/>
      <c r="D420" s="79"/>
      <c r="E420" s="79"/>
      <c r="F420" s="79"/>
      <c r="G420" s="79"/>
      <c r="H420" s="79"/>
      <c r="I420" s="23"/>
      <c r="J420" s="27"/>
      <c r="K420" s="27"/>
    </row>
    <row r="421" spans="2:11" x14ac:dyDescent="0.2">
      <c r="B421" s="27"/>
      <c r="C421" s="23"/>
      <c r="D421" s="79"/>
      <c r="E421" s="79"/>
      <c r="F421" s="79"/>
      <c r="G421" s="79"/>
      <c r="H421" s="79"/>
      <c r="I421" s="23"/>
      <c r="J421" s="27"/>
      <c r="K421" s="27"/>
    </row>
    <row r="422" spans="2:11" x14ac:dyDescent="0.2">
      <c r="B422" s="27"/>
      <c r="C422" s="23"/>
      <c r="D422" s="79"/>
      <c r="E422" s="79"/>
      <c r="F422" s="79"/>
      <c r="G422" s="79"/>
      <c r="H422" s="79"/>
      <c r="I422" s="23"/>
      <c r="J422" s="27"/>
      <c r="K422" s="27"/>
    </row>
    <row r="423" spans="2:11" x14ac:dyDescent="0.2">
      <c r="B423" s="27"/>
      <c r="C423" s="23"/>
      <c r="D423" s="79"/>
      <c r="E423" s="79"/>
      <c r="F423" s="79"/>
      <c r="G423" s="79"/>
      <c r="H423" s="79"/>
      <c r="I423" s="23"/>
      <c r="J423" s="27"/>
      <c r="K423" s="27"/>
    </row>
    <row r="424" spans="2:11" x14ac:dyDescent="0.2">
      <c r="B424" s="27"/>
      <c r="C424" s="23"/>
      <c r="D424" s="79"/>
      <c r="E424" s="79"/>
      <c r="F424" s="79"/>
      <c r="G424" s="79"/>
      <c r="H424" s="79"/>
      <c r="I424" s="23"/>
      <c r="J424" s="27"/>
      <c r="K424" s="27"/>
    </row>
    <row r="425" spans="2:11" x14ac:dyDescent="0.2">
      <c r="B425" s="27"/>
      <c r="C425" s="23"/>
      <c r="D425" s="79"/>
      <c r="E425" s="79"/>
      <c r="F425" s="79"/>
      <c r="G425" s="79"/>
      <c r="H425" s="79"/>
      <c r="I425" s="23"/>
      <c r="J425" s="27"/>
      <c r="K425" s="27"/>
    </row>
    <row r="426" spans="2:11" x14ac:dyDescent="0.2">
      <c r="B426" s="27"/>
      <c r="C426" s="23"/>
      <c r="D426" s="79"/>
      <c r="E426" s="79"/>
      <c r="F426" s="79"/>
      <c r="G426" s="79"/>
      <c r="H426" s="79"/>
      <c r="I426" s="23"/>
      <c r="J426" s="27"/>
      <c r="K426" s="27"/>
    </row>
    <row r="427" spans="2:11" x14ac:dyDescent="0.2">
      <c r="B427" s="27"/>
      <c r="C427" s="23"/>
      <c r="D427" s="79"/>
      <c r="E427" s="79"/>
      <c r="F427" s="79"/>
      <c r="G427" s="79"/>
      <c r="H427" s="79"/>
      <c r="I427" s="23"/>
      <c r="J427" s="27"/>
      <c r="K427" s="27"/>
    </row>
    <row r="428" spans="2:11" x14ac:dyDescent="0.2">
      <c r="B428" s="27"/>
      <c r="C428" s="23"/>
      <c r="D428" s="79"/>
      <c r="E428" s="79"/>
      <c r="F428" s="79"/>
      <c r="G428" s="79"/>
      <c r="H428" s="79"/>
      <c r="I428" s="23"/>
      <c r="J428" s="27"/>
      <c r="K428" s="27"/>
    </row>
    <row r="429" spans="2:11" x14ac:dyDescent="0.2">
      <c r="B429" s="27"/>
      <c r="C429" s="23"/>
      <c r="D429" s="79"/>
      <c r="E429" s="79"/>
      <c r="F429" s="79"/>
      <c r="G429" s="79"/>
      <c r="H429" s="79"/>
      <c r="I429" s="23"/>
      <c r="J429" s="27"/>
      <c r="K429" s="27"/>
    </row>
    <row r="430" spans="2:11" x14ac:dyDescent="0.2">
      <c r="B430" s="27"/>
      <c r="C430" s="23"/>
      <c r="D430" s="79"/>
      <c r="E430" s="79"/>
      <c r="F430" s="79"/>
      <c r="G430" s="79"/>
      <c r="H430" s="79"/>
      <c r="I430" s="23"/>
      <c r="J430" s="27"/>
      <c r="K430" s="27"/>
    </row>
    <row r="431" spans="2:11" x14ac:dyDescent="0.2">
      <c r="B431" s="27"/>
      <c r="C431" s="23"/>
      <c r="D431" s="79"/>
      <c r="E431" s="79"/>
      <c r="F431" s="79"/>
      <c r="G431" s="79"/>
      <c r="H431" s="79"/>
      <c r="I431" s="23"/>
      <c r="J431" s="27"/>
      <c r="K431" s="27"/>
    </row>
    <row r="432" spans="2:11" x14ac:dyDescent="0.2">
      <c r="B432" s="27"/>
      <c r="C432" s="23"/>
      <c r="D432" s="79"/>
      <c r="E432" s="79"/>
      <c r="F432" s="79"/>
      <c r="G432" s="79"/>
      <c r="H432" s="79"/>
      <c r="I432" s="23"/>
      <c r="J432" s="27"/>
      <c r="K432" s="27"/>
    </row>
    <row r="433" spans="2:11" x14ac:dyDescent="0.2">
      <c r="B433" s="27"/>
      <c r="C433" s="23"/>
      <c r="D433" s="79"/>
      <c r="E433" s="79"/>
      <c r="F433" s="79"/>
      <c r="G433" s="79"/>
      <c r="H433" s="79"/>
      <c r="I433" s="23"/>
      <c r="J433" s="27"/>
      <c r="K433" s="27"/>
    </row>
    <row r="434" spans="2:11" x14ac:dyDescent="0.2">
      <c r="B434" s="27"/>
      <c r="C434" s="23"/>
      <c r="D434" s="79"/>
      <c r="E434" s="79"/>
      <c r="F434" s="79"/>
      <c r="G434" s="79"/>
      <c r="H434" s="79"/>
      <c r="I434" s="23"/>
      <c r="J434" s="27"/>
      <c r="K434" s="27"/>
    </row>
    <row r="435" spans="2:11" x14ac:dyDescent="0.2">
      <c r="B435" s="27"/>
      <c r="C435" s="23"/>
      <c r="D435" s="79"/>
      <c r="E435" s="79"/>
      <c r="F435" s="79"/>
      <c r="G435" s="79"/>
      <c r="H435" s="79"/>
      <c r="I435" s="23"/>
      <c r="J435" s="27"/>
      <c r="K435" s="27"/>
    </row>
    <row r="436" spans="2:11" x14ac:dyDescent="0.2">
      <c r="B436" s="27"/>
      <c r="C436" s="23"/>
      <c r="D436" s="79"/>
      <c r="E436" s="79"/>
      <c r="F436" s="79"/>
      <c r="G436" s="79"/>
      <c r="H436" s="79"/>
      <c r="I436" s="23"/>
      <c r="J436" s="27"/>
      <c r="K436" s="27"/>
    </row>
    <row r="437" spans="2:11" x14ac:dyDescent="0.2">
      <c r="B437" s="27"/>
      <c r="C437" s="23"/>
      <c r="D437" s="79"/>
      <c r="E437" s="79"/>
      <c r="F437" s="79"/>
      <c r="G437" s="79"/>
      <c r="H437" s="79"/>
      <c r="I437" s="23"/>
      <c r="J437" s="27"/>
      <c r="K437" s="27"/>
    </row>
    <row r="438" spans="2:11" x14ac:dyDescent="0.2">
      <c r="B438" s="27"/>
      <c r="C438" s="23"/>
      <c r="D438" s="79"/>
      <c r="E438" s="79"/>
      <c r="F438" s="79"/>
      <c r="G438" s="79"/>
      <c r="H438" s="79"/>
      <c r="I438" s="23"/>
      <c r="J438" s="27"/>
      <c r="K438" s="27"/>
    </row>
    <row r="439" spans="2:11" x14ac:dyDescent="0.2">
      <c r="B439" s="27"/>
      <c r="C439" s="23"/>
      <c r="D439" s="79"/>
      <c r="E439" s="79"/>
      <c r="F439" s="79"/>
      <c r="G439" s="79"/>
      <c r="H439" s="79"/>
      <c r="I439" s="23"/>
      <c r="J439" s="27"/>
      <c r="K439" s="27"/>
    </row>
    <row r="440" spans="2:11" x14ac:dyDescent="0.2">
      <c r="B440" s="27"/>
      <c r="C440" s="23"/>
      <c r="D440" s="79"/>
      <c r="E440" s="79"/>
      <c r="F440" s="79"/>
      <c r="G440" s="79"/>
      <c r="H440" s="79"/>
      <c r="I440" s="23"/>
      <c r="J440" s="27"/>
      <c r="K440" s="27"/>
    </row>
    <row r="441" spans="2:11" x14ac:dyDescent="0.2">
      <c r="B441" s="27"/>
      <c r="C441" s="23"/>
      <c r="D441" s="79"/>
      <c r="E441" s="79"/>
      <c r="F441" s="79"/>
      <c r="G441" s="79"/>
      <c r="H441" s="79"/>
      <c r="I441" s="23"/>
      <c r="J441" s="27"/>
      <c r="K441" s="27"/>
    </row>
    <row r="442" spans="2:11" x14ac:dyDescent="0.2">
      <c r="B442" s="27"/>
      <c r="C442" s="23"/>
      <c r="D442" s="79"/>
      <c r="E442" s="79"/>
      <c r="F442" s="79"/>
      <c r="G442" s="79"/>
      <c r="H442" s="79"/>
      <c r="I442" s="23"/>
      <c r="J442" s="27"/>
      <c r="K442" s="27"/>
    </row>
    <row r="443" spans="2:11" x14ac:dyDescent="0.2">
      <c r="B443" s="27"/>
      <c r="C443" s="23"/>
      <c r="D443" s="79"/>
      <c r="E443" s="79"/>
      <c r="F443" s="79"/>
      <c r="G443" s="79"/>
      <c r="H443" s="79"/>
      <c r="I443" s="23"/>
      <c r="J443" s="27"/>
      <c r="K443" s="27"/>
    </row>
    <row r="444" spans="2:11" x14ac:dyDescent="0.2">
      <c r="B444" s="27"/>
      <c r="C444" s="23"/>
      <c r="D444" s="79"/>
      <c r="E444" s="79"/>
      <c r="F444" s="79"/>
      <c r="G444" s="79"/>
      <c r="H444" s="79"/>
      <c r="I444" s="23"/>
      <c r="J444" s="27"/>
      <c r="K444" s="27"/>
    </row>
    <row r="445" spans="2:11" x14ac:dyDescent="0.2">
      <c r="B445" s="27"/>
      <c r="C445" s="23"/>
      <c r="D445" s="79"/>
      <c r="E445" s="79"/>
      <c r="F445" s="79"/>
      <c r="G445" s="79"/>
      <c r="H445" s="79"/>
      <c r="I445" s="23"/>
      <c r="J445" s="27"/>
      <c r="K445" s="27"/>
    </row>
    <row r="446" spans="2:11" x14ac:dyDescent="0.2">
      <c r="B446" s="27"/>
      <c r="C446" s="23"/>
      <c r="D446" s="79"/>
      <c r="E446" s="79"/>
      <c r="F446" s="79"/>
      <c r="G446" s="79"/>
      <c r="H446" s="79"/>
      <c r="I446" s="23"/>
      <c r="J446" s="27"/>
      <c r="K446" s="27"/>
    </row>
    <row r="447" spans="2:11" x14ac:dyDescent="0.2">
      <c r="B447" s="27"/>
      <c r="C447" s="23"/>
      <c r="D447" s="79"/>
      <c r="E447" s="79"/>
      <c r="F447" s="79"/>
      <c r="G447" s="79"/>
      <c r="H447" s="79"/>
      <c r="I447" s="23"/>
      <c r="J447" s="27"/>
      <c r="K447" s="27"/>
    </row>
    <row r="448" spans="2:11" x14ac:dyDescent="0.2">
      <c r="B448" s="27"/>
      <c r="C448" s="23"/>
      <c r="D448" s="79"/>
      <c r="E448" s="79"/>
      <c r="F448" s="79"/>
      <c r="G448" s="79"/>
      <c r="H448" s="79"/>
      <c r="I448" s="23"/>
      <c r="J448" s="27"/>
      <c r="K448" s="27"/>
    </row>
    <row r="449" spans="2:11" x14ac:dyDescent="0.2">
      <c r="B449" s="27"/>
      <c r="C449" s="23"/>
      <c r="D449" s="79"/>
      <c r="E449" s="79"/>
      <c r="F449" s="79"/>
      <c r="G449" s="79"/>
      <c r="H449" s="79"/>
      <c r="I449" s="23"/>
      <c r="J449" s="27"/>
      <c r="K449" s="27"/>
    </row>
    <row r="450" spans="2:11" x14ac:dyDescent="0.2">
      <c r="B450" s="27"/>
      <c r="C450" s="23"/>
      <c r="D450" s="79"/>
      <c r="E450" s="79"/>
      <c r="F450" s="79"/>
      <c r="G450" s="79"/>
      <c r="H450" s="79"/>
      <c r="I450" s="23"/>
      <c r="J450" s="27"/>
      <c r="K450" s="27"/>
    </row>
    <row r="451" spans="2:11" x14ac:dyDescent="0.2">
      <c r="B451" s="27"/>
      <c r="C451" s="23"/>
      <c r="D451" s="79"/>
      <c r="E451" s="79"/>
      <c r="F451" s="79"/>
      <c r="G451" s="79"/>
      <c r="H451" s="79"/>
      <c r="I451" s="23"/>
      <c r="J451" s="27"/>
      <c r="K451" s="27"/>
    </row>
    <row r="452" spans="2:11" x14ac:dyDescent="0.2">
      <c r="B452" s="27"/>
      <c r="C452" s="23"/>
      <c r="D452" s="79"/>
      <c r="E452" s="79"/>
      <c r="F452" s="79"/>
      <c r="G452" s="79"/>
      <c r="H452" s="79"/>
      <c r="I452" s="23"/>
      <c r="J452" s="27"/>
      <c r="K452" s="27"/>
    </row>
    <row r="453" spans="2:11" x14ac:dyDescent="0.2">
      <c r="B453" s="27"/>
      <c r="C453" s="23"/>
      <c r="D453" s="79"/>
      <c r="E453" s="79"/>
      <c r="F453" s="79"/>
      <c r="G453" s="79"/>
      <c r="H453" s="79"/>
      <c r="I453" s="23"/>
      <c r="J453" s="27"/>
      <c r="K453" s="27"/>
    </row>
    <row r="454" spans="2:11" x14ac:dyDescent="0.2">
      <c r="B454" s="27"/>
      <c r="C454" s="23"/>
      <c r="D454" s="79"/>
      <c r="E454" s="79"/>
      <c r="F454" s="79"/>
      <c r="G454" s="79"/>
      <c r="H454" s="79"/>
      <c r="I454" s="23"/>
      <c r="J454" s="27"/>
      <c r="K454" s="27"/>
    </row>
    <row r="455" spans="2:11" x14ac:dyDescent="0.2">
      <c r="B455" s="27"/>
      <c r="C455" s="23"/>
      <c r="D455" s="79"/>
      <c r="E455" s="79"/>
      <c r="F455" s="79"/>
      <c r="G455" s="79"/>
      <c r="H455" s="79"/>
      <c r="I455" s="23"/>
      <c r="J455" s="27"/>
      <c r="K455" s="27"/>
    </row>
    <row r="456" spans="2:11" x14ac:dyDescent="0.2">
      <c r="B456" s="27"/>
      <c r="C456" s="23"/>
      <c r="D456" s="79"/>
      <c r="E456" s="79"/>
      <c r="F456" s="79"/>
      <c r="G456" s="79"/>
      <c r="H456" s="79"/>
      <c r="I456" s="23"/>
      <c r="J456" s="27"/>
      <c r="K456" s="27"/>
    </row>
    <row r="457" spans="2:11" x14ac:dyDescent="0.2">
      <c r="B457" s="27"/>
      <c r="C457" s="23"/>
      <c r="D457" s="79"/>
      <c r="E457" s="79"/>
      <c r="F457" s="79"/>
      <c r="G457" s="79"/>
      <c r="H457" s="79"/>
      <c r="I457" s="23"/>
      <c r="J457" s="27"/>
      <c r="K457" s="27"/>
    </row>
    <row r="458" spans="2:11" x14ac:dyDescent="0.2">
      <c r="B458" s="27"/>
      <c r="C458" s="23"/>
      <c r="D458" s="79"/>
      <c r="E458" s="79"/>
      <c r="F458" s="79"/>
      <c r="G458" s="79"/>
      <c r="H458" s="79"/>
      <c r="I458" s="23"/>
      <c r="J458" s="27"/>
      <c r="K458" s="27"/>
    </row>
    <row r="459" spans="2:11" x14ac:dyDescent="0.2">
      <c r="B459" s="27"/>
      <c r="C459" s="23"/>
      <c r="D459" s="79"/>
      <c r="E459" s="79"/>
      <c r="F459" s="79"/>
      <c r="G459" s="79"/>
      <c r="H459" s="79"/>
      <c r="I459" s="23"/>
      <c r="J459" s="27"/>
      <c r="K459" s="27"/>
    </row>
    <row r="460" spans="2:11" x14ac:dyDescent="0.2">
      <c r="B460" s="27"/>
      <c r="C460" s="23"/>
      <c r="D460" s="79"/>
      <c r="E460" s="79"/>
      <c r="F460" s="79"/>
      <c r="G460" s="79"/>
      <c r="H460" s="79"/>
      <c r="I460" s="23"/>
      <c r="J460" s="27"/>
      <c r="K460" s="27"/>
    </row>
    <row r="461" spans="2:11" x14ac:dyDescent="0.2">
      <c r="B461" s="27"/>
      <c r="C461" s="23"/>
      <c r="D461" s="79"/>
      <c r="E461" s="79"/>
      <c r="F461" s="79"/>
      <c r="G461" s="79"/>
      <c r="H461" s="79"/>
      <c r="I461" s="23"/>
      <c r="J461" s="27"/>
      <c r="K461" s="27"/>
    </row>
    <row r="462" spans="2:11" x14ac:dyDescent="0.2">
      <c r="B462" s="27"/>
      <c r="C462" s="23"/>
      <c r="D462" s="79"/>
      <c r="E462" s="79"/>
      <c r="F462" s="79"/>
      <c r="G462" s="79"/>
      <c r="H462" s="79"/>
      <c r="I462" s="23"/>
      <c r="J462" s="27"/>
      <c r="K462" s="27"/>
    </row>
    <row r="463" spans="2:11" x14ac:dyDescent="0.2">
      <c r="B463" s="27"/>
      <c r="C463" s="23"/>
      <c r="D463" s="79"/>
      <c r="E463" s="79"/>
      <c r="F463" s="79"/>
      <c r="G463" s="79"/>
      <c r="H463" s="79"/>
      <c r="I463" s="23"/>
      <c r="J463" s="27"/>
      <c r="K463" s="27"/>
    </row>
    <row r="464" spans="2:11" x14ac:dyDescent="0.2">
      <c r="B464" s="27"/>
      <c r="C464" s="23"/>
      <c r="D464" s="79"/>
      <c r="E464" s="79"/>
      <c r="F464" s="79"/>
      <c r="G464" s="79"/>
      <c r="H464" s="79"/>
      <c r="I464" s="23"/>
      <c r="J464" s="27"/>
      <c r="K464" s="27"/>
    </row>
    <row r="465" spans="2:11" x14ac:dyDescent="0.2">
      <c r="B465" s="27"/>
      <c r="C465" s="23"/>
      <c r="D465" s="79"/>
      <c r="E465" s="79"/>
      <c r="F465" s="79"/>
      <c r="G465" s="79"/>
      <c r="H465" s="79"/>
      <c r="I465" s="23"/>
      <c r="J465" s="27"/>
      <c r="K465" s="27"/>
    </row>
    <row r="466" spans="2:11" x14ac:dyDescent="0.2">
      <c r="B466" s="27"/>
      <c r="C466" s="23"/>
      <c r="D466" s="79"/>
      <c r="E466" s="79"/>
      <c r="F466" s="79"/>
      <c r="G466" s="79"/>
      <c r="H466" s="79"/>
      <c r="I466" s="23"/>
      <c r="J466" s="27"/>
      <c r="K466" s="27"/>
    </row>
    <row r="467" spans="2:11" x14ac:dyDescent="0.2">
      <c r="B467" s="27"/>
      <c r="C467" s="23"/>
      <c r="D467" s="79"/>
      <c r="E467" s="79"/>
      <c r="F467" s="79"/>
      <c r="G467" s="79"/>
      <c r="H467" s="79"/>
      <c r="I467" s="23"/>
      <c r="J467" s="27"/>
      <c r="K467" s="27"/>
    </row>
    <row r="468" spans="2:11" x14ac:dyDescent="0.2">
      <c r="B468" s="27"/>
      <c r="C468" s="23"/>
      <c r="D468" s="79"/>
      <c r="E468" s="79"/>
      <c r="F468" s="79"/>
      <c r="G468" s="79"/>
      <c r="H468" s="79"/>
      <c r="I468" s="23"/>
      <c r="J468" s="27"/>
      <c r="K468" s="27"/>
    </row>
    <row r="469" spans="2:11" x14ac:dyDescent="0.2">
      <c r="B469" s="27"/>
      <c r="C469" s="23"/>
      <c r="D469" s="79"/>
      <c r="E469" s="79"/>
      <c r="F469" s="79"/>
      <c r="G469" s="79"/>
      <c r="H469" s="79"/>
      <c r="I469" s="23"/>
      <c r="J469" s="27"/>
      <c r="K469" s="27"/>
    </row>
    <row r="470" spans="2:11" x14ac:dyDescent="0.2">
      <c r="B470" s="27"/>
      <c r="C470" s="23"/>
      <c r="D470" s="79"/>
      <c r="E470" s="79"/>
      <c r="F470" s="79"/>
      <c r="G470" s="79"/>
      <c r="H470" s="79"/>
      <c r="I470" s="23"/>
      <c r="J470" s="27"/>
      <c r="K470" s="27"/>
    </row>
    <row r="471" spans="2:11" x14ac:dyDescent="0.2">
      <c r="B471" s="27"/>
      <c r="C471" s="23"/>
      <c r="D471" s="79"/>
      <c r="E471" s="79"/>
      <c r="F471" s="79"/>
      <c r="G471" s="79"/>
      <c r="H471" s="79"/>
      <c r="I471" s="23"/>
      <c r="J471" s="27"/>
      <c r="K471" s="27"/>
    </row>
    <row r="472" spans="2:11" x14ac:dyDescent="0.2">
      <c r="B472" s="27"/>
      <c r="C472" s="23"/>
      <c r="D472" s="79"/>
      <c r="E472" s="79"/>
      <c r="F472" s="79"/>
      <c r="G472" s="79"/>
      <c r="H472" s="79"/>
      <c r="I472" s="23"/>
      <c r="J472" s="27"/>
      <c r="K472" s="27"/>
    </row>
    <row r="473" spans="2:11" x14ac:dyDescent="0.2">
      <c r="B473" s="27"/>
      <c r="C473" s="23"/>
      <c r="D473" s="79"/>
      <c r="E473" s="79"/>
      <c r="F473" s="79"/>
      <c r="G473" s="79"/>
      <c r="H473" s="79"/>
      <c r="I473" s="23"/>
      <c r="J473" s="27"/>
      <c r="K473" s="27"/>
    </row>
    <row r="474" spans="2:11" x14ac:dyDescent="0.2">
      <c r="B474" s="27"/>
      <c r="C474" s="23"/>
      <c r="D474" s="79"/>
      <c r="E474" s="79"/>
      <c r="F474" s="79"/>
      <c r="G474" s="79"/>
      <c r="H474" s="79"/>
      <c r="I474" s="23"/>
      <c r="J474" s="27"/>
      <c r="K474" s="27"/>
    </row>
    <row r="475" spans="2:11" x14ac:dyDescent="0.2">
      <c r="B475" s="27"/>
      <c r="C475" s="23"/>
      <c r="D475" s="79"/>
      <c r="E475" s="79"/>
      <c r="F475" s="79"/>
      <c r="G475" s="79"/>
      <c r="H475" s="79"/>
      <c r="I475" s="23"/>
      <c r="J475" s="27"/>
      <c r="K475" s="27"/>
    </row>
    <row r="476" spans="2:11" x14ac:dyDescent="0.2">
      <c r="B476" s="27"/>
      <c r="C476" s="23"/>
      <c r="D476" s="79"/>
      <c r="E476" s="79"/>
      <c r="F476" s="79"/>
      <c r="G476" s="79"/>
      <c r="H476" s="79"/>
      <c r="I476" s="23"/>
      <c r="J476" s="27"/>
      <c r="K476" s="27"/>
    </row>
    <row r="477" spans="2:11" x14ac:dyDescent="0.2">
      <c r="B477" s="27"/>
      <c r="C477" s="23"/>
      <c r="D477" s="79"/>
      <c r="E477" s="79"/>
      <c r="F477" s="79"/>
      <c r="G477" s="79"/>
      <c r="H477" s="79"/>
      <c r="I477" s="23"/>
      <c r="J477" s="27"/>
      <c r="K477" s="27"/>
    </row>
    <row r="478" spans="2:11" x14ac:dyDescent="0.2">
      <c r="B478" s="27"/>
      <c r="C478" s="23"/>
      <c r="D478" s="79"/>
      <c r="E478" s="79"/>
      <c r="F478" s="79"/>
      <c r="G478" s="79"/>
      <c r="H478" s="79"/>
      <c r="I478" s="23"/>
      <c r="J478" s="27"/>
      <c r="K478" s="27"/>
    </row>
    <row r="479" spans="2:11" x14ac:dyDescent="0.2">
      <c r="B479" s="27"/>
      <c r="C479" s="23"/>
      <c r="D479" s="79"/>
      <c r="E479" s="79"/>
      <c r="F479" s="79"/>
      <c r="G479" s="79"/>
      <c r="H479" s="79"/>
      <c r="I479" s="23"/>
      <c r="J479" s="27"/>
      <c r="K479" s="27"/>
    </row>
    <row r="480" spans="2:11" x14ac:dyDescent="0.2">
      <c r="B480" s="27"/>
      <c r="C480" s="23"/>
      <c r="D480" s="79"/>
      <c r="E480" s="79"/>
      <c r="F480" s="79"/>
      <c r="G480" s="79"/>
      <c r="H480" s="79"/>
      <c r="I480" s="23"/>
      <c r="J480" s="27"/>
      <c r="K480" s="27"/>
    </row>
    <row r="481" spans="2:11" x14ac:dyDescent="0.2">
      <c r="B481" s="27"/>
      <c r="C481" s="23"/>
      <c r="D481" s="79"/>
      <c r="E481" s="79"/>
      <c r="F481" s="79"/>
      <c r="G481" s="79"/>
      <c r="H481" s="79"/>
      <c r="I481" s="23"/>
      <c r="J481" s="27"/>
      <c r="K481" s="27"/>
    </row>
    <row r="482" spans="2:11" x14ac:dyDescent="0.2">
      <c r="B482" s="27"/>
      <c r="C482" s="23"/>
      <c r="D482" s="79"/>
      <c r="E482" s="79"/>
      <c r="F482" s="79"/>
      <c r="G482" s="79"/>
      <c r="H482" s="79"/>
      <c r="I482" s="23"/>
      <c r="J482" s="27"/>
      <c r="K482" s="27"/>
    </row>
    <row r="483" spans="2:11" x14ac:dyDescent="0.2">
      <c r="B483" s="27"/>
      <c r="C483" s="23"/>
      <c r="D483" s="79"/>
      <c r="E483" s="79"/>
      <c r="F483" s="79"/>
      <c r="G483" s="79"/>
      <c r="H483" s="79"/>
      <c r="I483" s="23"/>
      <c r="J483" s="27"/>
      <c r="K483" s="27"/>
    </row>
    <row r="484" spans="2:11" x14ac:dyDescent="0.2">
      <c r="B484" s="27"/>
      <c r="C484" s="23"/>
      <c r="D484" s="79"/>
      <c r="E484" s="79"/>
      <c r="F484" s="79"/>
      <c r="G484" s="79"/>
      <c r="H484" s="79"/>
      <c r="I484" s="23"/>
      <c r="J484" s="27"/>
      <c r="K484" s="27"/>
    </row>
    <row r="485" spans="2:11" x14ac:dyDescent="0.2">
      <c r="B485" s="27"/>
      <c r="C485" s="23"/>
      <c r="D485" s="79"/>
      <c r="E485" s="79"/>
      <c r="F485" s="79"/>
      <c r="G485" s="79"/>
      <c r="H485" s="79"/>
      <c r="I485" s="23"/>
      <c r="J485" s="27"/>
      <c r="K485" s="27"/>
    </row>
    <row r="486" spans="2:11" x14ac:dyDescent="0.2">
      <c r="B486" s="27"/>
      <c r="C486" s="23"/>
      <c r="D486" s="79"/>
      <c r="E486" s="79"/>
      <c r="F486" s="79"/>
      <c r="G486" s="79"/>
      <c r="H486" s="79"/>
      <c r="I486" s="23"/>
      <c r="J486" s="27"/>
      <c r="K486" s="27"/>
    </row>
    <row r="487" spans="2:11" x14ac:dyDescent="0.2">
      <c r="B487" s="27"/>
      <c r="C487" s="23"/>
      <c r="D487" s="79"/>
      <c r="E487" s="79"/>
      <c r="F487" s="79"/>
      <c r="G487" s="79"/>
      <c r="H487" s="79"/>
      <c r="I487" s="23"/>
      <c r="J487" s="27"/>
      <c r="K487" s="27"/>
    </row>
    <row r="488" spans="2:11" x14ac:dyDescent="0.2">
      <c r="B488" s="27"/>
      <c r="C488" s="23"/>
      <c r="D488" s="79"/>
      <c r="E488" s="79"/>
      <c r="F488" s="79"/>
      <c r="G488" s="79"/>
      <c r="H488" s="79"/>
      <c r="I488" s="23"/>
      <c r="J488" s="27"/>
      <c r="K488" s="27"/>
    </row>
    <row r="489" spans="2:11" x14ac:dyDescent="0.2">
      <c r="B489" s="27"/>
      <c r="C489" s="23"/>
      <c r="D489" s="79"/>
      <c r="E489" s="79"/>
      <c r="F489" s="79"/>
      <c r="G489" s="79"/>
      <c r="H489" s="79"/>
      <c r="I489" s="23"/>
      <c r="J489" s="27"/>
      <c r="K489" s="27"/>
    </row>
    <row r="490" spans="2:11" x14ac:dyDescent="0.2">
      <c r="B490" s="27"/>
      <c r="C490" s="23"/>
      <c r="D490" s="79"/>
      <c r="E490" s="79"/>
      <c r="F490" s="79"/>
      <c r="G490" s="79"/>
      <c r="H490" s="79"/>
      <c r="I490" s="23"/>
      <c r="J490" s="27"/>
      <c r="K490" s="27"/>
    </row>
    <row r="491" spans="2:11" x14ac:dyDescent="0.2">
      <c r="B491" s="27"/>
      <c r="C491" s="23"/>
      <c r="D491" s="79"/>
      <c r="E491" s="79"/>
      <c r="F491" s="79"/>
      <c r="G491" s="79"/>
      <c r="H491" s="79"/>
      <c r="I491" s="23"/>
      <c r="J491" s="27"/>
      <c r="K491" s="27"/>
    </row>
    <row r="492" spans="2:11" x14ac:dyDescent="0.2">
      <c r="B492" s="27"/>
      <c r="C492" s="23"/>
      <c r="D492" s="79"/>
      <c r="E492" s="79"/>
      <c r="F492" s="79"/>
      <c r="G492" s="79"/>
      <c r="H492" s="79"/>
      <c r="I492" s="23"/>
      <c r="J492" s="27"/>
      <c r="K492" s="27"/>
    </row>
    <row r="493" spans="2:11" x14ac:dyDescent="0.2">
      <c r="B493" s="27"/>
      <c r="C493" s="23"/>
      <c r="D493" s="79"/>
      <c r="E493" s="79"/>
      <c r="F493" s="79"/>
      <c r="G493" s="79"/>
      <c r="H493" s="79"/>
      <c r="I493" s="23"/>
      <c r="J493" s="27"/>
      <c r="K493" s="27"/>
    </row>
    <row r="494" spans="2:11" x14ac:dyDescent="0.2">
      <c r="B494" s="27"/>
      <c r="C494" s="23"/>
      <c r="D494" s="79"/>
      <c r="E494" s="79"/>
      <c r="F494" s="79"/>
      <c r="G494" s="79"/>
      <c r="H494" s="79"/>
      <c r="I494" s="23"/>
      <c r="J494" s="27"/>
      <c r="K494" s="27"/>
    </row>
    <row r="495" spans="2:11" x14ac:dyDescent="0.2">
      <c r="B495" s="27"/>
      <c r="C495" s="23"/>
      <c r="D495" s="79"/>
      <c r="E495" s="79"/>
      <c r="F495" s="79"/>
      <c r="G495" s="79"/>
      <c r="H495" s="79"/>
      <c r="I495" s="23"/>
      <c r="J495" s="27"/>
      <c r="K495" s="27"/>
    </row>
    <row r="496" spans="2:11" x14ac:dyDescent="0.2">
      <c r="B496" s="27"/>
      <c r="C496" s="23"/>
      <c r="D496" s="79"/>
      <c r="E496" s="79"/>
      <c r="F496" s="79"/>
      <c r="G496" s="79"/>
      <c r="H496" s="79"/>
      <c r="I496" s="23"/>
      <c r="J496" s="27"/>
      <c r="K496" s="27"/>
    </row>
    <row r="497" spans="2:11" x14ac:dyDescent="0.2">
      <c r="B497" s="27"/>
      <c r="C497" s="23"/>
      <c r="D497" s="79"/>
      <c r="E497" s="79"/>
      <c r="F497" s="79"/>
      <c r="G497" s="79"/>
      <c r="H497" s="79"/>
      <c r="I497" s="23"/>
      <c r="J497" s="27"/>
      <c r="K497" s="27"/>
    </row>
    <row r="498" spans="2:11" x14ac:dyDescent="0.2">
      <c r="B498" s="27"/>
      <c r="C498" s="23"/>
      <c r="D498" s="79"/>
      <c r="E498" s="79"/>
      <c r="F498" s="79"/>
      <c r="G498" s="79"/>
      <c r="H498" s="79"/>
      <c r="I498" s="23"/>
      <c r="J498" s="27"/>
      <c r="K498" s="27"/>
    </row>
    <row r="499" spans="2:11" x14ac:dyDescent="0.2">
      <c r="B499" s="27"/>
      <c r="C499" s="23"/>
      <c r="D499" s="79"/>
      <c r="E499" s="79"/>
      <c r="F499" s="79"/>
      <c r="G499" s="79"/>
      <c r="H499" s="79"/>
      <c r="I499" s="23"/>
      <c r="J499" s="27"/>
      <c r="K499" s="27"/>
    </row>
    <row r="500" spans="2:11" x14ac:dyDescent="0.2">
      <c r="B500" s="27"/>
      <c r="C500" s="23"/>
      <c r="D500" s="79"/>
      <c r="E500" s="79"/>
      <c r="F500" s="79"/>
      <c r="G500" s="79"/>
      <c r="H500" s="79"/>
      <c r="I500" s="23"/>
      <c r="J500" s="27"/>
      <c r="K500" s="27"/>
    </row>
    <row r="501" spans="2:11" x14ac:dyDescent="0.2">
      <c r="B501" s="27"/>
      <c r="C501" s="23"/>
      <c r="D501" s="79"/>
      <c r="E501" s="79"/>
      <c r="F501" s="79"/>
      <c r="G501" s="79"/>
      <c r="H501" s="79"/>
      <c r="I501" s="23"/>
      <c r="J501" s="27"/>
      <c r="K501" s="27"/>
    </row>
    <row r="502" spans="2:11" x14ac:dyDescent="0.2">
      <c r="B502" s="27"/>
      <c r="C502" s="23"/>
      <c r="D502" s="79"/>
      <c r="E502" s="79"/>
      <c r="F502" s="79"/>
      <c r="G502" s="79"/>
      <c r="H502" s="79"/>
      <c r="I502" s="23"/>
      <c r="J502" s="27"/>
      <c r="K502" s="27"/>
    </row>
    <row r="503" spans="2:11" x14ac:dyDescent="0.2">
      <c r="B503" s="27"/>
      <c r="C503" s="23"/>
      <c r="D503" s="79"/>
      <c r="E503" s="79"/>
      <c r="F503" s="79"/>
      <c r="G503" s="79"/>
      <c r="H503" s="79"/>
      <c r="I503" s="23"/>
      <c r="J503" s="27"/>
      <c r="K503" s="27"/>
    </row>
    <row r="504" spans="2:11" x14ac:dyDescent="0.2">
      <c r="B504" s="27"/>
      <c r="C504" s="23"/>
      <c r="D504" s="79"/>
      <c r="E504" s="79"/>
      <c r="F504" s="79"/>
      <c r="G504" s="79"/>
      <c r="H504" s="79"/>
      <c r="I504" s="23"/>
      <c r="J504" s="27"/>
      <c r="K504" s="27"/>
    </row>
    <row r="505" spans="2:11" x14ac:dyDescent="0.2">
      <c r="B505" s="27"/>
      <c r="C505" s="23"/>
      <c r="D505" s="79"/>
      <c r="E505" s="79"/>
      <c r="F505" s="79"/>
      <c r="G505" s="79"/>
      <c r="H505" s="79"/>
      <c r="I505" s="23"/>
      <c r="J505" s="27"/>
      <c r="K505" s="27"/>
    </row>
    <row r="506" spans="2:11" x14ac:dyDescent="0.2">
      <c r="B506" s="27"/>
      <c r="C506" s="23"/>
      <c r="D506" s="79"/>
      <c r="E506" s="79"/>
      <c r="F506" s="79"/>
      <c r="G506" s="79"/>
      <c r="H506" s="79"/>
      <c r="I506" s="23"/>
      <c r="J506" s="27"/>
      <c r="K506" s="27"/>
    </row>
    <row r="507" spans="2:11" x14ac:dyDescent="0.2">
      <c r="B507" s="27"/>
      <c r="C507" s="23"/>
      <c r="D507" s="79"/>
      <c r="E507" s="79"/>
      <c r="F507" s="79"/>
      <c r="G507" s="79"/>
      <c r="H507" s="79"/>
      <c r="I507" s="23"/>
      <c r="J507" s="27"/>
      <c r="K507" s="27"/>
    </row>
    <row r="508" spans="2:11" x14ac:dyDescent="0.2">
      <c r="B508" s="27"/>
      <c r="C508" s="23"/>
      <c r="D508" s="79"/>
      <c r="E508" s="79"/>
      <c r="F508" s="79"/>
      <c r="G508" s="79"/>
      <c r="H508" s="79"/>
      <c r="I508" s="23"/>
      <c r="J508" s="27"/>
      <c r="K508" s="27"/>
    </row>
    <row r="509" spans="2:11" x14ac:dyDescent="0.2">
      <c r="B509" s="27"/>
      <c r="C509" s="23"/>
      <c r="D509" s="79"/>
      <c r="E509" s="79"/>
      <c r="F509" s="79"/>
      <c r="G509" s="79"/>
      <c r="H509" s="79"/>
      <c r="I509" s="23"/>
      <c r="J509" s="27"/>
      <c r="K509" s="27"/>
    </row>
    <row r="510" spans="2:11" x14ac:dyDescent="0.2">
      <c r="B510" s="27"/>
      <c r="C510" s="23"/>
      <c r="D510" s="79"/>
      <c r="E510" s="79"/>
      <c r="F510" s="79"/>
      <c r="G510" s="79"/>
      <c r="H510" s="79"/>
      <c r="I510" s="23"/>
      <c r="J510" s="27"/>
      <c r="K510" s="27"/>
    </row>
    <row r="511" spans="2:11" x14ac:dyDescent="0.2">
      <c r="B511" s="27"/>
      <c r="C511" s="23"/>
      <c r="D511" s="79"/>
      <c r="E511" s="79"/>
      <c r="F511" s="79"/>
      <c r="G511" s="79"/>
      <c r="H511" s="79"/>
      <c r="I511" s="23"/>
      <c r="J511" s="27"/>
      <c r="K511" s="27"/>
    </row>
    <row r="512" spans="2:11" x14ac:dyDescent="0.2">
      <c r="B512" s="27"/>
      <c r="C512" s="23"/>
      <c r="D512" s="79"/>
      <c r="E512" s="79"/>
      <c r="F512" s="79"/>
      <c r="G512" s="79"/>
      <c r="H512" s="79"/>
      <c r="I512" s="23"/>
      <c r="J512" s="27"/>
      <c r="K512" s="27"/>
    </row>
    <row r="513" spans="2:11" x14ac:dyDescent="0.2">
      <c r="B513" s="27"/>
      <c r="C513" s="23"/>
      <c r="D513" s="79"/>
      <c r="E513" s="79"/>
      <c r="F513" s="79"/>
      <c r="G513" s="79"/>
      <c r="H513" s="79"/>
      <c r="I513" s="23"/>
      <c r="J513" s="27"/>
      <c r="K513" s="27"/>
    </row>
    <row r="514" spans="2:11" x14ac:dyDescent="0.2">
      <c r="B514" s="27"/>
      <c r="C514" s="23"/>
      <c r="D514" s="79"/>
      <c r="E514" s="79"/>
      <c r="F514" s="79"/>
      <c r="G514" s="79"/>
      <c r="H514" s="79"/>
      <c r="I514" s="23"/>
      <c r="J514" s="27"/>
      <c r="K514" s="27"/>
    </row>
    <row r="515" spans="2:11" x14ac:dyDescent="0.2">
      <c r="B515" s="27"/>
      <c r="C515" s="23"/>
      <c r="D515" s="79"/>
      <c r="E515" s="79"/>
      <c r="F515" s="79"/>
      <c r="G515" s="79"/>
      <c r="H515" s="79"/>
      <c r="I515" s="23"/>
      <c r="J515" s="27"/>
      <c r="K515" s="27"/>
    </row>
    <row r="516" spans="2:11" x14ac:dyDescent="0.2">
      <c r="B516" s="27"/>
      <c r="C516" s="23"/>
      <c r="D516" s="79"/>
      <c r="E516" s="79"/>
      <c r="F516" s="79"/>
      <c r="G516" s="79"/>
      <c r="H516" s="79"/>
      <c r="I516" s="23"/>
      <c r="J516" s="27"/>
      <c r="K516" s="27"/>
    </row>
    <row r="517" spans="2:11" x14ac:dyDescent="0.2">
      <c r="B517" s="27"/>
      <c r="C517" s="23"/>
      <c r="D517" s="79"/>
      <c r="E517" s="79"/>
      <c r="F517" s="79"/>
      <c r="G517" s="79"/>
      <c r="H517" s="79"/>
      <c r="I517" s="23"/>
      <c r="J517" s="27"/>
      <c r="K517" s="27"/>
    </row>
    <row r="518" spans="2:11" x14ac:dyDescent="0.2">
      <c r="B518" s="27"/>
      <c r="C518" s="23"/>
      <c r="D518" s="79"/>
      <c r="E518" s="79"/>
      <c r="F518" s="79"/>
      <c r="G518" s="79"/>
      <c r="H518" s="79"/>
      <c r="I518" s="23"/>
      <c r="J518" s="27"/>
      <c r="K518" s="27"/>
    </row>
    <row r="519" spans="2:11" x14ac:dyDescent="0.2">
      <c r="B519" s="27"/>
      <c r="C519" s="23"/>
      <c r="D519" s="79"/>
      <c r="E519" s="79"/>
      <c r="F519" s="79"/>
      <c r="G519" s="79"/>
      <c r="H519" s="79"/>
      <c r="I519" s="23"/>
      <c r="J519" s="27"/>
      <c r="K519" s="27"/>
    </row>
    <row r="520" spans="2:11" x14ac:dyDescent="0.2">
      <c r="B520" s="27"/>
      <c r="C520" s="23"/>
      <c r="D520" s="79"/>
      <c r="E520" s="79"/>
      <c r="F520" s="79"/>
      <c r="G520" s="79"/>
      <c r="H520" s="79"/>
      <c r="I520" s="23"/>
      <c r="J520" s="27"/>
      <c r="K520" s="27"/>
    </row>
    <row r="521" spans="2:11" x14ac:dyDescent="0.2">
      <c r="B521" s="27"/>
      <c r="C521" s="23"/>
      <c r="D521" s="79"/>
      <c r="E521" s="79"/>
      <c r="F521" s="79"/>
      <c r="G521" s="79"/>
      <c r="H521" s="79"/>
      <c r="I521" s="23"/>
      <c r="J521" s="27"/>
      <c r="K521" s="27"/>
    </row>
    <row r="522" spans="2:11" x14ac:dyDescent="0.2">
      <c r="B522" s="27"/>
      <c r="C522" s="23"/>
      <c r="D522" s="79"/>
      <c r="E522" s="79"/>
      <c r="F522" s="79"/>
      <c r="G522" s="79"/>
      <c r="H522" s="79"/>
      <c r="I522" s="23"/>
      <c r="J522" s="27"/>
      <c r="K522" s="27"/>
    </row>
    <row r="523" spans="2:11" x14ac:dyDescent="0.2">
      <c r="B523" s="27"/>
      <c r="C523" s="23"/>
      <c r="D523" s="79"/>
      <c r="E523" s="79"/>
      <c r="F523" s="79"/>
      <c r="G523" s="79"/>
      <c r="H523" s="79"/>
      <c r="I523" s="23"/>
      <c r="J523" s="27"/>
      <c r="K523" s="27"/>
    </row>
    <row r="524" spans="2:11" x14ac:dyDescent="0.2">
      <c r="B524" s="27"/>
      <c r="C524" s="23"/>
      <c r="D524" s="79"/>
      <c r="E524" s="79"/>
      <c r="F524" s="79"/>
      <c r="G524" s="79"/>
      <c r="H524" s="79"/>
      <c r="I524" s="23"/>
      <c r="J524" s="27"/>
      <c r="K524" s="27"/>
    </row>
    <row r="525" spans="2:11" x14ac:dyDescent="0.2">
      <c r="B525" s="27"/>
      <c r="C525" s="23"/>
      <c r="D525" s="79"/>
      <c r="E525" s="79"/>
      <c r="F525" s="79"/>
      <c r="G525" s="79"/>
      <c r="H525" s="79"/>
      <c r="I525" s="23"/>
      <c r="J525" s="27"/>
      <c r="K525" s="27"/>
    </row>
    <row r="526" spans="2:11" x14ac:dyDescent="0.2">
      <c r="B526" s="27"/>
      <c r="C526" s="23"/>
      <c r="D526" s="79"/>
      <c r="E526" s="79"/>
      <c r="F526" s="79"/>
      <c r="G526" s="79"/>
      <c r="H526" s="79"/>
      <c r="I526" s="23"/>
      <c r="J526" s="27"/>
      <c r="K526" s="27"/>
    </row>
    <row r="527" spans="2:11" x14ac:dyDescent="0.2">
      <c r="B527" s="27"/>
      <c r="C527" s="23"/>
      <c r="D527" s="79"/>
      <c r="E527" s="79"/>
      <c r="F527" s="79"/>
      <c r="G527" s="79"/>
      <c r="H527" s="79"/>
      <c r="I527" s="23"/>
      <c r="J527" s="27"/>
      <c r="K527" s="27"/>
    </row>
    <row r="528" spans="2:11" x14ac:dyDescent="0.2">
      <c r="B528" s="27"/>
      <c r="C528" s="23"/>
      <c r="D528" s="79"/>
      <c r="E528" s="79"/>
      <c r="F528" s="79"/>
      <c r="G528" s="79"/>
      <c r="H528" s="79"/>
      <c r="I528" s="23"/>
      <c r="J528" s="27"/>
      <c r="K528" s="27"/>
    </row>
    <row r="529" spans="2:11" x14ac:dyDescent="0.2">
      <c r="B529" s="27"/>
      <c r="C529" s="23"/>
      <c r="D529" s="79"/>
      <c r="E529" s="79"/>
      <c r="F529" s="79"/>
      <c r="G529" s="79"/>
      <c r="H529" s="79"/>
      <c r="I529" s="23"/>
      <c r="J529" s="27"/>
      <c r="K529" s="27"/>
    </row>
    <row r="530" spans="2:11" x14ac:dyDescent="0.2">
      <c r="B530" s="27"/>
      <c r="C530" s="23"/>
      <c r="D530" s="79"/>
      <c r="E530" s="79"/>
      <c r="F530" s="79"/>
      <c r="G530" s="79"/>
      <c r="H530" s="79"/>
      <c r="I530" s="23"/>
      <c r="J530" s="27"/>
      <c r="K530" s="27"/>
    </row>
    <row r="531" spans="2:11" x14ac:dyDescent="0.2">
      <c r="B531" s="27"/>
      <c r="C531" s="23"/>
      <c r="D531" s="79"/>
      <c r="E531" s="79"/>
      <c r="F531" s="79"/>
      <c r="G531" s="79"/>
      <c r="H531" s="79"/>
      <c r="I531" s="23"/>
      <c r="J531" s="27"/>
      <c r="K531" s="27"/>
    </row>
    <row r="532" spans="2:11" x14ac:dyDescent="0.2">
      <c r="B532" s="27"/>
      <c r="C532" s="23"/>
      <c r="D532" s="79"/>
      <c r="E532" s="79"/>
      <c r="F532" s="79"/>
      <c r="G532" s="79"/>
      <c r="H532" s="79"/>
      <c r="I532" s="23"/>
      <c r="J532" s="27"/>
      <c r="K532" s="27"/>
    </row>
    <row r="533" spans="2:11" x14ac:dyDescent="0.2">
      <c r="B533" s="27"/>
      <c r="C533" s="23"/>
      <c r="D533" s="79"/>
      <c r="E533" s="79"/>
      <c r="F533" s="79"/>
      <c r="G533" s="79"/>
      <c r="H533" s="79"/>
      <c r="I533" s="23"/>
      <c r="J533" s="27"/>
      <c r="K533" s="27"/>
    </row>
    <row r="534" spans="2:11" x14ac:dyDescent="0.2">
      <c r="B534" s="27"/>
      <c r="C534" s="23"/>
      <c r="D534" s="79"/>
      <c r="E534" s="79"/>
      <c r="F534" s="79"/>
      <c r="G534" s="79"/>
      <c r="H534" s="79"/>
      <c r="I534" s="23"/>
      <c r="J534" s="27"/>
      <c r="K534" s="27"/>
    </row>
    <row r="535" spans="2:11" x14ac:dyDescent="0.2">
      <c r="B535" s="27"/>
      <c r="C535" s="23"/>
      <c r="D535" s="79"/>
      <c r="E535" s="79"/>
      <c r="F535" s="79"/>
      <c r="G535" s="79"/>
      <c r="H535" s="79"/>
      <c r="I535" s="23"/>
      <c r="J535" s="27"/>
      <c r="K535" s="27"/>
    </row>
  </sheetData>
  <mergeCells count="39">
    <mergeCell ref="AG5:AH5"/>
    <mergeCell ref="AG6:AH6"/>
    <mergeCell ref="AA6:AB6"/>
    <mergeCell ref="AD98:AE98"/>
    <mergeCell ref="AG98:AH98"/>
    <mergeCell ref="AA5:AB5"/>
    <mergeCell ref="AY5:AZ5"/>
    <mergeCell ref="AV6:AW6"/>
    <mergeCell ref="AJ5:AK5"/>
    <mergeCell ref="AM5:AN5"/>
    <mergeCell ref="AJ6:AK6"/>
    <mergeCell ref="AP5:AQ5"/>
    <mergeCell ref="AS5:AT5"/>
    <mergeCell ref="AP6:AQ6"/>
    <mergeCell ref="AV5:AW5"/>
    <mergeCell ref="AD5:AE5"/>
    <mergeCell ref="AD6:AE6"/>
    <mergeCell ref="AA98:AB98"/>
    <mergeCell ref="B1:AB1"/>
    <mergeCell ref="B2:AB2"/>
    <mergeCell ref="P6:R6"/>
    <mergeCell ref="W5:Y5"/>
    <mergeCell ref="W6:Y6"/>
    <mergeCell ref="C6:F6"/>
    <mergeCell ref="T5:U5"/>
    <mergeCell ref="P100:Q100"/>
    <mergeCell ref="AA99:AB99"/>
    <mergeCell ref="T98:U98"/>
    <mergeCell ref="I98:K98"/>
    <mergeCell ref="W98:Y98"/>
    <mergeCell ref="P99:Q99"/>
    <mergeCell ref="P98:R98"/>
    <mergeCell ref="C5:F5"/>
    <mergeCell ref="P5:R5"/>
    <mergeCell ref="T6:U6"/>
    <mergeCell ref="I5:K5"/>
    <mergeCell ref="I6:K6"/>
    <mergeCell ref="M6:N6"/>
    <mergeCell ref="M5:N5"/>
  </mergeCells>
  <phoneticPr fontId="0" type="noConversion"/>
  <printOptions horizontalCentered="1"/>
  <pageMargins left="0.25" right="0" top="0.42" bottom="0.72" header="0.26" footer="0.26"/>
  <pageSetup paperSize="3" scale="71" orientation="landscape" horizontalDpi="300" verticalDpi="300" copies="2" r:id="rId1"/>
  <headerFooter alignWithMargins="0">
    <oddFooter>&amp;L&amp;F  -  &amp;A
REVISION NO. 1 (02.07.02)&amp;CPage  &amp;P  of  &amp;N
&amp;"Arial,Bold"SENSITIVE AND CONFIDENTIAL INFORMATION&amp;RiDATE - February 7, 2002
Print Date - &amp;D  - 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52"/>
  <sheetViews>
    <sheetView zoomScale="88" workbookViewId="0"/>
  </sheetViews>
  <sheetFormatPr defaultRowHeight="12.75" x14ac:dyDescent="0.2"/>
  <cols>
    <col min="1" max="1" width="9.140625" style="1"/>
    <col min="2" max="2" width="25.5703125" style="1" bestFit="1" customWidth="1"/>
    <col min="3" max="3" width="7.7109375" style="1" customWidth="1"/>
    <col min="4" max="4" width="13.140625" style="1" bestFit="1" customWidth="1"/>
    <col min="5" max="5" width="12.7109375" style="1" customWidth="1"/>
    <col min="6" max="6" width="2.7109375" style="15" customWidth="1"/>
    <col min="7" max="7" width="13.140625" style="32" bestFit="1" customWidth="1"/>
    <col min="8" max="8" width="12.7109375" style="1" customWidth="1"/>
    <col min="9" max="9" width="2.7109375" style="15" customWidth="1"/>
    <col min="10" max="16384" width="9.140625" style="1"/>
  </cols>
  <sheetData>
    <row r="1" spans="2:30" ht="15.75" x14ac:dyDescent="0.25">
      <c r="B1" s="234" t="s">
        <v>22</v>
      </c>
      <c r="C1" s="234"/>
      <c r="D1" s="234"/>
      <c r="E1" s="234"/>
      <c r="F1" s="234"/>
      <c r="G1" s="234"/>
      <c r="H1" s="234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</row>
    <row r="2" spans="2:30" ht="15.75" x14ac:dyDescent="0.25">
      <c r="B2" s="234" t="s">
        <v>37</v>
      </c>
      <c r="C2" s="234"/>
      <c r="D2" s="234"/>
      <c r="E2" s="234"/>
      <c r="F2" s="234"/>
      <c r="G2" s="234"/>
      <c r="H2" s="234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</row>
    <row r="4" spans="2:30" ht="18.75" x14ac:dyDescent="0.3">
      <c r="B4" s="232" t="s">
        <v>104</v>
      </c>
      <c r="C4" s="232"/>
      <c r="D4" s="232"/>
      <c r="E4" s="232"/>
      <c r="F4" s="232"/>
      <c r="G4" s="232"/>
      <c r="H4" s="232"/>
    </row>
    <row r="5" spans="2:30" ht="13.5" thickBot="1" x14ac:dyDescent="0.25"/>
    <row r="6" spans="2:30" ht="6" customHeight="1" x14ac:dyDescent="0.2">
      <c r="B6" s="54"/>
      <c r="C6" s="54"/>
      <c r="D6" s="54"/>
      <c r="E6" s="54"/>
      <c r="G6" s="53"/>
      <c r="H6" s="54"/>
    </row>
    <row r="7" spans="2:30" x14ac:dyDescent="0.2">
      <c r="G7" s="235" t="s">
        <v>102</v>
      </c>
      <c r="H7" s="235"/>
      <c r="I7" s="121"/>
    </row>
    <row r="8" spans="2:30" x14ac:dyDescent="0.2">
      <c r="C8" s="233" t="s">
        <v>105</v>
      </c>
      <c r="D8" s="233"/>
      <c r="E8" s="233"/>
      <c r="G8" s="235" t="s">
        <v>101</v>
      </c>
      <c r="H8" s="235"/>
      <c r="I8" s="121"/>
    </row>
    <row r="9" spans="2:30" ht="6" customHeight="1" thickBot="1" x14ac:dyDescent="0.25"/>
    <row r="10" spans="2:30" ht="6" customHeight="1" x14ac:dyDescent="0.2">
      <c r="B10" s="204"/>
      <c r="C10" s="204"/>
      <c r="D10" s="204"/>
      <c r="E10" s="204"/>
      <c r="G10" s="192"/>
      <c r="H10" s="193"/>
    </row>
    <row r="11" spans="2:30" s="49" customFormat="1" x14ac:dyDescent="0.2">
      <c r="B11" s="205" t="s">
        <v>97</v>
      </c>
      <c r="C11" s="205"/>
      <c r="D11" s="206" t="s">
        <v>3</v>
      </c>
      <c r="E11" s="205" t="s">
        <v>85</v>
      </c>
      <c r="F11" s="180"/>
      <c r="G11" s="194" t="s">
        <v>3</v>
      </c>
      <c r="H11" s="195" t="s">
        <v>85</v>
      </c>
      <c r="I11" s="191"/>
    </row>
    <row r="12" spans="2:30" ht="6" customHeight="1" thickBot="1" x14ac:dyDescent="0.25">
      <c r="B12" s="207"/>
      <c r="C12" s="207"/>
      <c r="D12" s="207"/>
      <c r="E12" s="207"/>
      <c r="G12" s="196"/>
      <c r="H12" s="197"/>
    </row>
    <row r="13" spans="2:30" ht="6" customHeight="1" x14ac:dyDescent="0.2"/>
    <row r="14" spans="2:30" x14ac:dyDescent="0.2">
      <c r="B14" s="1" t="s">
        <v>92</v>
      </c>
      <c r="D14" s="140">
        <f>258357+7952</f>
        <v>266309</v>
      </c>
      <c r="E14" s="179">
        <f>D14/$D$21</f>
        <v>0.52128729926321471</v>
      </c>
      <c r="G14" s="140">
        <f>300000</f>
        <v>300000</v>
      </c>
      <c r="H14" s="199">
        <f>G14/$G$21</f>
        <v>0.31771549847973135</v>
      </c>
    </row>
    <row r="15" spans="2:30" x14ac:dyDescent="0.2">
      <c r="B15" s="1" t="s">
        <v>93</v>
      </c>
      <c r="D15" s="32">
        <v>217386</v>
      </c>
      <c r="E15" s="179">
        <f>D15/$D$21</f>
        <v>0.42552283564443261</v>
      </c>
      <c r="G15" s="32">
        <f>587574</f>
        <v>587574</v>
      </c>
      <c r="H15" s="199">
        <f>G15/$G$21</f>
        <v>0.62227122101243226</v>
      </c>
    </row>
    <row r="16" spans="2:30" ht="6" customHeight="1" x14ac:dyDescent="0.2">
      <c r="D16" s="32"/>
      <c r="E16" s="179"/>
      <c r="H16" s="199"/>
    </row>
    <row r="17" spans="2:8" x14ac:dyDescent="0.2">
      <c r="B17" s="1" t="s">
        <v>8</v>
      </c>
      <c r="C17" s="190">
        <f>D17/D15</f>
        <v>4.9998619966327179E-2</v>
      </c>
      <c r="D17" s="32">
        <f>10869</f>
        <v>10869</v>
      </c>
      <c r="E17" s="179">
        <f>D17/$D$21</f>
        <v>2.1275554546379888E-2</v>
      </c>
      <c r="G17" s="32">
        <f>20877</f>
        <v>20877</v>
      </c>
      <c r="H17" s="199">
        <f>G17/$G$21</f>
        <v>2.2109821539204502E-2</v>
      </c>
    </row>
    <row r="18" spans="2:8" x14ac:dyDescent="0.2">
      <c r="B18" s="1" t="s">
        <v>9</v>
      </c>
      <c r="C18" s="190">
        <f>D18/D15</f>
        <v>7.5000230005612137E-2</v>
      </c>
      <c r="D18" s="32">
        <f>16304</f>
        <v>16304</v>
      </c>
      <c r="E18" s="179">
        <f>D18/$D$21</f>
        <v>3.1914310545972734E-2</v>
      </c>
      <c r="G18" s="32">
        <f>35790</f>
        <v>35790</v>
      </c>
      <c r="H18" s="199">
        <f>G18/$G$21</f>
        <v>3.7903458968631946E-2</v>
      </c>
    </row>
    <row r="19" spans="2:8" ht="6" customHeight="1" x14ac:dyDescent="0.2">
      <c r="B19" s="185"/>
      <c r="C19" s="185"/>
      <c r="D19" s="105"/>
      <c r="E19" s="185"/>
      <c r="G19" s="105"/>
      <c r="H19" s="200"/>
    </row>
    <row r="20" spans="2:8" ht="6" customHeight="1" x14ac:dyDescent="0.2">
      <c r="D20" s="32"/>
      <c r="H20" s="27"/>
    </row>
    <row r="21" spans="2:8" x14ac:dyDescent="0.2">
      <c r="B21" s="208" t="s">
        <v>103</v>
      </c>
      <c r="C21" s="208"/>
      <c r="D21" s="209">
        <f>SUM(D14:D20)</f>
        <v>510868</v>
      </c>
      <c r="E21" s="210">
        <f>D21/$D$21</f>
        <v>1</v>
      </c>
      <c r="F21" s="181"/>
      <c r="G21" s="198">
        <f>SUM(G14:G20)</f>
        <v>944241</v>
      </c>
      <c r="H21" s="201">
        <f>G21/$G$21</f>
        <v>1</v>
      </c>
    </row>
    <row r="22" spans="2:8" x14ac:dyDescent="0.2">
      <c r="D22" s="32"/>
      <c r="H22" s="27"/>
    </row>
    <row r="23" spans="2:8" x14ac:dyDescent="0.2">
      <c r="B23" s="1" t="s">
        <v>66</v>
      </c>
      <c r="D23" s="32">
        <f>15000</f>
        <v>15000</v>
      </c>
      <c r="E23" s="179">
        <f t="shared" ref="E23:E31" si="0">D23/$D$21</f>
        <v>2.9361792087192778E-2</v>
      </c>
      <c r="G23" s="32">
        <v>22940</v>
      </c>
      <c r="H23" s="199">
        <f t="shared" ref="H23:H28" si="1">G23/$G$21</f>
        <v>2.4294645117083458E-2</v>
      </c>
    </row>
    <row r="24" spans="2:8" x14ac:dyDescent="0.2">
      <c r="B24" s="1" t="s">
        <v>98</v>
      </c>
      <c r="D24" s="32">
        <f>25000</f>
        <v>25000</v>
      </c>
      <c r="E24" s="179">
        <f t="shared" si="0"/>
        <v>4.8936320145321295E-2</v>
      </c>
      <c r="G24" s="212" t="s">
        <v>106</v>
      </c>
      <c r="H24" s="199"/>
    </row>
    <row r="25" spans="2:8" x14ac:dyDescent="0.2">
      <c r="B25" s="1" t="s">
        <v>99</v>
      </c>
      <c r="D25" s="32">
        <f>8000</f>
        <v>8000</v>
      </c>
      <c r="E25" s="179">
        <f t="shared" si="0"/>
        <v>1.5659622446502815E-2</v>
      </c>
      <c r="G25" s="212" t="s">
        <v>106</v>
      </c>
      <c r="H25" s="199"/>
    </row>
    <row r="26" spans="2:8" x14ac:dyDescent="0.2">
      <c r="B26" s="1" t="s">
        <v>11</v>
      </c>
      <c r="D26" s="32">
        <f>20000</f>
        <v>20000</v>
      </c>
      <c r="E26" s="179">
        <f t="shared" si="0"/>
        <v>3.914905611625704E-2</v>
      </c>
      <c r="G26" s="32">
        <v>37813</v>
      </c>
      <c r="H26" s="199">
        <f t="shared" si="1"/>
        <v>4.0045920480046938E-2</v>
      </c>
    </row>
    <row r="27" spans="2:8" x14ac:dyDescent="0.2">
      <c r="B27" s="1" t="s">
        <v>117</v>
      </c>
      <c r="D27" s="32">
        <f>52500</f>
        <v>52500</v>
      </c>
      <c r="E27" s="179">
        <f t="shared" si="0"/>
        <v>0.10276627230517472</v>
      </c>
      <c r="G27" s="32">
        <f>80243</f>
        <v>80243</v>
      </c>
      <c r="H27" s="199">
        <f t="shared" si="1"/>
        <v>8.4981482481696943E-2</v>
      </c>
    </row>
    <row r="28" spans="2:8" x14ac:dyDescent="0.2">
      <c r="B28" s="1" t="s">
        <v>15</v>
      </c>
      <c r="D28" s="32">
        <f>5000</f>
        <v>5000</v>
      </c>
      <c r="E28" s="179">
        <f t="shared" si="0"/>
        <v>9.7872640290642601E-3</v>
      </c>
      <c r="G28" s="32">
        <f>10000</f>
        <v>10000</v>
      </c>
      <c r="H28" s="199">
        <f t="shared" si="1"/>
        <v>1.0590516615991044E-2</v>
      </c>
    </row>
    <row r="29" spans="2:8" ht="6" customHeight="1" x14ac:dyDescent="0.2">
      <c r="D29" s="32"/>
      <c r="H29" s="27"/>
    </row>
    <row r="30" spans="2:8" x14ac:dyDescent="0.2">
      <c r="B30" s="1" t="s">
        <v>94</v>
      </c>
      <c r="D30" s="32">
        <f>20000</f>
        <v>20000</v>
      </c>
      <c r="E30" s="179">
        <f t="shared" si="0"/>
        <v>3.914905611625704E-2</v>
      </c>
      <c r="G30" s="32">
        <f>0</f>
        <v>0</v>
      </c>
      <c r="H30" s="199">
        <f>G30/$G$21</f>
        <v>0</v>
      </c>
    </row>
    <row r="31" spans="2:8" x14ac:dyDescent="0.2">
      <c r="B31" s="1" t="s">
        <v>38</v>
      </c>
      <c r="D31" s="32">
        <f>12000</f>
        <v>12000</v>
      </c>
      <c r="E31" s="179">
        <f t="shared" si="0"/>
        <v>2.3489433669754221E-2</v>
      </c>
      <c r="G31" s="32">
        <f>11865</f>
        <v>11865</v>
      </c>
      <c r="H31" s="199">
        <f>G31/$G$21</f>
        <v>1.2565647964873375E-2</v>
      </c>
    </row>
    <row r="32" spans="2:8" ht="6" customHeight="1" x14ac:dyDescent="0.2">
      <c r="B32" s="185"/>
      <c r="C32" s="185"/>
      <c r="D32" s="105"/>
      <c r="E32" s="185"/>
      <c r="G32" s="105"/>
      <c r="H32" s="200"/>
    </row>
    <row r="33" spans="2:8" ht="6" customHeight="1" x14ac:dyDescent="0.2">
      <c r="D33" s="32"/>
      <c r="H33" s="27"/>
    </row>
    <row r="34" spans="2:8" ht="15.75" x14ac:dyDescent="0.25">
      <c r="B34" s="208" t="s">
        <v>95</v>
      </c>
      <c r="C34" s="208"/>
      <c r="D34" s="209">
        <f>SUM(D23:D33)</f>
        <v>157500</v>
      </c>
      <c r="E34" s="215">
        <f>D34/$D$21</f>
        <v>0.30829881691552419</v>
      </c>
      <c r="F34" s="181"/>
      <c r="G34" s="198">
        <f>SUM(G23:G33)</f>
        <v>162861</v>
      </c>
      <c r="H34" s="216">
        <f>G34/$G$21</f>
        <v>0.17247821265969177</v>
      </c>
    </row>
    <row r="35" spans="2:8" ht="13.5" thickBot="1" x14ac:dyDescent="0.25">
      <c r="B35" s="184"/>
      <c r="C35" s="184"/>
      <c r="D35" s="120"/>
      <c r="E35" s="184"/>
      <c r="G35" s="120"/>
      <c r="H35" s="202"/>
    </row>
    <row r="36" spans="2:8" ht="6" customHeight="1" x14ac:dyDescent="0.2">
      <c r="D36" s="32"/>
      <c r="H36" s="27"/>
    </row>
    <row r="37" spans="2:8" x14ac:dyDescent="0.2">
      <c r="B37" s="208" t="s">
        <v>34</v>
      </c>
      <c r="C37" s="208"/>
      <c r="D37" s="209">
        <f>D34+D21</f>
        <v>668368</v>
      </c>
      <c r="E37" s="210">
        <f>D37/$D$21</f>
        <v>1.3082988169155241</v>
      </c>
      <c r="F37" s="181"/>
      <c r="G37" s="198">
        <f>G34+G21</f>
        <v>1107102</v>
      </c>
      <c r="H37" s="201">
        <f>G37/$G$21</f>
        <v>1.1724782126596918</v>
      </c>
    </row>
    <row r="38" spans="2:8" x14ac:dyDescent="0.2">
      <c r="D38" s="32"/>
      <c r="H38" s="27"/>
    </row>
    <row r="39" spans="2:8" x14ac:dyDescent="0.2">
      <c r="B39" s="1" t="s">
        <v>29</v>
      </c>
      <c r="C39" s="190">
        <f>D39/D37</f>
        <v>0</v>
      </c>
      <c r="D39" s="32">
        <v>0</v>
      </c>
      <c r="E39" s="179">
        <f t="shared" ref="E39:E44" si="2">D39/$D$21</f>
        <v>0</v>
      </c>
      <c r="G39" s="32">
        <v>0</v>
      </c>
      <c r="H39" s="199">
        <f t="shared" ref="H39:H44" si="3">G39/$G$21</f>
        <v>0</v>
      </c>
    </row>
    <row r="40" spans="2:8" x14ac:dyDescent="0.2">
      <c r="B40" s="1" t="s">
        <v>17</v>
      </c>
      <c r="C40" s="190">
        <f>D40/(D39+D37)</f>
        <v>0.10000029923634884</v>
      </c>
      <c r="D40" s="32">
        <f>66837</f>
        <v>66837</v>
      </c>
      <c r="E40" s="179">
        <f t="shared" si="2"/>
        <v>0.13083027318211357</v>
      </c>
      <c r="G40" s="32">
        <v>2052</v>
      </c>
      <c r="H40" s="199">
        <f t="shared" si="3"/>
        <v>2.1731740096013622E-3</v>
      </c>
    </row>
    <row r="41" spans="2:8" x14ac:dyDescent="0.2">
      <c r="B41" s="1" t="s">
        <v>16</v>
      </c>
      <c r="C41" s="190">
        <f>D41/(D40+D39+D37)</f>
        <v>2.9999795975272203E-2</v>
      </c>
      <c r="D41" s="32">
        <f>22056</f>
        <v>22056</v>
      </c>
      <c r="E41" s="179">
        <f t="shared" si="2"/>
        <v>4.3173579085008261E-2</v>
      </c>
      <c r="G41" s="32">
        <f>34664</f>
        <v>34664</v>
      </c>
      <c r="H41" s="199">
        <f t="shared" si="3"/>
        <v>3.6710966797671357E-2</v>
      </c>
    </row>
    <row r="42" spans="2:8" x14ac:dyDescent="0.2">
      <c r="B42" s="1" t="s">
        <v>18</v>
      </c>
      <c r="C42" s="190">
        <f>D42/(D41+D40+D39+D37)</f>
        <v>6.0000448986544927E-2</v>
      </c>
      <c r="D42" s="32">
        <f>45436</f>
        <v>45436</v>
      </c>
      <c r="E42" s="179">
        <f t="shared" si="2"/>
        <v>8.8938825684912737E-2</v>
      </c>
      <c r="G42" s="32">
        <v>95389</v>
      </c>
      <c r="H42" s="199">
        <f t="shared" si="3"/>
        <v>0.10102187894827698</v>
      </c>
    </row>
    <row r="43" spans="2:8" ht="6" customHeight="1" x14ac:dyDescent="0.2">
      <c r="C43" s="190"/>
      <c r="D43" s="32"/>
      <c r="E43" s="179"/>
      <c r="H43" s="199"/>
    </row>
    <row r="44" spans="2:8" x14ac:dyDescent="0.2">
      <c r="B44" s="1" t="s">
        <v>100</v>
      </c>
      <c r="C44" s="190">
        <f>D44/(D44+D42+D41+D40+D39+D37)</f>
        <v>0.23171450722154691</v>
      </c>
      <c r="D44" s="32">
        <f>242093</f>
        <v>242093</v>
      </c>
      <c r="E44" s="179">
        <f t="shared" si="2"/>
        <v>0.47388562211765073</v>
      </c>
      <c r="G44" s="32">
        <v>0</v>
      </c>
      <c r="H44" s="199">
        <f t="shared" si="3"/>
        <v>0</v>
      </c>
    </row>
    <row r="45" spans="2:8" ht="6" customHeight="1" x14ac:dyDescent="0.2">
      <c r="B45" s="185"/>
      <c r="C45" s="185"/>
      <c r="D45" s="105"/>
      <c r="E45" s="185"/>
      <c r="G45" s="105"/>
      <c r="H45" s="200"/>
    </row>
    <row r="46" spans="2:8" ht="6" customHeight="1" x14ac:dyDescent="0.2">
      <c r="D46" s="32"/>
      <c r="H46" s="27"/>
    </row>
    <row r="47" spans="2:8" ht="15.75" x14ac:dyDescent="0.25">
      <c r="B47" s="208" t="s">
        <v>30</v>
      </c>
      <c r="C47" s="208"/>
      <c r="D47" s="209">
        <f>SUM(D40:D46)</f>
        <v>376422</v>
      </c>
      <c r="E47" s="215">
        <f>D47/$D$21</f>
        <v>0.73682830006968536</v>
      </c>
      <c r="F47" s="181"/>
      <c r="G47" s="198">
        <f>SUM(G40:G46)</f>
        <v>132105</v>
      </c>
      <c r="H47" s="216">
        <f>G47/$G$21</f>
        <v>0.1399060197555497</v>
      </c>
    </row>
    <row r="48" spans="2:8" ht="13.5" thickBot="1" x14ac:dyDescent="0.25">
      <c r="D48" s="32"/>
      <c r="H48" s="27"/>
    </row>
    <row r="49" spans="2:8" ht="6" customHeight="1" thickTop="1" x14ac:dyDescent="0.2">
      <c r="B49" s="186"/>
      <c r="C49" s="186"/>
      <c r="D49" s="187"/>
      <c r="E49" s="186"/>
      <c r="G49" s="187"/>
      <c r="H49" s="203"/>
    </row>
    <row r="50" spans="2:8" ht="15.75" x14ac:dyDescent="0.25">
      <c r="B50" s="211" t="s">
        <v>96</v>
      </c>
      <c r="C50" s="14"/>
      <c r="D50" s="213">
        <f>D47+D37</f>
        <v>1044790</v>
      </c>
      <c r="E50" s="210"/>
      <c r="G50" s="214">
        <f>G47+G37</f>
        <v>1239207</v>
      </c>
      <c r="H50" s="201"/>
    </row>
    <row r="51" spans="2:8" ht="6" customHeight="1" thickBot="1" x14ac:dyDescent="0.25">
      <c r="B51" s="188"/>
      <c r="C51" s="188"/>
      <c r="D51" s="188"/>
      <c r="E51" s="188"/>
      <c r="G51" s="189"/>
      <c r="H51" s="188"/>
    </row>
    <row r="52" spans="2:8" ht="13.5" thickTop="1" x14ac:dyDescent="0.2"/>
  </sheetData>
  <mergeCells count="6">
    <mergeCell ref="B4:H4"/>
    <mergeCell ref="C8:E8"/>
    <mergeCell ref="B1:H1"/>
    <mergeCell ref="B2:H2"/>
    <mergeCell ref="G7:H7"/>
    <mergeCell ref="G8:H8"/>
  </mergeCells>
  <phoneticPr fontId="0" type="noConversion"/>
  <printOptions horizontalCentered="1" verticalCentered="1"/>
  <pageMargins left="0.25" right="0" top="1" bottom="1" header="0.5" footer="0.5"/>
  <pageSetup orientation="portrait" horizontalDpi="300" verticalDpi="300" r:id="rId1"/>
  <headerFooter alignWithMargins="0">
    <oddFooter>&amp;L&amp;"Times New Roman,Regular"&amp;F  -  &amp;A
REVISION NO. 1 (02.07.02)&amp;C&amp;"Times New Roman,Regular"Page  1  of  1&amp;R&amp;"Times New Roman,Regular"iDATE - February 7, 2002
Print Date - &amp;D  -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Pipeline BM Summary</vt:lpstr>
      <vt:lpstr>Pipeline Benchmark</vt:lpstr>
      <vt:lpstr>Meter Station Benchmark</vt:lpstr>
      <vt:lpstr>'Meter Station Benchmark'!Print_Area</vt:lpstr>
      <vt:lpstr>'Pipeline Benchmark'!Print_Area</vt:lpstr>
      <vt:lpstr>'Pipeline BM Summary'!Print_Area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tthomas</dc:creator>
  <cp:lastModifiedBy>Jan Havlíček</cp:lastModifiedBy>
  <cp:lastPrinted>2002-02-07T20:52:43Z</cp:lastPrinted>
  <dcterms:created xsi:type="dcterms:W3CDTF">2001-06-15T16:01:07Z</dcterms:created>
  <dcterms:modified xsi:type="dcterms:W3CDTF">2023-09-17T20:07:57Z</dcterms:modified>
</cp:coreProperties>
</file>