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A6605D-54B5-4979-B033-621A7C12ABCA}" xr6:coauthVersionLast="47" xr6:coauthVersionMax="47" xr10:uidLastSave="{00000000-0000-0000-0000-000000000000}"/>
  <bookViews>
    <workbookView xWindow="-120" yWindow="-120" windowWidth="38640" windowHeight="15720" tabRatio="872" activeTab="3"/>
  </bookViews>
  <sheets>
    <sheet name="Graph" sheetId="49" r:id="rId1"/>
    <sheet name="Cost Center Summary" sheetId="42" state="hidden" r:id="rId2"/>
    <sheet name="Data" sheetId="4" r:id="rId3"/>
    <sheet name="Monthly Expense Categories" sheetId="50" r:id="rId4"/>
    <sheet name="Monthly Detail" sheetId="43" r:id="rId5"/>
    <sheet name="Monthly Plan" sheetId="1" r:id="rId6"/>
    <sheet name="Allocations" sheetId="3" state="hidden" r:id="rId7"/>
    <sheet name="Headcount" sheetId="55" r:id="rId8"/>
  </sheets>
  <externalReferences>
    <externalReference r:id="rId9"/>
  </externalReferences>
  <definedNames>
    <definedName name="ActualClear">'Monthly Detail'!$2:$49986</definedName>
    <definedName name="AprA">'Monthly Detail'!$N:$N</definedName>
    <definedName name="AprAY">'Monthly Detail'!$K:$N</definedName>
    <definedName name="AprP">'Monthly Plan'!$G:$G</definedName>
    <definedName name="AprPY">'Monthly Plan'!#REF!</definedName>
    <definedName name="AugA">'Monthly Detail'!$R:$R</definedName>
    <definedName name="AugAY">'Monthly Detail'!$K:$R</definedName>
    <definedName name="AugP">'Monthly Plan'!$K:$K</definedName>
    <definedName name="AugPY">'Monthly Plan'!#REF!</definedName>
    <definedName name="AYTD">'Monthly Detail'!$X:$X</definedName>
    <definedName name="Corp">'[1]Summarized data'!$U$33:$AC$43</definedName>
    <definedName name="Data">'[1]Summarized data'!$D$17:$S$53</definedName>
    <definedName name="DecA">'Monthly Detail'!$V:$V</definedName>
    <definedName name="DecAY">'Monthly Detail'!$K:$V</definedName>
    <definedName name="DecP">'Monthly Plan'!$O:$O</definedName>
    <definedName name="DecPY">'Monthly Plan'!#REF!</definedName>
    <definedName name="FebA">'Monthly Detail'!$L:$L</definedName>
    <definedName name="FebAY">JanA + FebA</definedName>
    <definedName name="FebP">'Monthly Plan'!$E:$E</definedName>
    <definedName name="FebPY">'Monthly Plan'!#REF!</definedName>
    <definedName name="graph">Graph!$A$1:$U$63</definedName>
    <definedName name="graph0120">#REF!</definedName>
    <definedName name="graph0139">#REF!</definedName>
    <definedName name="graph0264">#REF!</definedName>
    <definedName name="graph0671">#REF!</definedName>
    <definedName name="graph1891">#REF!</definedName>
    <definedName name="graph1942">#REF!</definedName>
    <definedName name="graph1993">#REF!</definedName>
    <definedName name="graph2735">#REF!</definedName>
    <definedName name="Headcount">Headcount!$W$2:$AH$3</definedName>
    <definedName name="JanA">'Monthly Detail'!$K:$K</definedName>
    <definedName name="JanP">'Monthly Plan'!$D:$D</definedName>
    <definedName name="JulA">'Monthly Detail'!$Q:$Q</definedName>
    <definedName name="JulAY">'Monthly Detail'!$K:$Q</definedName>
    <definedName name="JulP">'Monthly Plan'!$J:$J</definedName>
    <definedName name="JulPY">'Monthly Plan'!#REF!</definedName>
    <definedName name="JunA">'Monthly Detail'!$P:$P</definedName>
    <definedName name="JunAY">'Monthly Detail'!$K:$P</definedName>
    <definedName name="JunP">'Monthly Plan'!$I:$I</definedName>
    <definedName name="JunPY">'Monthly Plan'!#REF!</definedName>
    <definedName name="MarA">'Monthly Detail'!$M:$M</definedName>
    <definedName name="MarAY">JanA + FebA +MarA</definedName>
    <definedName name="MarP">'Monthly Plan'!$F:$F</definedName>
    <definedName name="MarPY">'Monthly Plan'!#REF!</definedName>
    <definedName name="MayA">'Monthly Detail'!$O:$O</definedName>
    <definedName name="MayAY">'Monthly Detail'!$K:$O</definedName>
    <definedName name="MayP">'Monthly Plan'!$H:$H</definedName>
    <definedName name="MayPY">'Monthly Plan'!#REF!</definedName>
    <definedName name="Month">'Monthly Detail'!$D$2</definedName>
    <definedName name="MonthlyClear">'Monthly Detail'!$2:$49986</definedName>
    <definedName name="Names">Headcount!$A$16:$B$6330</definedName>
    <definedName name="NovA">'Monthly Detail'!$U:$U</definedName>
    <definedName name="NovAY">'Monthly Detail'!$K:$U</definedName>
    <definedName name="NovP">'Monthly Plan'!$N:$N</definedName>
    <definedName name="NovPY">'Monthly Plan'!#REF!</definedName>
    <definedName name="OctA">'Monthly Detail'!$T:$T</definedName>
    <definedName name="OctAY">'Monthly Detail'!$K:$T</definedName>
    <definedName name="OctP">'Monthly Plan'!$M:$M</definedName>
    <definedName name="OctPY">'Monthly Plan'!#REF!</definedName>
    <definedName name="PlanClear">'Monthly Plan'!$2:$1376</definedName>
    <definedName name="_xlnm.Print_Area" localSheetId="6">Allocations!$A$1:$O$63</definedName>
    <definedName name="_xlnm.Print_Area" localSheetId="1">'Cost Center Summary'!$A$1:$O$36</definedName>
    <definedName name="_xlnm.Print_Area" localSheetId="2">Data!$B$1:$Q$40</definedName>
    <definedName name="_xlnm.Print_Area" localSheetId="0">Graph!$A$1:$U$63</definedName>
    <definedName name="_xlnm.Print_Area" localSheetId="7">Headcount!$B:$H</definedName>
    <definedName name="_xlnm.Print_Area" localSheetId="4">'Monthly Detail'!$A$1:$X$43</definedName>
    <definedName name="_xlnm.Print_Area" localSheetId="3">'Monthly Expense Categories'!$A$3:$AO$64</definedName>
    <definedName name="_xlnm.Print_Area" localSheetId="5">'Monthly Plan'!$A$1:$Q$35</definedName>
    <definedName name="_xlnm.Print_Titles" localSheetId="4">'Monthly Detail'!$1:$1</definedName>
    <definedName name="_xlnm.Print_Titles" localSheetId="5">'Monthly Plan'!$1:$1</definedName>
    <definedName name="PYTD">'Monthly Plan'!$Q:$Q</definedName>
    <definedName name="Salaries_and_Wages">'Monthly Expense Categories'!$B$16</definedName>
    <definedName name="SepA">'Monthly Detail'!$S:$S</definedName>
    <definedName name="SepAY">'Monthly Detail'!$K:$S</definedName>
    <definedName name="SepP">'Monthly Plan'!$L:$L</definedName>
    <definedName name="SepPY">'Monthly Plan'!#REF!</definedName>
    <definedName name="Summarized">[1]Graphs!$AI$1:$BC$64</definedName>
    <definedName name="totalplan">'Monthly Plan'!$P:$P</definedName>
    <definedName name="YTDP">'Monthly Plan'!$Q:$Q</definedName>
    <definedName name="Zero">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O7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C55" i="3"/>
  <c r="D55" i="3"/>
  <c r="E55" i="3"/>
  <c r="F55" i="3"/>
  <c r="G55" i="3"/>
  <c r="H55" i="3"/>
  <c r="I55" i="3"/>
  <c r="J55" i="3"/>
  <c r="K55" i="3"/>
  <c r="L55" i="3"/>
  <c r="M55" i="3"/>
  <c r="N55" i="3"/>
  <c r="N60" i="3"/>
  <c r="O60" i="3"/>
  <c r="B1" i="42"/>
  <c r="B2" i="42"/>
  <c r="M6" i="42"/>
  <c r="L7" i="42"/>
  <c r="L11" i="42"/>
  <c r="M14" i="42"/>
  <c r="B2" i="4"/>
  <c r="B3" i="4"/>
  <c r="D7" i="4"/>
  <c r="F7" i="4"/>
  <c r="M7" i="4"/>
  <c r="O7" i="4"/>
  <c r="D10" i="4"/>
  <c r="F10" i="4"/>
  <c r="H10" i="4"/>
  <c r="J10" i="4"/>
  <c r="M10" i="4"/>
  <c r="O10" i="4"/>
  <c r="Q10" i="4"/>
  <c r="T10" i="4"/>
  <c r="U10" i="4"/>
  <c r="V10" i="4"/>
  <c r="W10" i="4"/>
  <c r="X10" i="4"/>
  <c r="Y10" i="4"/>
  <c r="D11" i="4"/>
  <c r="F11" i="4"/>
  <c r="H11" i="4"/>
  <c r="J11" i="4"/>
  <c r="M11" i="4"/>
  <c r="O11" i="4"/>
  <c r="Q11" i="4"/>
  <c r="T11" i="4"/>
  <c r="U11" i="4"/>
  <c r="V11" i="4"/>
  <c r="W11" i="4"/>
  <c r="X11" i="4"/>
  <c r="Y11" i="4"/>
  <c r="D12" i="4"/>
  <c r="F12" i="4"/>
  <c r="H12" i="4"/>
  <c r="J12" i="4"/>
  <c r="M12" i="4"/>
  <c r="O12" i="4"/>
  <c r="Q12" i="4"/>
  <c r="T12" i="4"/>
  <c r="U12" i="4"/>
  <c r="V12" i="4"/>
  <c r="W12" i="4"/>
  <c r="D13" i="4"/>
  <c r="F13" i="4"/>
  <c r="H13" i="4"/>
  <c r="J13" i="4"/>
  <c r="M13" i="4"/>
  <c r="O13" i="4"/>
  <c r="Q13" i="4"/>
  <c r="T13" i="4"/>
  <c r="U13" i="4"/>
  <c r="D14" i="4"/>
  <c r="F14" i="4"/>
  <c r="H14" i="4"/>
  <c r="J14" i="4"/>
  <c r="M14" i="4"/>
  <c r="O14" i="4"/>
  <c r="Q14" i="4"/>
  <c r="T14" i="4"/>
  <c r="D15" i="4"/>
  <c r="F15" i="4"/>
  <c r="H15" i="4"/>
  <c r="J15" i="4"/>
  <c r="M15" i="4"/>
  <c r="O15" i="4"/>
  <c r="Q15" i="4"/>
  <c r="T15" i="4"/>
  <c r="D16" i="4"/>
  <c r="F16" i="4"/>
  <c r="H16" i="4"/>
  <c r="J16" i="4"/>
  <c r="M16" i="4"/>
  <c r="O16" i="4"/>
  <c r="Q16" i="4"/>
  <c r="T16" i="4"/>
  <c r="U16" i="4"/>
  <c r="D17" i="4"/>
  <c r="F17" i="4"/>
  <c r="H17" i="4"/>
  <c r="J17" i="4"/>
  <c r="M17" i="4"/>
  <c r="O17" i="4"/>
  <c r="Q17" i="4"/>
  <c r="D22" i="4"/>
  <c r="F22" i="4"/>
  <c r="M22" i="4"/>
  <c r="O22" i="4"/>
  <c r="D25" i="4"/>
  <c r="F25" i="4"/>
  <c r="H25" i="4"/>
  <c r="J25" i="4"/>
  <c r="D26" i="4"/>
  <c r="F26" i="4"/>
  <c r="H26" i="4"/>
  <c r="J26" i="4"/>
  <c r="M26" i="4"/>
  <c r="O26" i="4"/>
  <c r="Q26" i="4"/>
  <c r="D27" i="4"/>
  <c r="F27" i="4"/>
  <c r="H27" i="4"/>
  <c r="J27" i="4"/>
  <c r="M27" i="4"/>
  <c r="O27" i="4"/>
  <c r="Q27" i="4"/>
  <c r="B40" i="4"/>
  <c r="A2" i="49"/>
  <c r="A3" i="49"/>
  <c r="U32" i="49"/>
  <c r="A63" i="49"/>
  <c r="B64" i="49"/>
  <c r="C64" i="49"/>
  <c r="D64" i="49"/>
  <c r="E64" i="49"/>
  <c r="F64" i="49"/>
  <c r="G64" i="49"/>
  <c r="O64" i="49"/>
  <c r="P64" i="49"/>
  <c r="Q64" i="49"/>
  <c r="R64" i="49"/>
  <c r="S64" i="49"/>
  <c r="T64" i="49"/>
  <c r="B65" i="49"/>
  <c r="C65" i="49"/>
  <c r="D65" i="49"/>
  <c r="E65" i="49"/>
  <c r="F65" i="49"/>
  <c r="G65" i="49"/>
  <c r="H65" i="49"/>
  <c r="O65" i="49"/>
  <c r="P65" i="49"/>
  <c r="Q65" i="49"/>
  <c r="R65" i="49"/>
  <c r="S65" i="49"/>
  <c r="T65" i="49"/>
  <c r="U65" i="49"/>
  <c r="B66" i="49"/>
  <c r="C66" i="49"/>
  <c r="D66" i="49"/>
  <c r="E66" i="49"/>
  <c r="F66" i="49"/>
  <c r="G66" i="49"/>
  <c r="H66" i="49"/>
  <c r="O66" i="49"/>
  <c r="P66" i="49"/>
  <c r="Q66" i="49"/>
  <c r="R66" i="49"/>
  <c r="S66" i="49"/>
  <c r="T66" i="49"/>
  <c r="U66" i="49"/>
  <c r="B68" i="49"/>
  <c r="C68" i="49"/>
  <c r="D68" i="49"/>
  <c r="E68" i="49"/>
  <c r="F68" i="49"/>
  <c r="G68" i="49"/>
  <c r="H68" i="49"/>
  <c r="I68" i="49"/>
  <c r="J68" i="49"/>
  <c r="K68" i="49"/>
  <c r="L68" i="49"/>
  <c r="M68" i="49"/>
  <c r="B69" i="49"/>
  <c r="C69" i="49"/>
  <c r="D69" i="49"/>
  <c r="E69" i="49"/>
  <c r="F69" i="49"/>
  <c r="G69" i="49"/>
  <c r="H69" i="49"/>
  <c r="I69" i="49"/>
  <c r="J69" i="49"/>
  <c r="K69" i="49"/>
  <c r="L69" i="49"/>
  <c r="M69" i="49"/>
  <c r="O69" i="49"/>
  <c r="P69" i="49"/>
  <c r="Q69" i="49"/>
  <c r="R69" i="49"/>
  <c r="S69" i="49"/>
  <c r="T69" i="49"/>
  <c r="U69" i="49"/>
  <c r="B70" i="49"/>
  <c r="C70" i="49"/>
  <c r="D70" i="49"/>
  <c r="E70" i="49"/>
  <c r="F70" i="49"/>
  <c r="G70" i="49"/>
  <c r="H70" i="49"/>
  <c r="I70" i="49"/>
  <c r="J70" i="49"/>
  <c r="K70" i="49"/>
  <c r="L70" i="49"/>
  <c r="M70" i="49"/>
  <c r="O70" i="49"/>
  <c r="P70" i="49"/>
  <c r="Q70" i="49"/>
  <c r="R70" i="49"/>
  <c r="S70" i="49"/>
  <c r="T70" i="49"/>
  <c r="U70" i="49"/>
  <c r="B71" i="49"/>
  <c r="C71" i="49"/>
  <c r="D71" i="49"/>
  <c r="E71" i="49"/>
  <c r="F71" i="49"/>
  <c r="G71" i="49"/>
  <c r="H71" i="49"/>
  <c r="I71" i="49"/>
  <c r="J71" i="49"/>
  <c r="K71" i="49"/>
  <c r="L71" i="49"/>
  <c r="M71" i="49"/>
  <c r="B72" i="49"/>
  <c r="C72" i="49"/>
  <c r="D72" i="49"/>
  <c r="E72" i="49"/>
  <c r="F72" i="49"/>
  <c r="G72" i="49"/>
  <c r="H72" i="49"/>
  <c r="I72" i="49"/>
  <c r="J72" i="49"/>
  <c r="K72" i="49"/>
  <c r="L72" i="49"/>
  <c r="M72" i="49"/>
  <c r="B73" i="49"/>
  <c r="C73" i="49"/>
  <c r="D73" i="49"/>
  <c r="E73" i="49"/>
  <c r="F73" i="49"/>
  <c r="G73" i="49"/>
  <c r="H73" i="49"/>
  <c r="I73" i="49"/>
  <c r="J73" i="49"/>
  <c r="K73" i="49"/>
  <c r="L73" i="49"/>
  <c r="M73" i="49"/>
  <c r="B74" i="49"/>
  <c r="C74" i="49"/>
  <c r="D74" i="49"/>
  <c r="E74" i="49"/>
  <c r="F74" i="49"/>
  <c r="G74" i="49"/>
  <c r="H74" i="49"/>
  <c r="I74" i="49"/>
  <c r="J74" i="49"/>
  <c r="K74" i="49"/>
  <c r="L74" i="49"/>
  <c r="M74" i="49"/>
  <c r="B75" i="49"/>
  <c r="C75" i="49"/>
  <c r="D75" i="49"/>
  <c r="E75" i="49"/>
  <c r="F75" i="49"/>
  <c r="G75" i="49"/>
  <c r="H75" i="49"/>
  <c r="I75" i="49"/>
  <c r="J75" i="49"/>
  <c r="K75" i="49"/>
  <c r="L75" i="49"/>
  <c r="M75" i="49"/>
  <c r="A3" i="55"/>
  <c r="A5" i="55"/>
  <c r="B5" i="55"/>
  <c r="B14" i="55"/>
  <c r="C14" i="55"/>
  <c r="D14" i="55"/>
  <c r="E14" i="55"/>
  <c r="H14" i="55"/>
  <c r="I14" i="55"/>
  <c r="J14" i="55"/>
  <c r="M14" i="55"/>
  <c r="N14" i="55"/>
  <c r="O14" i="55"/>
  <c r="B15" i="55"/>
  <c r="C15" i="55"/>
  <c r="D15" i="55"/>
  <c r="E15" i="55"/>
  <c r="H15" i="55"/>
  <c r="I15" i="55"/>
  <c r="J15" i="55"/>
  <c r="M15" i="55"/>
  <c r="N15" i="55"/>
  <c r="O15" i="55"/>
  <c r="H20" i="55"/>
  <c r="P8" i="43"/>
  <c r="X8" i="43"/>
  <c r="P12" i="43"/>
  <c r="X12" i="43"/>
  <c r="P96" i="43"/>
  <c r="X96" i="43"/>
  <c r="P113" i="43"/>
  <c r="X113" i="43"/>
  <c r="P125" i="43"/>
  <c r="X125" i="43"/>
  <c r="P164" i="43"/>
  <c r="X164" i="43"/>
  <c r="P178" i="43"/>
  <c r="X178" i="43"/>
  <c r="P189" i="43"/>
  <c r="X189" i="43"/>
  <c r="P191" i="43"/>
  <c r="X191" i="43"/>
  <c r="P198" i="43"/>
  <c r="X198" i="43"/>
  <c r="P199" i="43"/>
  <c r="X199" i="43"/>
  <c r="B1" i="50"/>
  <c r="B2" i="50"/>
  <c r="A5" i="50"/>
  <c r="N5" i="50"/>
  <c r="A6" i="50"/>
  <c r="N6" i="50"/>
  <c r="B8" i="50"/>
  <c r="D8" i="50"/>
  <c r="H8" i="50"/>
  <c r="J8" i="50"/>
  <c r="O8" i="50"/>
  <c r="Q8" i="50"/>
  <c r="S8" i="50"/>
  <c r="U8" i="50"/>
  <c r="W8" i="50"/>
  <c r="Y8" i="50"/>
  <c r="AA8" i="50"/>
  <c r="AC8" i="50"/>
  <c r="AE8" i="50"/>
  <c r="AG8" i="50"/>
  <c r="AI8" i="50"/>
  <c r="AK8" i="50"/>
  <c r="O9" i="50"/>
  <c r="Q9" i="50"/>
  <c r="S9" i="50"/>
  <c r="U9" i="50"/>
  <c r="W9" i="50"/>
  <c r="Y9" i="50"/>
  <c r="AA9" i="50"/>
  <c r="AC9" i="50"/>
  <c r="AE9" i="50"/>
  <c r="AG9" i="50"/>
  <c r="AI9" i="50"/>
  <c r="AK9" i="50"/>
  <c r="D11" i="50"/>
  <c r="F11" i="50"/>
  <c r="L11" i="50"/>
  <c r="O11" i="50"/>
  <c r="Q11" i="50"/>
  <c r="S11" i="50"/>
  <c r="U11" i="50"/>
  <c r="W11" i="50"/>
  <c r="Y11" i="50"/>
  <c r="AA11" i="50"/>
  <c r="AC11" i="50"/>
  <c r="AE11" i="50"/>
  <c r="AG11" i="50"/>
  <c r="AI11" i="50"/>
  <c r="AK11" i="50"/>
  <c r="AM11" i="50"/>
  <c r="AO11" i="50"/>
  <c r="B16" i="50"/>
  <c r="D16" i="50"/>
  <c r="F16" i="50"/>
  <c r="H16" i="50"/>
  <c r="J16" i="50"/>
  <c r="L16" i="50"/>
  <c r="N16" i="50"/>
  <c r="O16" i="50"/>
  <c r="Q16" i="50"/>
  <c r="S16" i="50"/>
  <c r="U16" i="50"/>
  <c r="W16" i="50"/>
  <c r="Y16" i="50"/>
  <c r="AA16" i="50"/>
  <c r="AC16" i="50"/>
  <c r="AE16" i="50"/>
  <c r="AG16" i="50"/>
  <c r="AI16" i="50"/>
  <c r="AK16" i="50"/>
  <c r="AM16" i="50"/>
  <c r="AO16" i="50"/>
  <c r="B17" i="50"/>
  <c r="D17" i="50"/>
  <c r="F17" i="50"/>
  <c r="H17" i="50"/>
  <c r="J17" i="50"/>
  <c r="L17" i="50"/>
  <c r="N17" i="50"/>
  <c r="O17" i="50"/>
  <c r="Q17" i="50"/>
  <c r="S17" i="50"/>
  <c r="U17" i="50"/>
  <c r="W17" i="50"/>
  <c r="Y17" i="50"/>
  <c r="AA17" i="50"/>
  <c r="AC17" i="50"/>
  <c r="AE17" i="50"/>
  <c r="AG17" i="50"/>
  <c r="AI17" i="50"/>
  <c r="AK17" i="50"/>
  <c r="AM17" i="50"/>
  <c r="AO17" i="50"/>
  <c r="B18" i="50"/>
  <c r="D18" i="50"/>
  <c r="F18" i="50"/>
  <c r="H18" i="50"/>
  <c r="J18" i="50"/>
  <c r="L18" i="50"/>
  <c r="N18" i="50"/>
  <c r="O18" i="50"/>
  <c r="Q18" i="50"/>
  <c r="S18" i="50"/>
  <c r="U18" i="50"/>
  <c r="W18" i="50"/>
  <c r="Y18" i="50"/>
  <c r="AA18" i="50"/>
  <c r="AC18" i="50"/>
  <c r="AE18" i="50"/>
  <c r="AG18" i="50"/>
  <c r="AI18" i="50"/>
  <c r="AK18" i="50"/>
  <c r="AM18" i="50"/>
  <c r="AO18" i="50"/>
  <c r="B19" i="50"/>
  <c r="D19" i="50"/>
  <c r="F19" i="50"/>
  <c r="H19" i="50"/>
  <c r="J19" i="50"/>
  <c r="L19" i="50"/>
  <c r="N19" i="50"/>
  <c r="O19" i="50"/>
  <c r="Q19" i="50"/>
  <c r="S19" i="50"/>
  <c r="U19" i="50"/>
  <c r="W19" i="50"/>
  <c r="Y19" i="50"/>
  <c r="AA19" i="50"/>
  <c r="AC19" i="50"/>
  <c r="AE19" i="50"/>
  <c r="AG19" i="50"/>
  <c r="AI19" i="50"/>
  <c r="AK19" i="50"/>
  <c r="AM19" i="50"/>
  <c r="AO19" i="50"/>
  <c r="B20" i="50"/>
  <c r="D20" i="50"/>
  <c r="F20" i="50"/>
  <c r="H20" i="50"/>
  <c r="J20" i="50"/>
  <c r="L20" i="50"/>
  <c r="N20" i="50"/>
  <c r="O20" i="50"/>
  <c r="Q20" i="50"/>
  <c r="S20" i="50"/>
  <c r="U20" i="50"/>
  <c r="W20" i="50"/>
  <c r="Y20" i="50"/>
  <c r="AA20" i="50"/>
  <c r="AC20" i="50"/>
  <c r="AE20" i="50"/>
  <c r="AG20" i="50"/>
  <c r="AI20" i="50"/>
  <c r="AK20" i="50"/>
  <c r="AM20" i="50"/>
  <c r="AO20" i="50"/>
  <c r="B21" i="50"/>
  <c r="D21" i="50"/>
  <c r="F21" i="50"/>
  <c r="H21" i="50"/>
  <c r="J21" i="50"/>
  <c r="L21" i="50"/>
  <c r="N21" i="50"/>
  <c r="O21" i="50"/>
  <c r="Q21" i="50"/>
  <c r="S21" i="50"/>
  <c r="U21" i="50"/>
  <c r="W21" i="50"/>
  <c r="Y21" i="50"/>
  <c r="AA21" i="50"/>
  <c r="AC21" i="50"/>
  <c r="AE21" i="50"/>
  <c r="AG21" i="50"/>
  <c r="AI21" i="50"/>
  <c r="AK21" i="50"/>
  <c r="AM21" i="50"/>
  <c r="AO21" i="50"/>
  <c r="B22" i="50"/>
  <c r="D22" i="50"/>
  <c r="F22" i="50"/>
  <c r="H22" i="50"/>
  <c r="J22" i="50"/>
  <c r="L22" i="50"/>
  <c r="N22" i="50"/>
  <c r="O22" i="50"/>
  <c r="Q22" i="50"/>
  <c r="S22" i="50"/>
  <c r="U22" i="50"/>
  <c r="W22" i="50"/>
  <c r="Y22" i="50"/>
  <c r="AA22" i="50"/>
  <c r="AC22" i="50"/>
  <c r="AE22" i="50"/>
  <c r="AG22" i="50"/>
  <c r="AI22" i="50"/>
  <c r="AK22" i="50"/>
  <c r="AM22" i="50"/>
  <c r="AO22" i="50"/>
  <c r="B23" i="50"/>
  <c r="D23" i="50"/>
  <c r="F23" i="50"/>
  <c r="H23" i="50"/>
  <c r="J23" i="50"/>
  <c r="L23" i="50"/>
  <c r="N23" i="50"/>
  <c r="O23" i="50"/>
  <c r="Q23" i="50"/>
  <c r="S23" i="50"/>
  <c r="U23" i="50"/>
  <c r="W23" i="50"/>
  <c r="Y23" i="50"/>
  <c r="AA23" i="50"/>
  <c r="AC23" i="50"/>
  <c r="AE23" i="50"/>
  <c r="AG23" i="50"/>
  <c r="AI23" i="50"/>
  <c r="AK23" i="50"/>
  <c r="AM23" i="50"/>
  <c r="AO23" i="50"/>
  <c r="B24" i="50"/>
  <c r="D24" i="50"/>
  <c r="F24" i="50"/>
  <c r="H24" i="50"/>
  <c r="J24" i="50"/>
  <c r="L24" i="50"/>
  <c r="N24" i="50"/>
  <c r="O24" i="50"/>
  <c r="Q24" i="50"/>
  <c r="S24" i="50"/>
  <c r="U24" i="50"/>
  <c r="W24" i="50"/>
  <c r="Y24" i="50"/>
  <c r="AA24" i="50"/>
  <c r="AC24" i="50"/>
  <c r="AE24" i="50"/>
  <c r="AG24" i="50"/>
  <c r="AI24" i="50"/>
  <c r="AK24" i="50"/>
  <c r="AM24" i="50"/>
  <c r="AO24" i="50"/>
  <c r="B25" i="50"/>
  <c r="D25" i="50"/>
  <c r="F25" i="50"/>
  <c r="H25" i="50"/>
  <c r="J25" i="50"/>
  <c r="L25" i="50"/>
  <c r="N25" i="50"/>
  <c r="O25" i="50"/>
  <c r="Q25" i="50"/>
  <c r="S25" i="50"/>
  <c r="U25" i="50"/>
  <c r="W25" i="50"/>
  <c r="Y25" i="50"/>
  <c r="AA25" i="50"/>
  <c r="AC25" i="50"/>
  <c r="AE25" i="50"/>
  <c r="AG25" i="50"/>
  <c r="AI25" i="50"/>
  <c r="AK25" i="50"/>
  <c r="AM25" i="50"/>
  <c r="AO25" i="50"/>
  <c r="B26" i="50"/>
  <c r="D26" i="50"/>
  <c r="F26" i="50"/>
  <c r="H26" i="50"/>
  <c r="J26" i="50"/>
  <c r="L26" i="50"/>
  <c r="N26" i="50"/>
  <c r="O26" i="50"/>
  <c r="Q26" i="50"/>
  <c r="S26" i="50"/>
  <c r="U26" i="50"/>
  <c r="W26" i="50"/>
  <c r="Y26" i="50"/>
  <c r="AA26" i="50"/>
  <c r="AC26" i="50"/>
  <c r="AE26" i="50"/>
  <c r="AG26" i="50"/>
  <c r="AI26" i="50"/>
  <c r="AK26" i="50"/>
  <c r="AM26" i="50"/>
  <c r="AO26" i="50"/>
  <c r="B27" i="50"/>
  <c r="D27" i="50"/>
  <c r="F27" i="50"/>
  <c r="H27" i="50"/>
  <c r="J27" i="50"/>
  <c r="L27" i="50"/>
  <c r="N27" i="50"/>
  <c r="O27" i="50"/>
  <c r="Q27" i="50"/>
  <c r="S27" i="50"/>
  <c r="U27" i="50"/>
  <c r="W27" i="50"/>
  <c r="Y27" i="50"/>
  <c r="AA27" i="50"/>
  <c r="AC27" i="50"/>
  <c r="AE27" i="50"/>
  <c r="AG27" i="50"/>
  <c r="AI27" i="50"/>
  <c r="AK27" i="50"/>
  <c r="AM27" i="50"/>
  <c r="AO27" i="50"/>
  <c r="B28" i="50"/>
  <c r="D28" i="50"/>
  <c r="F28" i="50"/>
  <c r="H28" i="50"/>
  <c r="J28" i="50"/>
  <c r="L28" i="50"/>
  <c r="N28" i="50"/>
  <c r="O28" i="50"/>
  <c r="Q28" i="50"/>
  <c r="S28" i="50"/>
  <c r="U28" i="50"/>
  <c r="W28" i="50"/>
  <c r="Y28" i="50"/>
  <c r="AA28" i="50"/>
  <c r="AC28" i="50"/>
  <c r="AE28" i="50"/>
  <c r="AG28" i="50"/>
  <c r="AI28" i="50"/>
  <c r="AK28" i="50"/>
  <c r="AM28" i="50"/>
  <c r="AO28" i="50"/>
  <c r="B29" i="50"/>
  <c r="D29" i="50"/>
  <c r="F29" i="50"/>
  <c r="H29" i="50"/>
  <c r="J29" i="50"/>
  <c r="L29" i="50"/>
  <c r="N29" i="50"/>
  <c r="O29" i="50"/>
  <c r="Q29" i="50"/>
  <c r="S29" i="50"/>
  <c r="U29" i="50"/>
  <c r="W29" i="50"/>
  <c r="Y29" i="50"/>
  <c r="AA29" i="50"/>
  <c r="AC29" i="50"/>
  <c r="AE29" i="50"/>
  <c r="AG29" i="50"/>
  <c r="AI29" i="50"/>
  <c r="AK29" i="50"/>
  <c r="AM29" i="50"/>
  <c r="AO29" i="50"/>
  <c r="B30" i="50"/>
  <c r="D30" i="50"/>
  <c r="F30" i="50"/>
  <c r="H30" i="50"/>
  <c r="J30" i="50"/>
  <c r="L30" i="50"/>
  <c r="N30" i="50"/>
  <c r="O30" i="50"/>
  <c r="Q30" i="50"/>
  <c r="S30" i="50"/>
  <c r="U30" i="50"/>
  <c r="W30" i="50"/>
  <c r="Y30" i="50"/>
  <c r="AA30" i="50"/>
  <c r="AC30" i="50"/>
  <c r="AE30" i="50"/>
  <c r="AG30" i="50"/>
  <c r="AI30" i="50"/>
  <c r="AK30" i="50"/>
  <c r="AM30" i="50"/>
  <c r="AO30" i="50"/>
  <c r="B31" i="50"/>
  <c r="D31" i="50"/>
  <c r="F31" i="50"/>
  <c r="H31" i="50"/>
  <c r="J31" i="50"/>
  <c r="L31" i="50"/>
  <c r="N31" i="50"/>
  <c r="O31" i="50"/>
  <c r="Q31" i="50"/>
  <c r="S31" i="50"/>
  <c r="U31" i="50"/>
  <c r="W31" i="50"/>
  <c r="Y31" i="50"/>
  <c r="AA31" i="50"/>
  <c r="AC31" i="50"/>
  <c r="AE31" i="50"/>
  <c r="AG31" i="50"/>
  <c r="AI31" i="50"/>
  <c r="AK31" i="50"/>
  <c r="AM31" i="50"/>
  <c r="AO31" i="50"/>
  <c r="B32" i="50"/>
  <c r="D32" i="50"/>
  <c r="F32" i="50"/>
  <c r="H32" i="50"/>
  <c r="J32" i="50"/>
  <c r="L32" i="50"/>
  <c r="N32" i="50"/>
  <c r="O32" i="50"/>
  <c r="Q32" i="50"/>
  <c r="S32" i="50"/>
  <c r="U32" i="50"/>
  <c r="W32" i="50"/>
  <c r="Y32" i="50"/>
  <c r="AA32" i="50"/>
  <c r="AC32" i="50"/>
  <c r="AE32" i="50"/>
  <c r="AG32" i="50"/>
  <c r="AI32" i="50"/>
  <c r="AK32" i="50"/>
  <c r="AM32" i="50"/>
  <c r="AO32" i="50"/>
  <c r="B33" i="50"/>
  <c r="D33" i="50"/>
  <c r="F33" i="50"/>
  <c r="H33" i="50"/>
  <c r="J33" i="50"/>
  <c r="L33" i="50"/>
  <c r="N33" i="50"/>
  <c r="O33" i="50"/>
  <c r="Q33" i="50"/>
  <c r="S33" i="50"/>
  <c r="U33" i="50"/>
  <c r="W33" i="50"/>
  <c r="Y33" i="50"/>
  <c r="AA33" i="50"/>
  <c r="AC33" i="50"/>
  <c r="AE33" i="50"/>
  <c r="AG33" i="50"/>
  <c r="AI33" i="50"/>
  <c r="AK33" i="50"/>
  <c r="AM33" i="50"/>
  <c r="AO33" i="50"/>
  <c r="B34" i="50"/>
  <c r="D34" i="50"/>
  <c r="F34" i="50"/>
  <c r="H34" i="50"/>
  <c r="J34" i="50"/>
  <c r="L34" i="50"/>
  <c r="N34" i="50"/>
  <c r="O34" i="50"/>
  <c r="Q34" i="50"/>
  <c r="S34" i="50"/>
  <c r="U34" i="50"/>
  <c r="W34" i="50"/>
  <c r="Y34" i="50"/>
  <c r="AA34" i="50"/>
  <c r="AC34" i="50"/>
  <c r="AE34" i="50"/>
  <c r="AG34" i="50"/>
  <c r="AI34" i="50"/>
  <c r="AK34" i="50"/>
  <c r="AM34" i="50"/>
  <c r="AO34" i="50"/>
  <c r="B35" i="50"/>
  <c r="D35" i="50"/>
  <c r="F35" i="50"/>
  <c r="H35" i="50"/>
  <c r="J35" i="50"/>
  <c r="L35" i="50"/>
  <c r="N35" i="50"/>
  <c r="O35" i="50"/>
  <c r="Q35" i="50"/>
  <c r="S35" i="50"/>
  <c r="U35" i="50"/>
  <c r="W35" i="50"/>
  <c r="Y35" i="50"/>
  <c r="AA35" i="50"/>
  <c r="AC35" i="50"/>
  <c r="AE35" i="50"/>
  <c r="AG35" i="50"/>
  <c r="AI35" i="50"/>
  <c r="AK35" i="50"/>
  <c r="AM35" i="50"/>
  <c r="AO35" i="50"/>
  <c r="B37" i="50"/>
  <c r="D37" i="50"/>
  <c r="F37" i="50"/>
  <c r="H37" i="50"/>
  <c r="J37" i="50"/>
  <c r="L37" i="50"/>
  <c r="O37" i="50"/>
  <c r="Q37" i="50"/>
  <c r="S37" i="50"/>
  <c r="U37" i="50"/>
  <c r="W37" i="50"/>
  <c r="Y37" i="50"/>
  <c r="AA37" i="50"/>
  <c r="AC37" i="50"/>
  <c r="AE37" i="50"/>
  <c r="AG37" i="50"/>
  <c r="AI37" i="50"/>
  <c r="AK37" i="50"/>
  <c r="AM37" i="50"/>
  <c r="AO37" i="50"/>
  <c r="AQ37" i="50"/>
  <c r="B40" i="50"/>
  <c r="D40" i="50"/>
  <c r="F40" i="50"/>
  <c r="H40" i="50"/>
  <c r="J40" i="50"/>
  <c r="L40" i="50"/>
  <c r="N40" i="50"/>
  <c r="O40" i="50"/>
  <c r="Q40" i="50"/>
  <c r="S40" i="50"/>
  <c r="U40" i="50"/>
  <c r="W40" i="50"/>
  <c r="Y40" i="50"/>
  <c r="AA40" i="50"/>
  <c r="AC40" i="50"/>
  <c r="AE40" i="50"/>
  <c r="AG40" i="50"/>
  <c r="AI40" i="50"/>
  <c r="AK40" i="50"/>
  <c r="AM40" i="50"/>
  <c r="AO40" i="50"/>
  <c r="B41" i="50"/>
  <c r="D41" i="50"/>
  <c r="F41" i="50"/>
  <c r="H41" i="50"/>
  <c r="J41" i="50"/>
  <c r="L41" i="50"/>
  <c r="N41" i="50"/>
  <c r="O41" i="50"/>
  <c r="Q41" i="50"/>
  <c r="S41" i="50"/>
  <c r="U41" i="50"/>
  <c r="W41" i="50"/>
  <c r="Y41" i="50"/>
  <c r="AA41" i="50"/>
  <c r="AC41" i="50"/>
  <c r="AE41" i="50"/>
  <c r="AG41" i="50"/>
  <c r="AI41" i="50"/>
  <c r="AK41" i="50"/>
  <c r="AM41" i="50"/>
  <c r="AO41" i="50"/>
  <c r="B42" i="50"/>
  <c r="D42" i="50"/>
  <c r="F42" i="50"/>
  <c r="H42" i="50"/>
  <c r="J42" i="50"/>
  <c r="L42" i="50"/>
  <c r="N42" i="50"/>
  <c r="O42" i="50"/>
  <c r="Q42" i="50"/>
  <c r="S42" i="50"/>
  <c r="U42" i="50"/>
  <c r="W42" i="50"/>
  <c r="Y42" i="50"/>
  <c r="AA42" i="50"/>
  <c r="AC42" i="50"/>
  <c r="AE42" i="50"/>
  <c r="AG42" i="50"/>
  <c r="AI42" i="50"/>
  <c r="AK42" i="50"/>
  <c r="AM42" i="50"/>
  <c r="AO42" i="50"/>
  <c r="B43" i="50"/>
  <c r="D43" i="50"/>
  <c r="F43" i="50"/>
  <c r="H43" i="50"/>
  <c r="J43" i="50"/>
  <c r="L43" i="50"/>
  <c r="N43" i="50"/>
  <c r="O43" i="50"/>
  <c r="Q43" i="50"/>
  <c r="S43" i="50"/>
  <c r="U43" i="50"/>
  <c r="W43" i="50"/>
  <c r="Y43" i="50"/>
  <c r="AA43" i="50"/>
  <c r="AC43" i="50"/>
  <c r="AE43" i="50"/>
  <c r="AG43" i="50"/>
  <c r="AI43" i="50"/>
  <c r="AK43" i="50"/>
  <c r="AM43" i="50"/>
  <c r="AO43" i="50"/>
  <c r="B44" i="50"/>
  <c r="D44" i="50"/>
  <c r="F44" i="50"/>
  <c r="H44" i="50"/>
  <c r="J44" i="50"/>
  <c r="L44" i="50"/>
  <c r="N44" i="50"/>
  <c r="O44" i="50"/>
  <c r="Q44" i="50"/>
  <c r="S44" i="50"/>
  <c r="U44" i="50"/>
  <c r="W44" i="50"/>
  <c r="Y44" i="50"/>
  <c r="AA44" i="50"/>
  <c r="AC44" i="50"/>
  <c r="AE44" i="50"/>
  <c r="AG44" i="50"/>
  <c r="AI44" i="50"/>
  <c r="AK44" i="50"/>
  <c r="AM44" i="50"/>
  <c r="AO44" i="50"/>
  <c r="B45" i="50"/>
  <c r="D45" i="50"/>
  <c r="F45" i="50"/>
  <c r="H45" i="50"/>
  <c r="J45" i="50"/>
  <c r="L45" i="50"/>
  <c r="N45" i="50"/>
  <c r="O45" i="50"/>
  <c r="Q45" i="50"/>
  <c r="S45" i="50"/>
  <c r="U45" i="50"/>
  <c r="W45" i="50"/>
  <c r="Y45" i="50"/>
  <c r="AA45" i="50"/>
  <c r="AC45" i="50"/>
  <c r="AE45" i="50"/>
  <c r="AG45" i="50"/>
  <c r="AI45" i="50"/>
  <c r="AK45" i="50"/>
  <c r="AM45" i="50"/>
  <c r="AO45" i="50"/>
  <c r="B46" i="50"/>
  <c r="D46" i="50"/>
  <c r="F46" i="50"/>
  <c r="H46" i="50"/>
  <c r="J46" i="50"/>
  <c r="L46" i="50"/>
  <c r="N46" i="50"/>
  <c r="O46" i="50"/>
  <c r="Q46" i="50"/>
  <c r="S46" i="50"/>
  <c r="U46" i="50"/>
  <c r="W46" i="50"/>
  <c r="Y46" i="50"/>
  <c r="AA46" i="50"/>
  <c r="AC46" i="50"/>
  <c r="AE46" i="50"/>
  <c r="AG46" i="50"/>
  <c r="AI46" i="50"/>
  <c r="AK46" i="50"/>
  <c r="AM46" i="50"/>
  <c r="AO46" i="50"/>
  <c r="B47" i="50"/>
  <c r="D47" i="50"/>
  <c r="F47" i="50"/>
  <c r="H47" i="50"/>
  <c r="J47" i="50"/>
  <c r="L47" i="50"/>
  <c r="N47" i="50"/>
  <c r="O47" i="50"/>
  <c r="Q47" i="50"/>
  <c r="S47" i="50"/>
  <c r="U47" i="50"/>
  <c r="W47" i="50"/>
  <c r="Y47" i="50"/>
  <c r="AA47" i="50"/>
  <c r="AC47" i="50"/>
  <c r="AE47" i="50"/>
  <c r="AG47" i="50"/>
  <c r="AI47" i="50"/>
  <c r="AK47" i="50"/>
  <c r="AM47" i="50"/>
  <c r="AO47" i="50"/>
  <c r="B48" i="50"/>
  <c r="D48" i="50"/>
  <c r="F48" i="50"/>
  <c r="H48" i="50"/>
  <c r="J48" i="50"/>
  <c r="L48" i="50"/>
  <c r="N48" i="50"/>
  <c r="O48" i="50"/>
  <c r="Q48" i="50"/>
  <c r="S48" i="50"/>
  <c r="U48" i="50"/>
  <c r="W48" i="50"/>
  <c r="Y48" i="50"/>
  <c r="AA48" i="50"/>
  <c r="AC48" i="50"/>
  <c r="AE48" i="50"/>
  <c r="AG48" i="50"/>
  <c r="AI48" i="50"/>
  <c r="AK48" i="50"/>
  <c r="AM48" i="50"/>
  <c r="AO48" i="50"/>
  <c r="B49" i="50"/>
  <c r="D49" i="50"/>
  <c r="F49" i="50"/>
  <c r="H49" i="50"/>
  <c r="J49" i="50"/>
  <c r="L49" i="50"/>
  <c r="N49" i="50"/>
  <c r="O49" i="50"/>
  <c r="Q49" i="50"/>
  <c r="S49" i="50"/>
  <c r="U49" i="50"/>
  <c r="W49" i="50"/>
  <c r="Y49" i="50"/>
  <c r="AA49" i="50"/>
  <c r="AC49" i="50"/>
  <c r="AE49" i="50"/>
  <c r="AG49" i="50"/>
  <c r="AI49" i="50"/>
  <c r="AK49" i="50"/>
  <c r="AM49" i="50"/>
  <c r="AO49" i="50"/>
  <c r="B50" i="50"/>
  <c r="D50" i="50"/>
  <c r="F50" i="50"/>
  <c r="H50" i="50"/>
  <c r="J50" i="50"/>
  <c r="L50" i="50"/>
  <c r="N50" i="50"/>
  <c r="O50" i="50"/>
  <c r="Q50" i="50"/>
  <c r="S50" i="50"/>
  <c r="U50" i="50"/>
  <c r="W50" i="50"/>
  <c r="Y50" i="50"/>
  <c r="AA50" i="50"/>
  <c r="AC50" i="50"/>
  <c r="AE50" i="50"/>
  <c r="AG50" i="50"/>
  <c r="AI50" i="50"/>
  <c r="AK50" i="50"/>
  <c r="AM50" i="50"/>
  <c r="AO50" i="50"/>
  <c r="B51" i="50"/>
  <c r="D51" i="50"/>
  <c r="F51" i="50"/>
  <c r="H51" i="50"/>
  <c r="J51" i="50"/>
  <c r="L51" i="50"/>
  <c r="N51" i="50"/>
  <c r="O51" i="50"/>
  <c r="Q51" i="50"/>
  <c r="S51" i="50"/>
  <c r="U51" i="50"/>
  <c r="W51" i="50"/>
  <c r="Y51" i="50"/>
  <c r="AA51" i="50"/>
  <c r="AC51" i="50"/>
  <c r="AE51" i="50"/>
  <c r="AG51" i="50"/>
  <c r="AI51" i="50"/>
  <c r="AK51" i="50"/>
  <c r="AM51" i="50"/>
  <c r="AO51" i="50"/>
  <c r="B52" i="50"/>
  <c r="D52" i="50"/>
  <c r="F52" i="50"/>
  <c r="H52" i="50"/>
  <c r="J52" i="50"/>
  <c r="L52" i="50"/>
  <c r="N52" i="50"/>
  <c r="O52" i="50"/>
  <c r="Q52" i="50"/>
  <c r="S52" i="50"/>
  <c r="U52" i="50"/>
  <c r="W52" i="50"/>
  <c r="Y52" i="50"/>
  <c r="AA52" i="50"/>
  <c r="AC52" i="50"/>
  <c r="AE52" i="50"/>
  <c r="AG52" i="50"/>
  <c r="AI52" i="50"/>
  <c r="AK52" i="50"/>
  <c r="AM52" i="50"/>
  <c r="AO52" i="50"/>
  <c r="B53" i="50"/>
  <c r="D53" i="50"/>
  <c r="F53" i="50"/>
  <c r="H53" i="50"/>
  <c r="J53" i="50"/>
  <c r="L53" i="50"/>
  <c r="N53" i="50"/>
  <c r="O53" i="50"/>
  <c r="Q53" i="50"/>
  <c r="S53" i="50"/>
  <c r="U53" i="50"/>
  <c r="W53" i="50"/>
  <c r="Y53" i="50"/>
  <c r="AA53" i="50"/>
  <c r="AC53" i="50"/>
  <c r="AE53" i="50"/>
  <c r="AG53" i="50"/>
  <c r="AI53" i="50"/>
  <c r="AK53" i="50"/>
  <c r="AM53" i="50"/>
  <c r="AO53" i="50"/>
  <c r="B54" i="50"/>
  <c r="D54" i="50"/>
  <c r="F54" i="50"/>
  <c r="H54" i="50"/>
  <c r="J54" i="50"/>
  <c r="L54" i="50"/>
  <c r="N54" i="50"/>
  <c r="O54" i="50"/>
  <c r="Q54" i="50"/>
  <c r="S54" i="50"/>
  <c r="U54" i="50"/>
  <c r="W54" i="50"/>
  <c r="Y54" i="50"/>
  <c r="AA54" i="50"/>
  <c r="AC54" i="50"/>
  <c r="AE54" i="50"/>
  <c r="AG54" i="50"/>
  <c r="AI54" i="50"/>
  <c r="AK54" i="50"/>
  <c r="AM54" i="50"/>
  <c r="AO54" i="50"/>
  <c r="B55" i="50"/>
  <c r="D55" i="50"/>
  <c r="F55" i="50"/>
  <c r="H55" i="50"/>
  <c r="J55" i="50"/>
  <c r="L55" i="50"/>
  <c r="N55" i="50"/>
  <c r="O55" i="50"/>
  <c r="Q55" i="50"/>
  <c r="S55" i="50"/>
  <c r="U55" i="50"/>
  <c r="W55" i="50"/>
  <c r="Y55" i="50"/>
  <c r="AA55" i="50"/>
  <c r="AC55" i="50"/>
  <c r="AE55" i="50"/>
  <c r="AG55" i="50"/>
  <c r="AI55" i="50"/>
  <c r="AK55" i="50"/>
  <c r="AM55" i="50"/>
  <c r="AO55" i="50"/>
  <c r="B56" i="50"/>
  <c r="D56" i="50"/>
  <c r="F56" i="50"/>
  <c r="H56" i="50"/>
  <c r="J56" i="50"/>
  <c r="L56" i="50"/>
  <c r="N56" i="50"/>
  <c r="O56" i="50"/>
  <c r="Q56" i="50"/>
  <c r="S56" i="50"/>
  <c r="U56" i="50"/>
  <c r="W56" i="50"/>
  <c r="Y56" i="50"/>
  <c r="AA56" i="50"/>
  <c r="AC56" i="50"/>
  <c r="AE56" i="50"/>
  <c r="AG56" i="50"/>
  <c r="AI56" i="50"/>
  <c r="AK56" i="50"/>
  <c r="AM56" i="50"/>
  <c r="AO56" i="50"/>
  <c r="B58" i="50"/>
  <c r="D58" i="50"/>
  <c r="F58" i="50"/>
  <c r="H58" i="50"/>
  <c r="J58" i="50"/>
  <c r="L58" i="50"/>
  <c r="N58" i="50"/>
  <c r="O58" i="50"/>
  <c r="Q58" i="50"/>
  <c r="S58" i="50"/>
  <c r="U58" i="50"/>
  <c r="W58" i="50"/>
  <c r="Y58" i="50"/>
  <c r="AA58" i="50"/>
  <c r="AC58" i="50"/>
  <c r="AE58" i="50"/>
  <c r="AG58" i="50"/>
  <c r="AI58" i="50"/>
  <c r="AK58" i="50"/>
  <c r="AM58" i="50"/>
  <c r="AO58" i="50"/>
  <c r="AQ58" i="50"/>
  <c r="B60" i="50"/>
  <c r="D60" i="50"/>
  <c r="F60" i="50"/>
  <c r="H60" i="50"/>
  <c r="J60" i="50"/>
  <c r="L60" i="50"/>
  <c r="N60" i="50"/>
  <c r="O60" i="50"/>
  <c r="Q60" i="50"/>
  <c r="S60" i="50"/>
  <c r="U60" i="50"/>
  <c r="W60" i="50"/>
  <c r="Y60" i="50"/>
  <c r="AA60" i="50"/>
  <c r="AC60" i="50"/>
  <c r="AE60" i="50"/>
  <c r="AG60" i="50"/>
  <c r="AI60" i="50"/>
  <c r="AK60" i="50"/>
  <c r="AM60" i="50"/>
  <c r="AO60" i="50"/>
  <c r="AQ60" i="50"/>
  <c r="B62" i="50"/>
  <c r="D62" i="50"/>
  <c r="F62" i="50"/>
  <c r="H62" i="50"/>
  <c r="J62" i="50"/>
  <c r="L62" i="50"/>
  <c r="N62" i="50"/>
  <c r="O62" i="50"/>
  <c r="Q62" i="50"/>
  <c r="S62" i="50"/>
  <c r="U62" i="50"/>
  <c r="W62" i="50"/>
  <c r="Y62" i="50"/>
  <c r="AA62" i="50"/>
  <c r="AC62" i="50"/>
  <c r="AE62" i="50"/>
  <c r="AG62" i="50"/>
  <c r="AI62" i="50"/>
  <c r="AK62" i="50"/>
  <c r="AM62" i="50"/>
  <c r="AO62" i="50"/>
  <c r="B64" i="50"/>
  <c r="D64" i="50"/>
  <c r="F64" i="50"/>
  <c r="H64" i="50"/>
  <c r="J64" i="50"/>
  <c r="L64" i="50"/>
  <c r="N64" i="50"/>
  <c r="O64" i="50"/>
  <c r="Q64" i="50"/>
  <c r="S64" i="50"/>
  <c r="U64" i="50"/>
  <c r="W64" i="50"/>
  <c r="Y64" i="50"/>
  <c r="AA64" i="50"/>
  <c r="AC64" i="50"/>
  <c r="AE64" i="50"/>
  <c r="AG64" i="50"/>
  <c r="AI64" i="50"/>
  <c r="AK64" i="50"/>
  <c r="AM64" i="50"/>
  <c r="AO64" i="50"/>
  <c r="AQ64" i="50"/>
</calcChain>
</file>

<file path=xl/comments1.xml><?xml version="1.0" encoding="utf-8"?>
<comments xmlns="http://schemas.openxmlformats.org/spreadsheetml/2006/main">
  <authors>
    <author>David Hunt</author>
  </authors>
  <commentList>
    <comment ref="R50" authorId="0" shapeId="0">
      <text>
        <r>
          <rPr>
            <b/>
            <sz val="8"/>
            <color indexed="81"/>
            <rFont val="Tahoma"/>
          </rPr>
          <t>David Hunt:</t>
        </r>
        <r>
          <rPr>
            <sz val="8"/>
            <color indexed="81"/>
            <rFont val="Tahoma"/>
          </rPr>
          <t xml:space="preserve">
PUMC was 
 Subrtacted
</t>
        </r>
      </text>
    </comment>
  </commentList>
</comments>
</file>

<file path=xl/sharedStrings.xml><?xml version="1.0" encoding="utf-8"?>
<sst xmlns="http://schemas.openxmlformats.org/spreadsheetml/2006/main" count="2218" uniqueCount="301">
  <si>
    <t>Top Variances</t>
  </si>
  <si>
    <t>2000 YTD Actuals</t>
  </si>
  <si>
    <t>Headcount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</si>
  <si>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</si>
  <si>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</si>
  <si>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</si>
  <si>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</si>
  <si>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</si>
  <si>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</si>
  <si>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</si>
  <si>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</si>
  <si>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 xml:space="preserve">   Total Direct Expenses</t>
  </si>
  <si>
    <t>Original Plan</t>
  </si>
  <si>
    <t>Variance Reason 1</t>
  </si>
  <si>
    <t>Variance Reason 2</t>
  </si>
  <si>
    <t>Variance Reason 3</t>
  </si>
  <si>
    <t>Variance Reason 4</t>
  </si>
  <si>
    <t>Subtotal</t>
  </si>
  <si>
    <t>Cost Center Name</t>
  </si>
  <si>
    <t>Cost Center Number</t>
  </si>
  <si>
    <t>Total Yr</t>
  </si>
  <si>
    <t>Projection</t>
  </si>
  <si>
    <t>Target</t>
  </si>
  <si>
    <t>Orig. Plan</t>
  </si>
  <si>
    <t>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</si>
  <si>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</si>
  <si>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</si>
  <si>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</si>
  <si>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</si>
  <si>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</si>
  <si>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</si>
  <si>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</si>
  <si>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</si>
  <si>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</si>
  <si>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</si>
  <si>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</si>
  <si>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</si>
  <si>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</si>
  <si>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O&amp;M Expenses</t>
  </si>
  <si>
    <t>Detail</t>
  </si>
  <si>
    <t>Distribution :</t>
  </si>
  <si>
    <t>#</t>
  </si>
  <si>
    <t>Class</t>
  </si>
  <si>
    <t>Enron Management Inc</t>
  </si>
  <si>
    <t>Risk Assessment &amp; Control</t>
  </si>
  <si>
    <t>HPL</t>
  </si>
  <si>
    <t>Transwestern</t>
  </si>
  <si>
    <t>Florida Gas Transmission</t>
  </si>
  <si>
    <t>Enron Engineering &amp; Construction</t>
  </si>
  <si>
    <t>NEPCO</t>
  </si>
  <si>
    <t>Citrus Corp</t>
  </si>
  <si>
    <t>EOTT Energy</t>
  </si>
  <si>
    <t>Enron Oil and Gas</t>
  </si>
  <si>
    <t>Northern Plains</t>
  </si>
  <si>
    <t>Northern Natural Gas</t>
  </si>
  <si>
    <t>Expat Services</t>
  </si>
  <si>
    <t>GPG Executive</t>
  </si>
  <si>
    <t>Citrus Trading</t>
  </si>
  <si>
    <t>Clean Fuels - Methanol</t>
  </si>
  <si>
    <t>ECT - N.A.</t>
  </si>
  <si>
    <t>GPG Finance &amp; Accounting</t>
  </si>
  <si>
    <t>Operation Technical Support</t>
  </si>
  <si>
    <t>Clean Fuels - MTBE</t>
  </si>
  <si>
    <t>Enron Global Products (Europe)</t>
  </si>
  <si>
    <t>GPG Human Resources</t>
  </si>
  <si>
    <t>GPG Legal</t>
  </si>
  <si>
    <t>HPL Operations</t>
  </si>
  <si>
    <t>NBP Services</t>
  </si>
  <si>
    <t>LRCO</t>
  </si>
  <si>
    <t>HPLP</t>
  </si>
  <si>
    <t>Enron Property &amp; Services</t>
  </si>
  <si>
    <t>Enron Europe</t>
  </si>
  <si>
    <t>ECM</t>
  </si>
  <si>
    <t>Enron Transition Co</t>
  </si>
  <si>
    <t>16R</t>
  </si>
  <si>
    <t>ECI</t>
  </si>
  <si>
    <t>17H</t>
  </si>
  <si>
    <t>Clean Fuels - Mont Belvieu</t>
  </si>
  <si>
    <t>1A1</t>
  </si>
  <si>
    <t>Enron Renewable Energy</t>
  </si>
  <si>
    <t>1F8</t>
  </si>
  <si>
    <t>Enron Wind Corp</t>
  </si>
  <si>
    <t>1S9</t>
  </si>
  <si>
    <t>San Juan Gas Company</t>
  </si>
  <si>
    <t>1U3</t>
  </si>
  <si>
    <t>40Y</t>
  </si>
  <si>
    <t>Total Distributions</t>
  </si>
  <si>
    <t>NET EXPENSES</t>
  </si>
  <si>
    <t>DISTRIBUTION BASIS:</t>
  </si>
  <si>
    <t>2000</t>
  </si>
  <si>
    <t>EEDC</t>
  </si>
  <si>
    <t>EI</t>
  </si>
  <si>
    <t>Enron Energy Services (Less Wind)</t>
  </si>
  <si>
    <t>Portland General Electric (Less Union)</t>
  </si>
  <si>
    <t>AZURIX (Less Pumc)</t>
  </si>
  <si>
    <t>BASED UPON HEADCOUNT</t>
  </si>
  <si>
    <t>YTD Distributions - absolute value</t>
  </si>
  <si>
    <t>YTD Allocations</t>
  </si>
  <si>
    <t>YTD Actuals</t>
  </si>
  <si>
    <t>GROUP_DESC</t>
  </si>
  <si>
    <t>GL Acct</t>
  </si>
  <si>
    <t>Acct Description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</si>
  <si>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</si>
  <si>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</si>
  <si>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</si>
  <si>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</si>
  <si>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</si>
  <si>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</si>
  <si>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</si>
  <si>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</si>
  <si>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</si>
  <si>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</si>
  <si>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</si>
  <si>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</si>
  <si>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REPORT YEAR</t>
  </si>
  <si>
    <t>REPORT MONTH</t>
  </si>
  <si>
    <t>Company</t>
  </si>
  <si>
    <t>Cost Center</t>
  </si>
  <si>
    <t>GL ACCT</t>
  </si>
  <si>
    <t>Description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</si>
  <si>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</si>
  <si>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</si>
  <si>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</si>
  <si>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</si>
  <si>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</si>
  <si>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</si>
  <si>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</si>
  <si>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</si>
  <si>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</si>
  <si>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</si>
  <si>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</si>
  <si>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 CODE</t>
  </si>
  <si>
    <t>May</t>
  </si>
  <si>
    <t>Month</t>
  </si>
  <si>
    <t>Personnel</t>
  </si>
  <si>
    <t>Office</t>
  </si>
  <si>
    <t>Equipment</t>
  </si>
  <si>
    <t>Consultants</t>
  </si>
  <si>
    <t>Others</t>
  </si>
  <si>
    <t>Depreciation</t>
  </si>
  <si>
    <t xml:space="preserve"> </t>
  </si>
  <si>
    <t>Current Month Spending vs. Plan</t>
  </si>
  <si>
    <t>Notes:</t>
  </si>
  <si>
    <t>Cur Mth</t>
  </si>
  <si>
    <t>Fav/(Unfav)</t>
  </si>
  <si>
    <t>YTD Spending vs. Plan</t>
  </si>
  <si>
    <t>Budget</t>
  </si>
  <si>
    <t>Personnel contains:  compensation, benefits &amp; payroll taxes, employee expenses and recruiting</t>
  </si>
  <si>
    <t>Office includes:  supplies, Corp IT, rent</t>
  </si>
  <si>
    <t>Equipment is technology and Consultant is outside services</t>
  </si>
  <si>
    <t>Trend Analysis</t>
  </si>
  <si>
    <t>Plan vs Spending</t>
  </si>
  <si>
    <t>Actual to date</t>
  </si>
  <si>
    <t>Spending vs. Plan</t>
  </si>
  <si>
    <t>Consultants: Outside services</t>
  </si>
  <si>
    <t>Intercompany billings</t>
  </si>
  <si>
    <t>O&amp;M REPORTING</t>
  </si>
  <si>
    <t>Year to Date Plan vs. Spending (in thousands)</t>
  </si>
  <si>
    <t>Current Month Plan vs. Spending (in thousands)</t>
  </si>
  <si>
    <t>YTD Favorable/(Unfavorable)</t>
  </si>
  <si>
    <t>ENRON NET WORKS</t>
  </si>
  <si>
    <t>Total Expenses</t>
  </si>
  <si>
    <t>2001 Total budget vs. Year to date Spending</t>
  </si>
  <si>
    <t>Intercompany billings/Allocation</t>
  </si>
  <si>
    <t>Other consists of:  marketing, transportations and charities</t>
  </si>
  <si>
    <t>Intercompany billings:  I/C billings to other BUs and Allocation within ENW</t>
  </si>
  <si>
    <t>Distribution to Other Business Units</t>
  </si>
  <si>
    <t>Enron Net Works</t>
  </si>
  <si>
    <t>Margin</t>
  </si>
  <si>
    <t>Compensation</t>
  </si>
  <si>
    <t>Benefits and Payroll Taxes</t>
  </si>
  <si>
    <t>Employee Expenses</t>
  </si>
  <si>
    <t>Recruiting</t>
  </si>
  <si>
    <t>Supplies Expense</t>
  </si>
  <si>
    <t>Marketing</t>
  </si>
  <si>
    <t>Charitable Contributions</t>
  </si>
  <si>
    <t>Rent (3rd Party)</t>
  </si>
  <si>
    <t>Technology</t>
  </si>
  <si>
    <t>A&amp;A Allocation</t>
  </si>
  <si>
    <t>Other Expenses</t>
  </si>
  <si>
    <t>Taxes Other Than Income</t>
  </si>
  <si>
    <t>Depreciation &amp; Amortization</t>
  </si>
  <si>
    <t>Allocated Expenses:</t>
  </si>
  <si>
    <t>ENW Accounting</t>
  </si>
  <si>
    <t>ENW HR</t>
  </si>
  <si>
    <t>ENW Graphics Productions</t>
  </si>
  <si>
    <t>Energy Ops</t>
  </si>
  <si>
    <t>ENA Tax</t>
  </si>
  <si>
    <t>ENA Legal</t>
  </si>
  <si>
    <t>ENA HR</t>
  </si>
  <si>
    <t>ENA E-Source</t>
  </si>
  <si>
    <t>IT e-Commerce</t>
  </si>
  <si>
    <t>ENA Transaction Support</t>
  </si>
  <si>
    <t>ENA PR</t>
  </si>
  <si>
    <t xml:space="preserve">   Total Allocated Expenses</t>
  </si>
  <si>
    <t xml:space="preserve">    Expenses Subtotal</t>
  </si>
  <si>
    <t xml:space="preserve">    Allocation to others</t>
  </si>
  <si>
    <t>IBIT</t>
  </si>
  <si>
    <t>IT Infrastructure</t>
  </si>
  <si>
    <t>Communication Expenses</t>
  </si>
  <si>
    <t>Outside Services - Others</t>
  </si>
  <si>
    <t>Outside Services - IT</t>
  </si>
  <si>
    <t>ENW Corporate</t>
  </si>
  <si>
    <t>Compensation Settlements</t>
  </si>
  <si>
    <t>GTT Allocation</t>
  </si>
  <si>
    <t>EPSC Allocation</t>
  </si>
  <si>
    <t>ENA Internal Support</t>
  </si>
  <si>
    <t>Comm &amp; Market Data Alloc</t>
  </si>
  <si>
    <t>ENW EOL Allocation</t>
  </si>
  <si>
    <t>Management Overview</t>
  </si>
  <si>
    <t>Finance Allocation</t>
  </si>
  <si>
    <t>01</t>
  </si>
  <si>
    <t>06</t>
  </si>
  <si>
    <t>083E</t>
  </si>
  <si>
    <t>103832</t>
  </si>
  <si>
    <t>ENW-Energy Ops Texas</t>
  </si>
  <si>
    <t>80020407</t>
  </si>
  <si>
    <t>ENW - Energy Ops</t>
  </si>
  <si>
    <t>NWEODC17  ENW EOPS TEXAS TRADING SUPPORT</t>
  </si>
  <si>
    <t>LOGISTICS ENW EO Logistics alloc to ENA</t>
  </si>
  <si>
    <t>103832    Texas Trading Support</t>
  </si>
  <si>
    <t>80020412</t>
  </si>
  <si>
    <t>ENW - Corp A&amp;A Alloc</t>
  </si>
  <si>
    <t>ENWA&amp;ACORRENW March A&amp;A Correction</t>
  </si>
  <si>
    <t>ENWA&amp;A    ENW ANAL &amp; ASSOC ALLOCATION</t>
  </si>
  <si>
    <t>52001000</t>
  </si>
  <si>
    <t>Emp-Pen &amp; Ben</t>
  </si>
  <si>
    <t>59003000</t>
  </si>
  <si>
    <t>Payroll Tax-FICA</t>
  </si>
  <si>
    <t>59003100</t>
  </si>
  <si>
    <t>Payroll Tax-FUTA Uti</t>
  </si>
  <si>
    <t>59003200</t>
  </si>
  <si>
    <t>Pyrll Tax-SUTA-Util</t>
  </si>
  <si>
    <t>59099900</t>
  </si>
  <si>
    <t>Tax Expense-Other</t>
  </si>
  <si>
    <t>52502000</t>
  </si>
  <si>
    <t>EIS Allocations</t>
  </si>
  <si>
    <t>Direct Voice Services</t>
  </si>
  <si>
    <t>Market Data</t>
  </si>
  <si>
    <t>Telephone Service</t>
  </si>
  <si>
    <t>Long Distance</t>
  </si>
  <si>
    <t>Direct Voice Services Adjustment</t>
  </si>
  <si>
    <t>52503500</t>
  </si>
  <si>
    <t>Communications Exp</t>
  </si>
  <si>
    <t>NWEOMV14  MOVE FROM 105633 TO 103832</t>
  </si>
  <si>
    <t>Mike Olsen's Cellular Invoice</t>
  </si>
  <si>
    <t>Moving from ENA to ENW EO</t>
  </si>
  <si>
    <t>52000500</t>
  </si>
  <si>
    <t>Salaries and Wages</t>
  </si>
  <si>
    <t>52001500</t>
  </si>
  <si>
    <t>Emp-Club Dues</t>
  </si>
  <si>
    <t>52002000</t>
  </si>
  <si>
    <t>Emp-Tuit/Fee/Ed Asst</t>
  </si>
  <si>
    <t>Ernie chargeback for March</t>
  </si>
  <si>
    <t>52003000</t>
  </si>
  <si>
    <t>Emp-Group Meals &amp; En</t>
  </si>
  <si>
    <t>52003500</t>
  </si>
  <si>
    <t>Emp-ClntMeals&amp;Entnmt</t>
  </si>
  <si>
    <t>52004000</t>
  </si>
  <si>
    <t>Emp-Prof Mem/Dues</t>
  </si>
  <si>
    <t>EXP010411-12191</t>
  </si>
  <si>
    <t>52004500</t>
  </si>
  <si>
    <t>Emp-Travel/Lodging</t>
  </si>
  <si>
    <t>doubletree</t>
  </si>
  <si>
    <t>52502500</t>
  </si>
  <si>
    <t>EPSC Allocations</t>
  </si>
  <si>
    <t>EPSC cgs - rcls old C.C.</t>
  </si>
  <si>
    <t>From EPSC Interface</t>
  </si>
  <si>
    <t>52507500</t>
  </si>
  <si>
    <t>Outside Serv-Other</t>
  </si>
  <si>
    <t>53500500</t>
  </si>
  <si>
    <t>Mat &amp; Sup-Non Stock</t>
  </si>
  <si>
    <t>53600000</t>
  </si>
  <si>
    <t>Supplies &amp; Offc Exp</t>
  </si>
  <si>
    <t>52002500</t>
  </si>
  <si>
    <t>Emp-Expense Other</t>
  </si>
  <si>
    <t>Energy Operations</t>
  </si>
  <si>
    <t>Last Name</t>
  </si>
  <si>
    <t>First Name</t>
  </si>
  <si>
    <t>MI</t>
  </si>
  <si>
    <t>Known As</t>
  </si>
  <si>
    <t>Title</t>
  </si>
  <si>
    <t>Group</t>
  </si>
  <si>
    <t>CCtr#</t>
  </si>
  <si>
    <t>Farmer</t>
  </si>
  <si>
    <t>Jerry</t>
  </si>
  <si>
    <t>Daren</t>
  </si>
  <si>
    <t>Mgr Logistics</t>
  </si>
  <si>
    <t>ENW-Energy Ops Texas Trading Support</t>
  </si>
  <si>
    <t>103832 Count</t>
  </si>
  <si>
    <t xml:space="preserve">    Allocation to others Total</t>
  </si>
  <si>
    <t>A&amp;A Allocation Total</t>
  </si>
  <si>
    <t>Benefits and Payroll Taxes Total</t>
  </si>
  <si>
    <t>Comm &amp; Market Data Alloc Total</t>
  </si>
  <si>
    <t>Communication Expenses Total</t>
  </si>
  <si>
    <t>Compensation Total</t>
  </si>
  <si>
    <t>Employee Expenses Total</t>
  </si>
  <si>
    <t>EPSC Allocation Total</t>
  </si>
  <si>
    <t>Outside Services - Others Total</t>
  </si>
  <si>
    <t>Supplies Expense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</si>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</sst>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89" formatCode="mmmmm"/>
    <numFmt numFmtId="190" formatCode="mmmm"/>
    <numFmt numFmtId="191" formatCode="0.00_);[Red]\(0.00\)"/>
    <numFmt numFmtId="194" formatCode="dd\-mmm\-yy"/>
  </numFmts>
  <fonts count="4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8.5"/>
      <color indexed="8"/>
      <name val="Arial"/>
      <family val="2"/>
    </font>
    <font>
      <sz val="10"/>
      <color indexed="8"/>
      <name val="Arial"/>
    </font>
    <font>
      <b/>
      <sz val="12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i/>
      <u/>
      <sz val="12"/>
      <color indexed="10"/>
      <name val="Arial"/>
      <family val="2"/>
    </font>
    <font>
      <sz val="12"/>
      <color indexed="12"/>
      <name val="Arial"/>
      <family val="2"/>
    </font>
    <font>
      <b/>
      <u/>
      <sz val="12"/>
      <name val="Arial"/>
      <family val="2"/>
    </font>
    <font>
      <b/>
      <i/>
      <sz val="12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7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1"/>
      <color indexed="17"/>
      <name val="Times New Roman"/>
      <family val="1"/>
    </font>
    <font>
      <sz val="10"/>
      <color indexed="10"/>
      <name val="Times New Roman"/>
      <family val="1"/>
    </font>
    <font>
      <b/>
      <sz val="13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0" fillId="0" borderId="0" xfId="0" applyFill="1"/>
    <xf numFmtId="0" fontId="3" fillId="0" borderId="0" xfId="0" quotePrefix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4" fillId="0" borderId="0" xfId="0" applyFont="1" applyFill="1"/>
    <xf numFmtId="0" fontId="10" fillId="0" borderId="0" xfId="0" applyFont="1" applyFill="1"/>
    <xf numFmtId="3" fontId="10" fillId="0" borderId="0" xfId="0" applyNumberFormat="1" applyFont="1" applyFill="1" applyBorder="1"/>
    <xf numFmtId="0" fontId="10" fillId="0" borderId="0" xfId="0" applyNumberFormat="1" applyFont="1" applyFill="1"/>
    <xf numFmtId="0" fontId="10" fillId="0" borderId="0" xfId="0" applyNumberFormat="1" applyFont="1" applyFill="1" applyBorder="1"/>
    <xf numFmtId="0" fontId="11" fillId="0" borderId="0" xfId="7" applyFont="1" applyFill="1" applyBorder="1" applyAlignment="1">
      <alignment horizontal="left"/>
    </xf>
    <xf numFmtId="0" fontId="11" fillId="0" borderId="1" xfId="7" applyFont="1" applyFill="1" applyBorder="1" applyAlignment="1">
      <alignment horizontal="left"/>
    </xf>
    <xf numFmtId="0" fontId="11" fillId="0" borderId="2" xfId="7" applyFont="1" applyFill="1" applyBorder="1" applyAlignment="1">
      <alignment horizontal="left"/>
    </xf>
    <xf numFmtId="43" fontId="11" fillId="0" borderId="3" xfId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left"/>
    </xf>
    <xf numFmtId="0" fontId="12" fillId="0" borderId="0" xfId="0" applyNumberFormat="1" applyFont="1" applyFill="1"/>
    <xf numFmtId="43" fontId="11" fillId="0" borderId="2" xfId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right"/>
    </xf>
    <xf numFmtId="0" fontId="10" fillId="0" borderId="0" xfId="0" quotePrefix="1" applyNumberFormat="1" applyFont="1" applyFill="1" applyAlignment="1"/>
    <xf numFmtId="0" fontId="13" fillId="0" borderId="0" xfId="0" quotePrefix="1" applyNumberFormat="1" applyFont="1" applyFill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Border="1"/>
    <xf numFmtId="6" fontId="6" fillId="0" borderId="0" xfId="0" applyNumberFormat="1" applyFont="1" applyFill="1" applyBorder="1"/>
    <xf numFmtId="6" fontId="0" fillId="0" borderId="0" xfId="0" applyNumberFormat="1" applyFill="1" applyBorder="1"/>
    <xf numFmtId="6" fontId="4" fillId="0" borderId="0" xfId="0" applyNumberFormat="1" applyFont="1" applyFill="1"/>
    <xf numFmtId="6" fontId="5" fillId="0" borderId="4" xfId="0" applyNumberFormat="1" applyFont="1" applyFill="1" applyBorder="1" applyAlignment="1"/>
    <xf numFmtId="0" fontId="5" fillId="2" borderId="0" xfId="0" applyFont="1" applyFill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5" fillId="0" borderId="0" xfId="3" applyFont="1"/>
    <xf numFmtId="0" fontId="10" fillId="0" borderId="0" xfId="0" applyFont="1"/>
    <xf numFmtId="6" fontId="6" fillId="0" borderId="0" xfId="0" applyNumberFormat="1" applyFont="1" applyFill="1" applyBorder="1" applyAlignment="1"/>
    <xf numFmtId="165" fontId="17" fillId="0" borderId="0" xfId="1" applyNumberFormat="1" applyFont="1" applyAlignment="1">
      <alignment horizontal="left"/>
    </xf>
    <xf numFmtId="165" fontId="17" fillId="0" borderId="0" xfId="1" applyNumberFormat="1" applyFont="1" applyAlignment="1">
      <alignment horizontal="centerContinuous"/>
    </xf>
    <xf numFmtId="165" fontId="1" fillId="0" borderId="0" xfId="1" applyNumberFormat="1" applyAlignment="1">
      <alignment horizontal="center"/>
    </xf>
    <xf numFmtId="165" fontId="1" fillId="0" borderId="0" xfId="1" applyNumberFormat="1"/>
    <xf numFmtId="165" fontId="18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165" fontId="17" fillId="0" borderId="5" xfId="1" applyNumberFormat="1" applyFont="1" applyBorder="1" applyAlignment="1">
      <alignment horizontal="center"/>
    </xf>
    <xf numFmtId="165" fontId="17" fillId="0" borderId="4" xfId="1" applyNumberFormat="1" applyFont="1" applyBorder="1" applyAlignment="1">
      <alignment horizontal="center"/>
    </xf>
    <xf numFmtId="165" fontId="17" fillId="0" borderId="6" xfId="1" applyNumberFormat="1" applyFont="1" applyBorder="1" applyAlignment="1">
      <alignment horizontal="center"/>
    </xf>
    <xf numFmtId="165" fontId="17" fillId="0" borderId="0" xfId="1" applyNumberFormat="1" applyFont="1" applyBorder="1" applyAlignment="1">
      <alignment horizontal="center"/>
    </xf>
    <xf numFmtId="165" fontId="17" fillId="0" borderId="0" xfId="1" applyNumberFormat="1" applyFont="1"/>
    <xf numFmtId="165" fontId="17" fillId="0" borderId="5" xfId="1" applyNumberFormat="1" applyFont="1" applyBorder="1"/>
    <xf numFmtId="165" fontId="17" fillId="0" borderId="0" xfId="1" applyNumberFormat="1" applyFont="1" applyAlignment="1">
      <alignment horizontal="center"/>
    </xf>
    <xf numFmtId="165" fontId="1" fillId="0" borderId="5" xfId="1" applyNumberFormat="1" applyBorder="1"/>
    <xf numFmtId="165" fontId="21" fillId="0" borderId="0" xfId="1" applyNumberFormat="1" applyFont="1" applyAlignment="1">
      <alignment horizontal="center"/>
    </xf>
    <xf numFmtId="165" fontId="22" fillId="0" borderId="0" xfId="1" applyNumberFormat="1" applyFont="1"/>
    <xf numFmtId="165" fontId="21" fillId="0" borderId="0" xfId="1" quotePrefix="1" applyNumberFormat="1" applyFont="1" applyAlignment="1">
      <alignment horizontal="center"/>
    </xf>
    <xf numFmtId="165" fontId="23" fillId="0" borderId="0" xfId="1" applyNumberFormat="1" applyFont="1" applyBorder="1"/>
    <xf numFmtId="165" fontId="1" fillId="0" borderId="7" xfId="1" applyNumberFormat="1" applyBorder="1"/>
    <xf numFmtId="165" fontId="1" fillId="0" borderId="8" xfId="1" applyNumberFormat="1" applyBorder="1"/>
    <xf numFmtId="165" fontId="1" fillId="0" borderId="0" xfId="1" applyNumberFormat="1" applyBorder="1"/>
    <xf numFmtId="165" fontId="1" fillId="0" borderId="0" xfId="1" applyNumberFormat="1" applyBorder="1" applyAlignment="1">
      <alignment horizontal="center"/>
    </xf>
    <xf numFmtId="165" fontId="1" fillId="0" borderId="9" xfId="1" applyNumberFormat="1" applyBorder="1"/>
    <xf numFmtId="165" fontId="1" fillId="0" borderId="0" xfId="1" applyNumberFormat="1" applyFont="1"/>
    <xf numFmtId="165" fontId="24" fillId="0" borderId="0" xfId="1" applyNumberFormat="1" applyFont="1"/>
    <xf numFmtId="165" fontId="25" fillId="0" borderId="0" xfId="1" applyNumberFormat="1" applyFont="1"/>
    <xf numFmtId="165" fontId="21" fillId="0" borderId="0" xfId="1" applyNumberFormat="1" applyFont="1"/>
    <xf numFmtId="165" fontId="1" fillId="2" borderId="0" xfId="1" applyNumberFormat="1" applyFill="1"/>
    <xf numFmtId="49" fontId="16" fillId="3" borderId="10" xfId="4" applyNumberFormat="1" applyFont="1" applyFill="1" applyBorder="1" applyAlignment="1">
      <alignment horizontal="center"/>
    </xf>
    <xf numFmtId="49" fontId="16" fillId="0" borderId="2" xfId="4" applyNumberFormat="1" applyFont="1" applyFill="1" applyBorder="1" applyAlignment="1">
      <alignment horizontal="left"/>
    </xf>
    <xf numFmtId="49" fontId="10" fillId="0" borderId="0" xfId="0" applyNumberFormat="1" applyFont="1"/>
    <xf numFmtId="49" fontId="16" fillId="3" borderId="10" xfId="6" applyNumberFormat="1" applyFont="1" applyFill="1" applyBorder="1" applyAlignment="1">
      <alignment horizontal="center"/>
    </xf>
    <xf numFmtId="49" fontId="16" fillId="0" borderId="2" xfId="6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16" fillId="0" borderId="0" xfId="5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28" fillId="0" borderId="11" xfId="0" applyFont="1" applyBorder="1"/>
    <xf numFmtId="0" fontId="29" fillId="0" borderId="12" xfId="0" applyFont="1" applyBorder="1"/>
    <xf numFmtId="0" fontId="29" fillId="0" borderId="13" xfId="0" applyFont="1" applyBorder="1"/>
    <xf numFmtId="0" fontId="29" fillId="0" borderId="0" xfId="0" applyFont="1" applyBorder="1"/>
    <xf numFmtId="0" fontId="29" fillId="0" borderId="11" xfId="0" applyFont="1" applyBorder="1"/>
    <xf numFmtId="0" fontId="28" fillId="0" borderId="14" xfId="0" applyFont="1" applyBorder="1"/>
    <xf numFmtId="0" fontId="29" fillId="0" borderId="15" xfId="0" applyFont="1" applyBorder="1"/>
    <xf numFmtId="0" fontId="29" fillId="0" borderId="14" xfId="0" applyFont="1" applyBorder="1"/>
    <xf numFmtId="0" fontId="28" fillId="0" borderId="0" xfId="0" quotePrefix="1" applyFont="1"/>
    <xf numFmtId="0" fontId="31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9" fillId="0" borderId="0" xfId="0" applyNumberFormat="1" applyFont="1"/>
    <xf numFmtId="165" fontId="29" fillId="0" borderId="0" xfId="1" applyNumberFormat="1" applyFont="1"/>
    <xf numFmtId="0" fontId="33" fillId="0" borderId="0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34" fillId="0" borderId="17" xfId="0" applyFont="1" applyBorder="1" applyAlignment="1">
      <alignment horizontal="right"/>
    </xf>
    <xf numFmtId="168" fontId="34" fillId="0" borderId="18" xfId="2" applyNumberFormat="1" applyFont="1" applyBorder="1"/>
    <xf numFmtId="0" fontId="35" fillId="0" borderId="0" xfId="0" applyFont="1" applyBorder="1"/>
    <xf numFmtId="165" fontId="29" fillId="0" borderId="19" xfId="0" applyNumberFormat="1" applyFont="1" applyBorder="1"/>
    <xf numFmtId="0" fontId="29" fillId="0" borderId="19" xfId="0" applyFont="1" applyBorder="1"/>
    <xf numFmtId="0" fontId="36" fillId="0" borderId="0" xfId="0" applyFont="1" applyBorder="1" applyAlignment="1">
      <alignment horizontal="center"/>
    </xf>
    <xf numFmtId="0" fontId="28" fillId="0" borderId="16" xfId="0" applyFont="1" applyBorder="1"/>
    <xf numFmtId="0" fontId="28" fillId="0" borderId="0" xfId="0" applyFont="1" applyBorder="1"/>
    <xf numFmtId="0" fontId="37" fillId="0" borderId="20" xfId="0" applyFont="1" applyBorder="1"/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20" xfId="0" applyFont="1" applyBorder="1"/>
    <xf numFmtId="0" fontId="29" fillId="0" borderId="21" xfId="0" applyFont="1" applyBorder="1"/>
    <xf numFmtId="0" fontId="31" fillId="0" borderId="2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5" xfId="0" applyFont="1" applyBorder="1"/>
    <xf numFmtId="3" fontId="29" fillId="0" borderId="0" xfId="0" applyNumberFormat="1" applyFont="1" applyBorder="1"/>
    <xf numFmtId="4" fontId="29" fillId="0" borderId="0" xfId="0" applyNumberFormat="1" applyFont="1" applyBorder="1"/>
    <xf numFmtId="4" fontId="29" fillId="0" borderId="23" xfId="0" applyNumberFormat="1" applyFont="1" applyBorder="1"/>
    <xf numFmtId="165" fontId="29" fillId="0" borderId="0" xfId="0" applyNumberFormat="1" applyFont="1" applyBorder="1"/>
    <xf numFmtId="0" fontId="28" fillId="0" borderId="5" xfId="0" applyFont="1" applyBorder="1"/>
    <xf numFmtId="0" fontId="31" fillId="0" borderId="0" xfId="0" applyFont="1" applyBorder="1"/>
    <xf numFmtId="165" fontId="29" fillId="0" borderId="23" xfId="0" applyNumberFormat="1" applyFont="1" applyBorder="1"/>
    <xf numFmtId="0" fontId="31" fillId="0" borderId="6" xfId="0" applyFont="1" applyBorder="1"/>
    <xf numFmtId="3" fontId="29" fillId="0" borderId="4" xfId="0" applyNumberFormat="1" applyFont="1" applyBorder="1"/>
    <xf numFmtId="4" fontId="29" fillId="0" borderId="4" xfId="0" applyNumberFormat="1" applyFont="1" applyBorder="1"/>
    <xf numFmtId="4" fontId="29" fillId="0" borderId="24" xfId="0" applyNumberFormat="1" applyFont="1" applyBorder="1"/>
    <xf numFmtId="0" fontId="28" fillId="0" borderId="6" xfId="0" applyFont="1" applyBorder="1"/>
    <xf numFmtId="0" fontId="31" fillId="0" borderId="4" xfId="0" applyFont="1" applyBorder="1"/>
    <xf numFmtId="165" fontId="29" fillId="0" borderId="4" xfId="0" applyNumberFormat="1" applyFont="1" applyBorder="1"/>
    <xf numFmtId="165" fontId="29" fillId="0" borderId="24" xfId="0" applyNumberFormat="1" applyFont="1" applyBorder="1"/>
    <xf numFmtId="17" fontId="31" fillId="0" borderId="0" xfId="0" applyNumberFormat="1" applyFont="1" applyBorder="1"/>
    <xf numFmtId="165" fontId="29" fillId="0" borderId="0" xfId="1" applyNumberFormat="1" applyFont="1" applyBorder="1"/>
    <xf numFmtId="0" fontId="38" fillId="0" borderId="0" xfId="0" applyFont="1" applyAlignment="1">
      <alignment horizontal="center"/>
    </xf>
    <xf numFmtId="0" fontId="38" fillId="0" borderId="25" xfId="0" applyFont="1" applyBorder="1" applyAlignment="1">
      <alignment horizontal="center"/>
    </xf>
    <xf numFmtId="0" fontId="29" fillId="0" borderId="26" xfId="0" applyFont="1" applyBorder="1"/>
    <xf numFmtId="190" fontId="31" fillId="0" borderId="14" xfId="0" applyNumberFormat="1" applyFont="1" applyBorder="1" applyAlignment="1">
      <alignment horizontal="center"/>
    </xf>
    <xf numFmtId="190" fontId="31" fillId="0" borderId="0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38" fontId="29" fillId="0" borderId="14" xfId="2" applyNumberFormat="1" applyFont="1" applyBorder="1"/>
    <xf numFmtId="38" fontId="29" fillId="0" borderId="0" xfId="2" applyNumberFormat="1" applyFont="1" applyBorder="1"/>
    <xf numFmtId="38" fontId="29" fillId="0" borderId="15" xfId="2" applyNumberFormat="1" applyFont="1" applyBorder="1"/>
    <xf numFmtId="38" fontId="29" fillId="0" borderId="0" xfId="2" applyNumberFormat="1" applyFont="1"/>
    <xf numFmtId="38" fontId="29" fillId="0" borderId="26" xfId="2" applyNumberFormat="1" applyFont="1" applyBorder="1"/>
    <xf numFmtId="38" fontId="29" fillId="0" borderId="0" xfId="0" applyNumberFormat="1" applyFont="1"/>
    <xf numFmtId="38" fontId="29" fillId="0" borderId="27" xfId="2" applyNumberFormat="1" applyFont="1" applyBorder="1"/>
    <xf numFmtId="38" fontId="29" fillId="0" borderId="28" xfId="2" applyNumberFormat="1" applyFont="1" applyBorder="1"/>
    <xf numFmtId="38" fontId="29" fillId="0" borderId="19" xfId="2" applyNumberFormat="1" applyFont="1" applyBorder="1"/>
    <xf numFmtId="38" fontId="29" fillId="0" borderId="29" xfId="2" applyNumberFormat="1" applyFont="1" applyBorder="1"/>
    <xf numFmtId="38" fontId="29" fillId="0" borderId="30" xfId="2" applyNumberFormat="1" applyFont="1" applyBorder="1"/>
    <xf numFmtId="38" fontId="29" fillId="0" borderId="0" xfId="0" applyNumberFormat="1" applyFont="1" applyBorder="1"/>
    <xf numFmtId="38" fontId="29" fillId="0" borderId="16" xfId="2" applyNumberFormat="1" applyFont="1" applyBorder="1"/>
    <xf numFmtId="38" fontId="29" fillId="0" borderId="17" xfId="2" applyNumberFormat="1" applyFont="1" applyBorder="1"/>
    <xf numFmtId="38" fontId="29" fillId="0" borderId="18" xfId="2" applyNumberFormat="1" applyFont="1" applyBorder="1"/>
    <xf numFmtId="38" fontId="29" fillId="0" borderId="31" xfId="2" applyNumberFormat="1" applyFont="1" applyBorder="1"/>
    <xf numFmtId="168" fontId="29" fillId="0" borderId="0" xfId="2" applyNumberFormat="1" applyFont="1"/>
    <xf numFmtId="168" fontId="38" fillId="0" borderId="0" xfId="2" applyNumberFormat="1" applyFont="1" applyAlignment="1">
      <alignment horizontal="center"/>
    </xf>
    <xf numFmtId="168" fontId="38" fillId="0" borderId="25" xfId="2" applyNumberFormat="1" applyFont="1" applyBorder="1" applyAlignment="1">
      <alignment horizontal="center"/>
    </xf>
    <xf numFmtId="168" fontId="29" fillId="0" borderId="14" xfId="2" applyNumberFormat="1" applyFont="1" applyBorder="1"/>
    <xf numFmtId="168" fontId="29" fillId="0" borderId="0" xfId="2" applyNumberFormat="1" applyFont="1" applyBorder="1"/>
    <xf numFmtId="168" fontId="29" fillId="0" borderId="15" xfId="2" applyNumberFormat="1" applyFont="1" applyBorder="1"/>
    <xf numFmtId="168" fontId="29" fillId="0" borderId="26" xfId="2" applyNumberFormat="1" applyFont="1" applyBorder="1"/>
    <xf numFmtId="168" fontId="31" fillId="0" borderId="0" xfId="2" applyNumberFormat="1" applyFont="1" applyBorder="1" applyAlignment="1">
      <alignment horizontal="center"/>
    </xf>
    <xf numFmtId="168" fontId="31" fillId="0" borderId="0" xfId="2" applyNumberFormat="1" applyFont="1" applyBorder="1"/>
    <xf numFmtId="168" fontId="31" fillId="0" borderId="15" xfId="2" applyNumberFormat="1" applyFont="1" applyBorder="1" applyAlignment="1">
      <alignment horizontal="center"/>
    </xf>
    <xf numFmtId="168" fontId="31" fillId="0" borderId="0" xfId="2" applyNumberFormat="1" applyFont="1" applyAlignment="1">
      <alignment horizontal="center"/>
    </xf>
    <xf numFmtId="49" fontId="31" fillId="0" borderId="0" xfId="0" applyNumberFormat="1" applyFont="1" applyBorder="1" applyAlignment="1">
      <alignment horizontal="center"/>
    </xf>
    <xf numFmtId="168" fontId="31" fillId="0" borderId="14" xfId="2" applyNumberFormat="1" applyFont="1" applyBorder="1" applyAlignment="1">
      <alignment horizontal="center"/>
    </xf>
    <xf numFmtId="168" fontId="31" fillId="0" borderId="26" xfId="2" applyNumberFormat="1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191" fontId="29" fillId="0" borderId="14" xfId="1" applyNumberFormat="1" applyFont="1" applyBorder="1"/>
    <xf numFmtId="191" fontId="29" fillId="0" borderId="0" xfId="1" applyNumberFormat="1" applyFont="1" applyBorder="1"/>
    <xf numFmtId="191" fontId="29" fillId="0" borderId="0" xfId="1" applyNumberFormat="1" applyFont="1" applyFill="1" applyBorder="1"/>
    <xf numFmtId="191" fontId="29" fillId="0" borderId="15" xfId="1" applyNumberFormat="1" applyFont="1" applyBorder="1"/>
    <xf numFmtId="191" fontId="29" fillId="0" borderId="28" xfId="1" applyNumberFormat="1" applyFont="1" applyBorder="1"/>
    <xf numFmtId="191" fontId="29" fillId="0" borderId="19" xfId="1" applyNumberFormat="1" applyFont="1" applyBorder="1"/>
    <xf numFmtId="191" fontId="29" fillId="0" borderId="29" xfId="1" applyNumberFormat="1" applyFont="1" applyBorder="1"/>
    <xf numFmtId="43" fontId="29" fillId="0" borderId="31" xfId="1" applyFont="1" applyBorder="1"/>
    <xf numFmtId="43" fontId="29" fillId="0" borderId="0" xfId="1" applyFont="1"/>
    <xf numFmtId="191" fontId="29" fillId="0" borderId="16" xfId="1" applyNumberFormat="1" applyFont="1" applyBorder="1"/>
    <xf numFmtId="191" fontId="29" fillId="0" borderId="17" xfId="1" applyNumberFormat="1" applyFont="1" applyBorder="1"/>
    <xf numFmtId="191" fontId="29" fillId="0" borderId="17" xfId="0" applyNumberFormat="1" applyFont="1" applyBorder="1"/>
    <xf numFmtId="191" fontId="29" fillId="0" borderId="18" xfId="0" applyNumberFormat="1" applyFont="1" applyBorder="1"/>
    <xf numFmtId="17" fontId="31" fillId="0" borderId="0" xfId="0" applyNumberFormat="1" applyFont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165" fontId="29" fillId="0" borderId="0" xfId="0" applyNumberFormat="1" applyFont="1" applyBorder="1" applyAlignment="1">
      <alignment horizontal="left"/>
    </xf>
    <xf numFmtId="0" fontId="32" fillId="0" borderId="21" xfId="0" applyFont="1" applyBorder="1"/>
    <xf numFmtId="0" fontId="28" fillId="0" borderId="4" xfId="0" applyFont="1" applyBorder="1"/>
    <xf numFmtId="0" fontId="31" fillId="0" borderId="0" xfId="0" quotePrefix="1" applyFont="1" applyBorder="1" applyAlignment="1">
      <alignment horizontal="center"/>
    </xf>
    <xf numFmtId="37" fontId="29" fillId="0" borderId="0" xfId="0" applyNumberFormat="1" applyFont="1" applyBorder="1"/>
    <xf numFmtId="37" fontId="29" fillId="0" borderId="0" xfId="0" applyNumberFormat="1" applyFont="1"/>
    <xf numFmtId="49" fontId="29" fillId="0" borderId="0" xfId="0" applyNumberFormat="1" applyFont="1"/>
    <xf numFmtId="189" fontId="5" fillId="0" borderId="0" xfId="0" applyNumberFormat="1" applyFont="1" applyAlignment="1">
      <alignment horizontal="center"/>
    </xf>
    <xf numFmtId="189" fontId="5" fillId="0" borderId="0" xfId="0" applyNumberFormat="1" applyFont="1" applyAlignment="1">
      <alignment horizontal="center" wrapText="1"/>
    </xf>
    <xf numFmtId="40" fontId="16" fillId="3" borderId="10" xfId="1" applyNumberFormat="1" applyFont="1" applyFill="1" applyBorder="1" applyAlignment="1">
      <alignment horizontal="center"/>
    </xf>
    <xf numFmtId="40" fontId="16" fillId="0" borderId="2" xfId="1" applyNumberFormat="1" applyFont="1" applyFill="1" applyBorder="1" applyAlignment="1">
      <alignment horizontal="right"/>
    </xf>
    <xf numFmtId="40" fontId="10" fillId="0" borderId="0" xfId="1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4" xfId="0" applyNumberFormat="1" applyFont="1" applyBorder="1"/>
    <xf numFmtId="38" fontId="5" fillId="0" borderId="0" xfId="0" applyNumberFormat="1" applyFont="1" applyAlignment="1">
      <alignment horizontal="right" vertical="top" wrapText="1"/>
    </xf>
    <xf numFmtId="38" fontId="16" fillId="3" borderId="10" xfId="1" applyNumberFormat="1" applyFont="1" applyFill="1" applyBorder="1" applyAlignment="1">
      <alignment horizontal="center"/>
    </xf>
    <xf numFmtId="38" fontId="16" fillId="3" borderId="10" xfId="6" applyNumberFormat="1" applyFont="1" applyFill="1" applyBorder="1" applyAlignment="1">
      <alignment horizontal="center"/>
    </xf>
    <xf numFmtId="38" fontId="16" fillId="0" borderId="2" xfId="1" applyNumberFormat="1" applyFont="1" applyFill="1" applyBorder="1" applyAlignment="1">
      <alignment horizontal="right"/>
    </xf>
    <xf numFmtId="38" fontId="16" fillId="0" borderId="2" xfId="6" applyNumberFormat="1" applyFont="1" applyFill="1" applyBorder="1" applyAlignment="1">
      <alignment horizontal="right"/>
    </xf>
    <xf numFmtId="38" fontId="0" fillId="0" borderId="0" xfId="1" applyNumberFormat="1" applyFont="1"/>
    <xf numFmtId="38" fontId="0" fillId="0" borderId="0" xfId="0" applyNumberFormat="1"/>
    <xf numFmtId="38" fontId="5" fillId="3" borderId="0" xfId="0" applyNumberFormat="1" applyFont="1" applyFill="1" applyAlignment="1">
      <alignment horizontal="right" vertical="top" wrapText="1"/>
    </xf>
    <xf numFmtId="38" fontId="5" fillId="2" borderId="0" xfId="0" applyNumberFormat="1" applyFont="1" applyFill="1" applyAlignment="1">
      <alignment horizontal="right" vertical="top" wrapText="1"/>
    </xf>
    <xf numFmtId="38" fontId="5" fillId="3" borderId="4" xfId="0" applyNumberFormat="1" applyFont="1" applyFill="1" applyBorder="1" applyAlignment="1">
      <alignment horizontal="right" vertical="top" wrapText="1"/>
    </xf>
    <xf numFmtId="38" fontId="5" fillId="2" borderId="4" xfId="0" applyNumberFormat="1" applyFont="1" applyFill="1" applyBorder="1" applyAlignment="1">
      <alignment horizontal="right" vertical="top" wrapText="1"/>
    </xf>
    <xf numFmtId="38" fontId="5" fillId="3" borderId="0" xfId="0" applyNumberFormat="1" applyFont="1" applyFill="1" applyBorder="1" applyAlignment="1">
      <alignment horizontal="right" vertical="top" wrapText="1"/>
    </xf>
    <xf numFmtId="38" fontId="5" fillId="2" borderId="0" xfId="0" applyNumberFormat="1" applyFont="1" applyFill="1" applyBorder="1" applyAlignment="1">
      <alignment horizontal="right" vertical="top" wrapText="1"/>
    </xf>
    <xf numFmtId="165" fontId="18" fillId="0" borderId="0" xfId="1" applyNumberFormat="1" applyFont="1" applyAlignment="1"/>
    <xf numFmtId="0" fontId="5" fillId="0" borderId="0" xfId="0" applyFont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6" fillId="0" borderId="0" xfId="0" applyFont="1"/>
    <xf numFmtId="0" fontId="29" fillId="0" borderId="0" xfId="0" applyNumberFormat="1" applyFont="1"/>
    <xf numFmtId="0" fontId="0" fillId="0" borderId="0" xfId="0" applyBorder="1"/>
    <xf numFmtId="0" fontId="0" fillId="0" borderId="0" xfId="0" applyNumberFormat="1" applyBorder="1"/>
    <xf numFmtId="3" fontId="0" fillId="0" borderId="0" xfId="0" applyNumberFormat="1" applyBorder="1"/>
    <xf numFmtId="0" fontId="6" fillId="4" borderId="32" xfId="0" applyFont="1" applyFill="1" applyBorder="1" applyAlignment="1">
      <alignment horizontal="center"/>
    </xf>
    <xf numFmtId="194" fontId="5" fillId="0" borderId="0" xfId="0" applyNumberFormat="1" applyFont="1"/>
    <xf numFmtId="194" fontId="5" fillId="0" borderId="0" xfId="0" applyNumberFormat="1" applyFont="1" applyAlignment="1">
      <alignment horizontal="left"/>
    </xf>
    <xf numFmtId="49" fontId="16" fillId="0" borderId="0" xfId="4" applyNumberFormat="1" applyFont="1" applyFill="1" applyBorder="1" applyAlignment="1">
      <alignment horizontal="left"/>
    </xf>
    <xf numFmtId="49" fontId="10" fillId="0" borderId="2" xfId="0" applyNumberFormat="1" applyFont="1" applyBorder="1"/>
    <xf numFmtId="40" fontId="16" fillId="0" borderId="0" xfId="1" applyNumberFormat="1" applyFont="1" applyFill="1" applyAlignment="1">
      <alignment horizontal="right"/>
    </xf>
    <xf numFmtId="40" fontId="10" fillId="0" borderId="2" xfId="1" applyNumberFormat="1" applyFont="1" applyBorder="1"/>
    <xf numFmtId="49" fontId="39" fillId="0" borderId="2" xfId="4" applyNumberFormat="1" applyFont="1" applyFill="1" applyBorder="1" applyAlignment="1">
      <alignment horizontal="left"/>
    </xf>
    <xf numFmtId="49" fontId="39" fillId="0" borderId="0" xfId="4" applyNumberFormat="1" applyFont="1" applyFill="1" applyBorder="1" applyAlignment="1">
      <alignment horizontal="left"/>
    </xf>
    <xf numFmtId="49" fontId="4" fillId="0" borderId="0" xfId="0" applyNumberFormat="1" applyFont="1"/>
    <xf numFmtId="0" fontId="30" fillId="0" borderId="0" xfId="0" applyFont="1" applyAlignment="1">
      <alignment horizontal="center"/>
    </xf>
    <xf numFmtId="189" fontId="30" fillId="0" borderId="0" xfId="0" applyNumberFormat="1" applyFont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168" fontId="38" fillId="0" borderId="33" xfId="2" applyNumberFormat="1" applyFont="1" applyBorder="1" applyAlignment="1">
      <alignment horizontal="center"/>
    </xf>
    <xf numFmtId="168" fontId="38" fillId="0" borderId="34" xfId="2" applyNumberFormat="1" applyFont="1" applyBorder="1" applyAlignment="1">
      <alignment horizontal="center"/>
    </xf>
    <xf numFmtId="168" fontId="38" fillId="0" borderId="35" xfId="2" applyNumberFormat="1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8" fillId="0" borderId="35" xfId="0" applyFont="1" applyBorder="1" applyAlignment="1">
      <alignment horizontal="center"/>
    </xf>
    <xf numFmtId="0" fontId="18" fillId="0" borderId="0" xfId="0" applyFont="1" applyAlignment="1">
      <alignment horizontal="center"/>
    </xf>
    <xf numFmtId="189" fontId="18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0112 ECT Ledger" xfId="3"/>
    <cellStyle name="Normal_Monthly Detail" xfId="4"/>
    <cellStyle name="Normal_Monthly Expense Categories" xfId="5"/>
    <cellStyle name="Normal_Monthly Plan" xfId="6"/>
    <cellStyle name="Normal_Sheet3" xfId="7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59994032105604E-2"/>
          <c:y val="3.9080547504821088E-2"/>
          <c:w val="0.91025830966694554"/>
          <c:h val="0.8068983631877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F-4B8C-80A2-1F0A4A7F37BA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F-4B8C-80A2-1F0A4A7F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734640"/>
        <c:axId val="1"/>
      </c:barChart>
      <c:catAx>
        <c:axId val="160873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8734640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06916080136721"/>
          <c:y val="0.9310365729089729"/>
          <c:w val="0.31623997612842242"/>
          <c:h val="5.28736819182873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814462676444E-2"/>
          <c:y val="0.12471145703063771"/>
          <c:w val="0.81795076610267958"/>
          <c:h val="0.73672138505135976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E87-4B32-9B8D-0FE39A085CEC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87-4B32-9B8D-0FE39A085CE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E87-4B32-9B8D-0FE39A085CEC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87-4B32-9B8D-0FE39A085CEC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E87-4B32-9B8D-0FE39A085CEC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E87-4B32-9B8D-0FE39A085CEC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E87-4B32-9B8D-0FE39A085CEC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E87-4B32-9B8D-0FE39A085CEC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E87-4B32-9B8D-0FE39A085CE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7-4B32-9B8D-0FE39A085CEC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E87-4B32-9B8D-0FE39A085CEC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E87-4B32-9B8D-0FE39A085CE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E87-4B32-9B8D-0FE39A085CEC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E87-4B32-9B8D-0FE39A085CEC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E87-4B32-9B8D-0FE39A085CE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E87-4B32-9B8D-0FE39A085CEC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E87-4B32-9B8D-0FE39A085CEC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E87-4B32-9B8D-0FE39A085CE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87-4B32-9B8D-0FE39A085C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461634769718471E-2"/>
          <c:y val="0.92378857059731634"/>
          <c:w val="0.93589977939648283"/>
          <c:h val="5.0808371382852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74555403194406E-2"/>
          <c:y val="3.4482836033665663E-2"/>
          <c:w val="0.93128472826197328"/>
          <c:h val="0.77931209436084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B8B-B2FF-FA9370321A14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5-4B8B-B2FF-FA9370321A14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5-4B8B-B2FF-FA9370321A14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5-4B8B-B2FF-FA9370321A14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5-4B8B-B2FF-FA9370321A14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5-4B8B-B2FF-FA937032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727344"/>
        <c:axId val="1"/>
      </c:barChart>
      <c:catAx>
        <c:axId val="1615727344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727344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9529854495590895"/>
          <c:y val="0.93333542864455066"/>
          <c:w val="0.6600367491565442"/>
          <c:h val="5.057482618270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0635208711437E-2"/>
          <c:y val="4.4083526682134569E-2"/>
          <c:w val="0.91833030852994557"/>
          <c:h val="0.84222737819025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9-4031-AEA3-4BED5DBA491A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9-4031-AEA3-4BED5DBA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729264"/>
        <c:axId val="1"/>
      </c:barChart>
      <c:catAx>
        <c:axId val="161572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72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108892921960071"/>
          <c:y val="0.94199535962877035"/>
          <c:w val="0.21960072595281308"/>
          <c:h val="5.10440835266821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2000 Expenses</a:t>
            </a:r>
          </a:p>
        </c:rich>
      </c:tx>
      <c:layout>
        <c:manualLayout>
          <c:xMode val="edge"/>
          <c:yMode val="edge"/>
          <c:x val="0.28327645051194539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112627986348124"/>
          <c:y val="0.19742489270386265"/>
          <c:w val="0.76109215017064846"/>
          <c:h val="0.6652360515021459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4129692832764508"/>
                  <c:y val="0.4678111587982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B9-499D-96E3-4F15524F753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187713310580209"/>
                  <c:y val="0.17596566523605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B9-499D-96E3-4F15524F75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3720136518771329"/>
                  <c:y val="0.7081545064377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B9-499D-96E3-4F15524F75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('Monthly Expense Categories'!$AO$9,'Monthly Expense Categories'!$AM$9)</c:f>
              <c:strCache>
                <c:ptCount val="2"/>
                <c:pt idx="0">
                  <c:v>Orig. Plan</c:v>
                </c:pt>
                <c:pt idx="1">
                  <c:v>Projection</c:v>
                </c:pt>
              </c:strCache>
            </c:strRef>
          </c:cat>
          <c:val>
            <c:numRef>
              <c:f>('Monthly Expense Categories'!$AO$37,'Monthly Expense Categories'!$AM$37)</c:f>
              <c:numCache>
                <c:formatCode>#,##0_);[Red]\(#,##0\)</c:formatCode>
                <c:ptCount val="2"/>
                <c:pt idx="0">
                  <c:v>304680</c:v>
                </c:pt>
                <c:pt idx="1">
                  <c:v>306372.32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9-499D-96E3-4F15524F753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30"/>
        <c:gapDepth val="100"/>
        <c:shape val="cylinder"/>
        <c:axId val="1518376240"/>
        <c:axId val="1"/>
        <c:axId val="0"/>
      </c:bar3DChart>
      <c:catAx>
        <c:axId val="15183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376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Headcount YTD</a:t>
            </a:r>
          </a:p>
        </c:rich>
      </c:tx>
      <c:layout>
        <c:manualLayout>
          <c:xMode val="edge"/>
          <c:yMode val="edge"/>
          <c:x val="0.27868852459016391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86-4454-A85D-2B562E4DB7BD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86-4454-A85D-2B562E4DB7BD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86-4454-A85D-2B562E4DB7B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34754098360655739"/>
                  <c:y val="0.690987124463519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86-4454-A85D-2B562E4DB7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7540983606557381"/>
                  <c:y val="0.69527896995708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86-4454-A85D-2B562E4DB7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5081967213114753"/>
                  <c:y val="0.71673819742489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86-4454-A85D-2B562E4DB7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Headcount!$A$5:$B$5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Headcount!$A$4:$B$4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486-4454-A85D-2B562E4DB7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100"/>
        <c:shape val="cylinder"/>
        <c:axId val="1608739920"/>
        <c:axId val="1"/>
        <c:axId val="0"/>
      </c:bar3DChart>
      <c:catAx>
        <c:axId val="160873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3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 Month Burn Rate</a:t>
            </a:r>
          </a:p>
        </c:rich>
      </c:tx>
      <c:layout>
        <c:manualLayout>
          <c:xMode val="edge"/>
          <c:yMode val="edge"/>
          <c:x val="0.28104664856084227"/>
          <c:y val="4.21942666891922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764743428128281"/>
          <c:y val="0.18987420010136513"/>
          <c:w val="0.83660397711134449"/>
          <c:h val="0.649791707013560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0980554855222548"/>
                  <c:y val="0.1308022267364959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32-4CB4-A5F2-D8913EF9FF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0653756426663432"/>
                  <c:y val="0.6624499870203183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32-4CB4-A5F2-D8913EF9FF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3856444854360881"/>
                  <c:y val="0.637133427006802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32-4CB4-A5F2-D8913EF9FF05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2-4CB4-A5F2-D8913EF9FF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608738480"/>
        <c:axId val="1"/>
        <c:axId val="0"/>
      </c:bar3DChart>
      <c:catAx>
        <c:axId val="160873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3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Expense Types</a:t>
            </a:r>
          </a:p>
        </c:rich>
      </c:tx>
      <c:layout>
        <c:manualLayout>
          <c:xMode val="edge"/>
          <c:yMode val="edge"/>
          <c:x val="0.29670435805988887"/>
          <c:y val="4.20168929246260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70435805988887"/>
          <c:y val="0.22689122179298063"/>
          <c:w val="0.45421407900526201"/>
          <c:h val="0.521009472265362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E53-4D73-A3FF-69B3016E161C}"/>
              </c:ext>
            </c:extLst>
          </c:dPt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#,##0_);\(#,##0\)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3-4D73-A3FF-69B3016E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8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4011253760496"/>
          <c:y val="0.90336319787945996"/>
          <c:w val="7.3260335323429362E-2"/>
          <c:h val="6.7227028679401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Recovery Position YTD</a:t>
            </a:r>
          </a:p>
        </c:rich>
      </c:tx>
      <c:layout>
        <c:manualLayout>
          <c:xMode val="edge"/>
          <c:yMode val="edge"/>
          <c:x val="0.2328771017449395"/>
          <c:y val="4.237288135593220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9520580587443459"/>
          <c:y val="0.1864406779661017"/>
          <c:w val="0.75685058067105337"/>
          <c:h val="0.6779661016949152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Allocations!$N$59:$O$59</c:f>
              <c:strCache>
                <c:ptCount val="2"/>
                <c:pt idx="0">
                  <c:v> YTD Actuals </c:v>
                </c:pt>
                <c:pt idx="1">
                  <c:v> YTD Allocations </c:v>
                </c:pt>
              </c:strCache>
            </c:strRef>
          </c:cat>
          <c:val>
            <c:numRef>
              <c:f>Allocations!$N$60:$O$60</c:f>
              <c:numCache>
                <c:formatCode>_(* #,##0_);_(* \(#,##0\);_(* "-"??_);_(@_)</c:formatCode>
                <c:ptCount val="2"/>
                <c:pt idx="0">
                  <c:v>154354.32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0-4699-9419-7B6EF54E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08734160"/>
        <c:axId val="1"/>
        <c:axId val="0"/>
      </c:bar3DChart>
      <c:catAx>
        <c:axId val="160873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3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8745474379461E-2"/>
          <c:y val="8.5253456221198162E-2"/>
          <c:w val="0.80152870926941511"/>
          <c:h val="0.72580645161290325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E87-4EAE-A322-7ECE40318A7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87-4EAE-A322-7ECE40318A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87-4EAE-A322-7ECE40318A7F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87-4EAE-A322-7ECE40318A7F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87-4EAE-A322-7ECE40318A7F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87-4EAE-A322-7ECE40318A7F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87-4EAE-A322-7ECE40318A7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7-4EAE-A322-7ECE40318A7F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E87-4EAE-A322-7ECE40318A7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E87-4EAE-A322-7ECE40318A7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E87-4EAE-A322-7ECE40318A7F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E87-4EAE-A322-7ECE40318A7F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E87-4EAE-A322-7ECE40318A7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E87-4EAE-A322-7ECE40318A7F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E87-4EAE-A322-7ECE40318A7F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E87-4EAE-A322-7ECE40318A7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87-4EAE-A322-7ECE40318A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5979782869609945E-2"/>
          <c:y val="0.9285714285714286"/>
          <c:w val="0.92875548851852863"/>
          <c:h val="5.0691244239631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755626804717E-2"/>
          <c:y val="3.9261014250385945E-2"/>
          <c:w val="0.9200009457246564"/>
          <c:h val="0.8337191849640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4-4D40-A1D0-8390AA3FB48B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4-4D40-A1D0-8390AA3F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611824"/>
        <c:axId val="1"/>
      </c:barChart>
      <c:catAx>
        <c:axId val="160961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961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4779908285268"/>
          <c:y val="0.93995487058276939"/>
          <c:w val="0.19368440962624345"/>
          <c:h val="5.3117842809345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814462676444E-2"/>
          <c:y val="0.12471145703063771"/>
          <c:w val="0.81795076610267958"/>
          <c:h val="0.73672138505135976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999-464F-9B41-65A262733ED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99-464F-9B41-65A262733ED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999-464F-9B41-65A262733ED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99-464F-9B41-65A262733ED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999-464F-9B41-65A262733ED9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99-464F-9B41-65A262733ED9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999-464F-9B41-65A262733ED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99-464F-9B41-65A262733ED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99-464F-9B41-65A262733ED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9-464F-9B41-65A262733ED9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999-464F-9B41-65A262733ED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999-464F-9B41-65A262733ED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999-464F-9B41-65A262733ED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999-464F-9B41-65A262733ED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999-464F-9B41-65A262733ED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999-464F-9B41-65A262733ED9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999-464F-9B41-65A262733ED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99-464F-9B41-65A262733ED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99-464F-9B41-65A262733E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461634769718471E-2"/>
          <c:y val="0.92378857059731634"/>
          <c:w val="0.93589977939648283"/>
          <c:h val="5.0808371382852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74555403194406E-2"/>
          <c:y val="3.4482836033665663E-2"/>
          <c:w val="0.93128472826197328"/>
          <c:h val="0.77931209436084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3-4D59-9276-2231546E849F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3-4D59-9276-2231546E849F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3-4D59-9276-2231546E849F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3-4D59-9276-2231546E849F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3-4D59-9276-2231546E849F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Plan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3-4D59-9276-2231546E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608464"/>
        <c:axId val="1"/>
      </c:barChart>
      <c:catAx>
        <c:axId val="1609608464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9608464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9529854495590895"/>
          <c:y val="0.93333542864455066"/>
          <c:w val="0.6600367491565442"/>
          <c:h val="5.057482618270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0635208711437E-2"/>
          <c:y val="4.4083526682134569E-2"/>
          <c:w val="0.91833030852994557"/>
          <c:h val="0.84222737819025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C-4672-BF98-A99CA98FC081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C-4672-BF98-A99CA98FC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610864"/>
        <c:axId val="1"/>
      </c:barChart>
      <c:catAx>
        <c:axId val="160961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961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023593466424681"/>
          <c:y val="0.93735498839907194"/>
          <c:w val="0.25045372050816694"/>
          <c:h val="5.56844547563805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59994032105604E-2"/>
          <c:y val="3.9080547504821088E-2"/>
          <c:w val="0.91025830966694554"/>
          <c:h val="0.8068983631877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6-4BC7-A3F5-2BC3348C6C3B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6-4BC7-A3F5-2BC3348C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612304"/>
        <c:axId val="1"/>
      </c:barChart>
      <c:catAx>
        <c:axId val="16096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9612304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06916080136721"/>
          <c:y val="0.9310365729089729"/>
          <c:w val="0.31623997612842242"/>
          <c:h val="5.28736819182873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8745474379461E-2"/>
          <c:y val="8.5253456221198162E-2"/>
          <c:w val="0.80152870926941511"/>
          <c:h val="0.72580645161290325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3D-49D4-A58B-8295AC708647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3D-49D4-A58B-8295AC70864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3D-49D4-A58B-8295AC708647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3D-49D4-A58B-8295AC708647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83D-49D4-A58B-8295AC708647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83D-49D4-A58B-8295AC708647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83D-49D4-A58B-8295AC70864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3D-49D4-A58B-8295AC708647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83D-49D4-A58B-8295AC708647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83D-49D4-A58B-8295AC70864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83D-49D4-A58B-8295AC708647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83D-49D4-A58B-8295AC708647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83D-49D4-A58B-8295AC70864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83D-49D4-A58B-8295AC708647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83D-49D4-A58B-8295AC708647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83D-49D4-A58B-8295AC70864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112</c:v>
                </c:pt>
                <c:pt idx="1">
                  <c:v>31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3D-49D4-A58B-8295AC7086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5979782869609945E-2"/>
          <c:y val="0.9285714285714286"/>
          <c:w val="0.92875548851852863"/>
          <c:h val="5.0691244239631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755626804717E-2"/>
          <c:y val="3.9261014250385945E-2"/>
          <c:w val="0.9200009457246564"/>
          <c:h val="0.8337191849640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F-4A9C-839D-2FE31A7B2C7E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F-4A9C-839D-2FE31A7B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730704"/>
        <c:axId val="1"/>
      </c:barChart>
      <c:catAx>
        <c:axId val="161573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573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4779908285268"/>
          <c:y val="0.93995487058276939"/>
          <c:w val="0.19368440962624345"/>
          <c:h val="5.3117842809345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66675</xdr:rowOff>
    </xdr:from>
    <xdr:to>
      <xdr:col>6</xdr:col>
      <xdr:colOff>333375</xdr:colOff>
      <xdr:row>30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36886C1E-B8AA-2911-6337-605709EB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4</xdr:row>
      <xdr:rowOff>66675</xdr:rowOff>
    </xdr:from>
    <xdr:to>
      <xdr:col>12</xdr:col>
      <xdr:colOff>495300</xdr:colOff>
      <xdr:row>29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8022BEC-8568-85D3-0A69-C49FD9C6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371475</xdr:colOff>
      <xdr:row>58</xdr:row>
      <xdr:rowOff>152400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AEF1A9D6-C8E1-163E-BAC9-05D0925C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33</xdr:row>
      <xdr:rowOff>76200</xdr:rowOff>
    </xdr:from>
    <xdr:to>
      <xdr:col>12</xdr:col>
      <xdr:colOff>495300</xdr:colOff>
      <xdr:row>58</xdr:row>
      <xdr:rowOff>152400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8B2F96F8-AF17-4A1E-6179-8DC2F3F4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</xdr:colOff>
      <xdr:row>4</xdr:row>
      <xdr:rowOff>47625</xdr:rowOff>
    </xdr:from>
    <xdr:to>
      <xdr:col>20</xdr:col>
      <xdr:colOff>657225</xdr:colOff>
      <xdr:row>29</xdr:row>
      <xdr:rowOff>142875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AD0CA528-B722-AF76-B923-384E8A3AE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33</xdr:row>
      <xdr:rowOff>57150</xdr:rowOff>
    </xdr:from>
    <xdr:to>
      <xdr:col>20</xdr:col>
      <xdr:colOff>619125</xdr:colOff>
      <xdr:row>58</xdr:row>
      <xdr:rowOff>114300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6034608D-F759-B594-F1C9-F3EF91955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904875</xdr:colOff>
      <xdr:row>6</xdr:row>
      <xdr:rowOff>66675</xdr:rowOff>
    </xdr:from>
    <xdr:to>
      <xdr:col>20</xdr:col>
      <xdr:colOff>342900</xdr:colOff>
      <xdr:row>7</xdr:row>
      <xdr:rowOff>57150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CB1F5C8B-3661-1ADB-E480-CC89BDCAA3EA}"/>
            </a:ext>
          </a:extLst>
        </xdr:cNvPr>
        <xdr:cNvSpPr txBox="1">
          <a:spLocks noChangeArrowheads="1"/>
        </xdr:cNvSpPr>
      </xdr:nvSpPr>
      <xdr:spPr bwMode="auto">
        <a:xfrm>
          <a:off x="11468100" y="1333500"/>
          <a:ext cx="2085975" cy="152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66675</xdr:colOff>
      <xdr:row>4</xdr:row>
      <xdr:rowOff>66675</xdr:rowOff>
    </xdr:from>
    <xdr:to>
      <xdr:col>6</xdr:col>
      <xdr:colOff>333375</xdr:colOff>
      <xdr:row>30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2E462601-224B-8ACE-833A-9CBC86D4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409575</xdr:colOff>
      <xdr:row>4</xdr:row>
      <xdr:rowOff>66675</xdr:rowOff>
    </xdr:from>
    <xdr:to>
      <xdr:col>12</xdr:col>
      <xdr:colOff>495300</xdr:colOff>
      <xdr:row>29</xdr:row>
      <xdr:rowOff>152400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6A685D60-F060-8DCF-A739-B877ED09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371475</xdr:colOff>
      <xdr:row>58</xdr:row>
      <xdr:rowOff>152400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CAFC8E59-F3B4-AF84-7133-14E290BE8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438150</xdr:colOff>
      <xdr:row>33</xdr:row>
      <xdr:rowOff>76200</xdr:rowOff>
    </xdr:from>
    <xdr:to>
      <xdr:col>12</xdr:col>
      <xdr:colOff>495300</xdr:colOff>
      <xdr:row>58</xdr:row>
      <xdr:rowOff>152400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20AABD8D-5C8D-6493-4678-6185580DA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47625</xdr:colOff>
      <xdr:row>4</xdr:row>
      <xdr:rowOff>47625</xdr:rowOff>
    </xdr:from>
    <xdr:to>
      <xdr:col>20</xdr:col>
      <xdr:colOff>657225</xdr:colOff>
      <xdr:row>29</xdr:row>
      <xdr:rowOff>142875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5D64A751-D75B-E270-E2B2-DD33F9FD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</xdr:colOff>
      <xdr:row>33</xdr:row>
      <xdr:rowOff>57150</xdr:rowOff>
    </xdr:from>
    <xdr:to>
      <xdr:col>20</xdr:col>
      <xdr:colOff>619125</xdr:colOff>
      <xdr:row>58</xdr:row>
      <xdr:rowOff>114300</xdr:rowOff>
    </xdr:to>
    <xdr:graphicFrame macro="">
      <xdr:nvGraphicFramePr>
        <xdr:cNvPr id="5135" name="Chart 15">
          <a:extLst>
            <a:ext uri="{FF2B5EF4-FFF2-40B4-BE49-F238E27FC236}">
              <a16:creationId xmlns:a16="http://schemas.microsoft.com/office/drawing/2014/main" id="{952A7A5C-ABB8-69C7-6AAE-FB40B3D7B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904875</xdr:colOff>
      <xdr:row>6</xdr:row>
      <xdr:rowOff>66675</xdr:rowOff>
    </xdr:from>
    <xdr:to>
      <xdr:col>20</xdr:col>
      <xdr:colOff>342900</xdr:colOff>
      <xdr:row>7</xdr:row>
      <xdr:rowOff>57150</xdr:rowOff>
    </xdr:to>
    <xdr:sp macro="" textlink="">
      <xdr:nvSpPr>
        <xdr:cNvPr id="5136" name="Text Box 16">
          <a:extLst>
            <a:ext uri="{FF2B5EF4-FFF2-40B4-BE49-F238E27FC236}">
              <a16:creationId xmlns:a16="http://schemas.microsoft.com/office/drawing/2014/main" id="{7F24514B-4A19-8D5D-5096-82ADB0789479}"/>
            </a:ext>
          </a:extLst>
        </xdr:cNvPr>
        <xdr:cNvSpPr txBox="1">
          <a:spLocks noChangeArrowheads="1"/>
        </xdr:cNvSpPr>
      </xdr:nvSpPr>
      <xdr:spPr bwMode="auto">
        <a:xfrm>
          <a:off x="11468100" y="1333500"/>
          <a:ext cx="2085975" cy="152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0.56213</cdr:x>
      <cdr:y>0.4724</cdr:y>
    </cdr:from>
    <cdr:to>
      <cdr:x>0.56213</cdr:x>
      <cdr:y>0.4724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8935F292-D2E0-A663-F492-6B30F17721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772" y="196050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0.51023</cdr:x>
      <cdr:y>0.49634</cdr:y>
    </cdr:from>
    <cdr:to>
      <cdr:x>0.61184</cdr:x>
      <cdr:y>0.53542</cdr:y>
    </cdr:to>
    <cdr:sp macro="" textlink="">
      <cdr:nvSpPr>
        <cdr:cNvPr id="7171" name="Text Box 3">
          <a:extLst xmlns:a="http://schemas.openxmlformats.org/drawingml/2006/main">
            <a:ext uri="{FF2B5EF4-FFF2-40B4-BE49-F238E27FC236}">
              <a16:creationId xmlns:a16="http://schemas.microsoft.com/office/drawing/2014/main" id="{AF03BE14-5490-C9AF-ABD2-163CA94DDE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005" y="2059682"/>
          <a:ext cx="38130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0.64692</cdr:x>
      <cdr:y>0.58036</cdr:y>
    </cdr:from>
    <cdr:to>
      <cdr:x>0.79409</cdr:x>
      <cdr:y>0.62091</cdr:y>
    </cdr:to>
    <cdr:sp macro="" textlink="">
      <cdr:nvSpPr>
        <cdr:cNvPr id="7172" name="Text Box 4">
          <a:extLst xmlns:a="http://schemas.openxmlformats.org/drawingml/2006/main">
            <a:ext uri="{FF2B5EF4-FFF2-40B4-BE49-F238E27FC236}">
              <a16:creationId xmlns:a16="http://schemas.microsoft.com/office/drawing/2014/main" id="{4BD6D58E-38C0-CA7E-7FCA-8225D3E384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0983" y="2407821"/>
          <a:ext cx="552298" cy="167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0.5039</cdr:x>
      <cdr:y>0.61479</cdr:y>
    </cdr:from>
    <cdr:to>
      <cdr:x>0.5039</cdr:x>
      <cdr:y>0.61479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05DC76F9-AF57-C15F-BB05-6ABC506932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9829" y="254463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0.59622</cdr:x>
      <cdr:y>0.70882</cdr:y>
    </cdr:from>
    <cdr:to>
      <cdr:x>0.59622</cdr:x>
      <cdr:y>0.70882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8A5C9934-893E-A57C-1AC2-3549CF185B7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3679" y="293335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0.52436</cdr:x>
      <cdr:y>0.57059</cdr:y>
    </cdr:from>
    <cdr:to>
      <cdr:x>0.64032</cdr:x>
      <cdr:y>0.61333</cdr:y>
    </cdr:to>
    <cdr:sp macro="" textlink="">
      <cdr:nvSpPr>
        <cdr:cNvPr id="9219" name="Text Box 3">
          <a:extLst xmlns:a="http://schemas.openxmlformats.org/drawingml/2006/main">
            <a:ext uri="{FF2B5EF4-FFF2-40B4-BE49-F238E27FC236}">
              <a16:creationId xmlns:a16="http://schemas.microsoft.com/office/drawing/2014/main" id="{E6849C71-BB76-2025-A6A7-6ADA20DE5CE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038" y="2361889"/>
          <a:ext cx="431854" cy="176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0.64032</cdr:x>
      <cdr:y>0.63824</cdr:y>
    </cdr:from>
    <cdr:to>
      <cdr:x>0.77966</cdr:x>
      <cdr:y>0.67878</cdr:y>
    </cdr:to>
    <cdr:sp macro="" textlink="">
      <cdr:nvSpPr>
        <cdr:cNvPr id="9220" name="Text Box 4">
          <a:extLst xmlns:a="http://schemas.openxmlformats.org/drawingml/2006/main">
            <a:ext uri="{FF2B5EF4-FFF2-40B4-BE49-F238E27FC236}">
              <a16:creationId xmlns:a16="http://schemas.microsoft.com/office/drawing/2014/main" id="{23BD673A-9FD9-4EAD-6178-DCAC82B47D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7892" y="2641562"/>
          <a:ext cx="518951" cy="16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0.72241</cdr:x>
      <cdr:y>0.04298</cdr:y>
    </cdr:from>
    <cdr:to>
      <cdr:x>0.72241</cdr:x>
      <cdr:y>0.04298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830BE09C-3590-1701-CD10-D7E3E9E8FD0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232" y="18165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0.56213</cdr:x>
      <cdr:y>0.4724</cdr:y>
    </cdr:from>
    <cdr:to>
      <cdr:x>0.56213</cdr:x>
      <cdr:y>0.4724</cdr:y>
    </cdr:to>
    <cdr:sp macro="" textlink="">
      <cdr:nvSpPr>
        <cdr:cNvPr id="50177" name="Text Box 1">
          <a:extLst xmlns:a="http://schemas.openxmlformats.org/drawingml/2006/main">
            <a:ext uri="{FF2B5EF4-FFF2-40B4-BE49-F238E27FC236}">
              <a16:creationId xmlns:a16="http://schemas.microsoft.com/office/drawing/2014/main" id="{87831A5A-5528-A264-06F8-3AA9DB515E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772" y="196050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0.51023</cdr:x>
      <cdr:y>0.49634</cdr:y>
    </cdr:from>
    <cdr:to>
      <cdr:x>0.61184</cdr:x>
      <cdr:y>0.53542</cdr:y>
    </cdr:to>
    <cdr:sp macro="" textlink="">
      <cdr:nvSpPr>
        <cdr:cNvPr id="50178" name="Text Box 2">
          <a:extLst xmlns:a="http://schemas.openxmlformats.org/drawingml/2006/main">
            <a:ext uri="{FF2B5EF4-FFF2-40B4-BE49-F238E27FC236}">
              <a16:creationId xmlns:a16="http://schemas.microsoft.com/office/drawing/2014/main" id="{119E5DB8-4E0A-1646-FF2F-6E497B4F63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005" y="2059682"/>
          <a:ext cx="38130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0.66203</cdr:x>
      <cdr:y>0.58036</cdr:y>
    </cdr:from>
    <cdr:to>
      <cdr:x>0.80993</cdr:x>
      <cdr:y>0.62091</cdr:y>
    </cdr:to>
    <cdr:sp macro="" textlink="">
      <cdr:nvSpPr>
        <cdr:cNvPr id="50179" name="Text Box 3">
          <a:extLst xmlns:a="http://schemas.openxmlformats.org/drawingml/2006/main">
            <a:ext uri="{FF2B5EF4-FFF2-40B4-BE49-F238E27FC236}">
              <a16:creationId xmlns:a16="http://schemas.microsoft.com/office/drawing/2014/main" id="{9A926B1C-61FD-EAFD-EA3D-A71130C68E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7676" y="2407821"/>
          <a:ext cx="555041" cy="167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0.5039</cdr:x>
      <cdr:y>0.61479</cdr:y>
    </cdr:from>
    <cdr:to>
      <cdr:x>0.5039</cdr:x>
      <cdr:y>0.61479</cdr:y>
    </cdr:to>
    <cdr:sp macro="" textlink="">
      <cdr:nvSpPr>
        <cdr:cNvPr id="52225" name="Text Box 1">
          <a:extLst xmlns:a="http://schemas.openxmlformats.org/drawingml/2006/main">
            <a:ext uri="{FF2B5EF4-FFF2-40B4-BE49-F238E27FC236}">
              <a16:creationId xmlns:a16="http://schemas.microsoft.com/office/drawing/2014/main" id="{FA27C45B-8F2B-8AFA-AB41-CAF6D59822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9829" y="254463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0.59622</cdr:x>
      <cdr:y>0.70882</cdr:y>
    </cdr:from>
    <cdr:to>
      <cdr:x>0.59622</cdr:x>
      <cdr:y>0.70882</cdr:y>
    </cdr:to>
    <cdr:sp macro="" textlink="">
      <cdr:nvSpPr>
        <cdr:cNvPr id="52226" name="Text Box 2">
          <a:extLst xmlns:a="http://schemas.openxmlformats.org/drawingml/2006/main">
            <a:ext uri="{FF2B5EF4-FFF2-40B4-BE49-F238E27FC236}">
              <a16:creationId xmlns:a16="http://schemas.microsoft.com/office/drawing/2014/main" id="{E2FD2B68-2D06-425C-2617-9B78063AA7A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3679" y="293335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0.52436</cdr:x>
      <cdr:y>0.57059</cdr:y>
    </cdr:from>
    <cdr:to>
      <cdr:x>0.64032</cdr:x>
      <cdr:y>0.61333</cdr:y>
    </cdr:to>
    <cdr:sp macro="" textlink="">
      <cdr:nvSpPr>
        <cdr:cNvPr id="52227" name="Text Box 3">
          <a:extLst xmlns:a="http://schemas.openxmlformats.org/drawingml/2006/main">
            <a:ext uri="{FF2B5EF4-FFF2-40B4-BE49-F238E27FC236}">
              <a16:creationId xmlns:a16="http://schemas.microsoft.com/office/drawing/2014/main" id="{B65A748C-28AD-4CDB-3BA8-75696952F8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038" y="2361889"/>
          <a:ext cx="431854" cy="176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0.6525</cdr:x>
      <cdr:y>0.63824</cdr:y>
    </cdr:from>
    <cdr:to>
      <cdr:x>0.79184</cdr:x>
      <cdr:y>0.67878</cdr:y>
    </cdr:to>
    <cdr:sp macro="" textlink="">
      <cdr:nvSpPr>
        <cdr:cNvPr id="52228" name="Text Box 4">
          <a:extLst xmlns:a="http://schemas.openxmlformats.org/drawingml/2006/main">
            <a:ext uri="{FF2B5EF4-FFF2-40B4-BE49-F238E27FC236}">
              <a16:creationId xmlns:a16="http://schemas.microsoft.com/office/drawing/2014/main" id="{3A473449-922D-5334-1951-F4615198E5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3255" y="2641562"/>
          <a:ext cx="518950" cy="16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0.72241</cdr:x>
      <cdr:y>0.04298</cdr:y>
    </cdr:from>
    <cdr:to>
      <cdr:x>0.72241</cdr:x>
      <cdr:y>0.04298</cdr:y>
    </cdr:to>
    <cdr:sp macro="" textlink="">
      <cdr:nvSpPr>
        <cdr:cNvPr id="53249" name="Text Box 1">
          <a:extLst xmlns:a="http://schemas.openxmlformats.org/drawingml/2006/main">
            <a:ext uri="{FF2B5EF4-FFF2-40B4-BE49-F238E27FC236}">
              <a16:creationId xmlns:a16="http://schemas.microsoft.com/office/drawing/2014/main" id="{10C1B8DD-B1CD-E813-71E5-46496ECA5F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232" y="18165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18</xdr:row>
      <xdr:rowOff>57150</xdr:rowOff>
    </xdr:from>
    <xdr:to>
      <xdr:col>14</xdr:col>
      <xdr:colOff>114300</xdr:colOff>
      <xdr:row>32</xdr:row>
      <xdr:rowOff>133350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A994533-903E-3B87-1101-55F251EEA7EC}"/>
            </a:ext>
          </a:extLst>
        </xdr:cNvPr>
        <xdr:cNvSpPr>
          <a:spLocks noChangeArrowheads="1"/>
        </xdr:cNvSpPr>
      </xdr:nvSpPr>
      <xdr:spPr bwMode="auto">
        <a:xfrm>
          <a:off x="6238875" y="3228975"/>
          <a:ext cx="2686050" cy="2343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104775</xdr:colOff>
      <xdr:row>3</xdr:row>
      <xdr:rowOff>114300</xdr:rowOff>
    </xdr:from>
    <xdr:to>
      <xdr:col>8</xdr:col>
      <xdr:colOff>200025</xdr:colOff>
      <xdr:row>17</xdr:row>
      <xdr:rowOff>114300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6DEAC91-A30C-2CFB-D49E-352E9A845032}"/>
            </a:ext>
          </a:extLst>
        </xdr:cNvPr>
        <xdr:cNvSpPr>
          <a:spLocks noChangeArrowheads="1"/>
        </xdr:cNvSpPr>
      </xdr:nvSpPr>
      <xdr:spPr bwMode="auto">
        <a:xfrm>
          <a:off x="3152775" y="847725"/>
          <a:ext cx="2981325" cy="227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57150</xdr:colOff>
      <xdr:row>3</xdr:row>
      <xdr:rowOff>114300</xdr:rowOff>
    </xdr:from>
    <xdr:to>
      <xdr:col>3</xdr:col>
      <xdr:colOff>847725</xdr:colOff>
      <xdr:row>17</xdr:row>
      <xdr:rowOff>114300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5186C41-84E5-0903-3B0E-A19662BA33A2}"/>
            </a:ext>
          </a:extLst>
        </xdr:cNvPr>
        <xdr:cNvSpPr>
          <a:spLocks noChangeArrowheads="1"/>
        </xdr:cNvSpPr>
      </xdr:nvSpPr>
      <xdr:spPr bwMode="auto">
        <a:xfrm>
          <a:off x="171450" y="847725"/>
          <a:ext cx="2857500" cy="227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oneCellAnchor>
    <xdr:from>
      <xdr:col>3</xdr:col>
      <xdr:colOff>685800</xdr:colOff>
      <xdr:row>2</xdr:row>
      <xdr:rowOff>123825</xdr:rowOff>
    </xdr:from>
    <xdr:ext cx="76200" cy="238125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42A76862-8C93-5A0D-D1FE-A46A915C953E}"/>
            </a:ext>
          </a:extLst>
        </xdr:cNvPr>
        <xdr:cNvSpPr txBox="1">
          <a:spLocks noChangeArrowheads="1"/>
        </xdr:cNvSpPr>
      </xdr:nvSpPr>
      <xdr:spPr bwMode="auto">
        <a:xfrm>
          <a:off x="2867025" y="657225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685800</xdr:colOff>
      <xdr:row>1</xdr:row>
      <xdr:rowOff>142875</xdr:rowOff>
    </xdr:from>
    <xdr:ext cx="76200" cy="23812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1F021A07-2E1A-9D10-BED6-D4E63144B13A}"/>
            </a:ext>
          </a:extLst>
        </xdr:cNvPr>
        <xdr:cNvSpPr txBox="1">
          <a:spLocks noChangeArrowheads="1"/>
        </xdr:cNvSpPr>
      </xdr:nvSpPr>
      <xdr:spPr bwMode="auto">
        <a:xfrm>
          <a:off x="2867025" y="4762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685800</xdr:colOff>
      <xdr:row>0</xdr:row>
      <xdr:rowOff>161925</xdr:rowOff>
    </xdr:from>
    <xdr:ext cx="76200" cy="23812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1CDF0AC-98D9-B6B4-06C9-40D4D330C701}"/>
            </a:ext>
          </a:extLst>
        </xdr:cNvPr>
        <xdr:cNvSpPr txBox="1">
          <a:spLocks noChangeArrowheads="1"/>
        </xdr:cNvSpPr>
      </xdr:nvSpPr>
      <xdr:spPr bwMode="auto">
        <a:xfrm>
          <a:off x="2867025" y="161925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85725</xdr:colOff>
      <xdr:row>3</xdr:row>
      <xdr:rowOff>142875</xdr:rowOff>
    </xdr:from>
    <xdr:to>
      <xdr:col>3</xdr:col>
      <xdr:colOff>809625</xdr:colOff>
      <xdr:row>17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5F8F9E8-B808-B5DC-F7B4-D8E67CD6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3</xdr:row>
      <xdr:rowOff>142875</xdr:rowOff>
    </xdr:from>
    <xdr:to>
      <xdr:col>8</xdr:col>
      <xdr:colOff>161925</xdr:colOff>
      <xdr:row>17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1089840-6F2B-AFB4-77CA-85F6AEC7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18</xdr:row>
      <xdr:rowOff>66675</xdr:rowOff>
    </xdr:from>
    <xdr:to>
      <xdr:col>8</xdr:col>
      <xdr:colOff>190500</xdr:colOff>
      <xdr:row>32</xdr:row>
      <xdr:rowOff>114300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E74B358-5FDB-AF43-1BBD-6B3C9F5C8DC1}"/>
            </a:ext>
          </a:extLst>
        </xdr:cNvPr>
        <xdr:cNvSpPr>
          <a:spLocks noChangeArrowheads="1"/>
        </xdr:cNvSpPr>
      </xdr:nvSpPr>
      <xdr:spPr bwMode="auto">
        <a:xfrm>
          <a:off x="3152775" y="3238500"/>
          <a:ext cx="2971800" cy="2314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133350</xdr:colOff>
      <xdr:row>18</xdr:row>
      <xdr:rowOff>95250</xdr:rowOff>
    </xdr:from>
    <xdr:to>
      <xdr:col>8</xdr:col>
      <xdr:colOff>161925</xdr:colOff>
      <xdr:row>32</xdr:row>
      <xdr:rowOff>85725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FC35EB57-4A56-7340-1A5A-777EFFA12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18</xdr:row>
      <xdr:rowOff>95250</xdr:rowOff>
    </xdr:from>
    <xdr:to>
      <xdr:col>14</xdr:col>
      <xdr:colOff>76200</xdr:colOff>
      <xdr:row>32</xdr:row>
      <xdr:rowOff>95250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2C1C1692-895F-0BEF-E269-0B2B65E69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18</xdr:row>
      <xdr:rowOff>66675</xdr:rowOff>
    </xdr:from>
    <xdr:to>
      <xdr:col>3</xdr:col>
      <xdr:colOff>828675</xdr:colOff>
      <xdr:row>32</xdr:row>
      <xdr:rowOff>104775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C5121805-4544-D3F3-63CA-3F74F226879C}"/>
            </a:ext>
          </a:extLst>
        </xdr:cNvPr>
        <xdr:cNvSpPr>
          <a:spLocks noChangeArrowheads="1"/>
        </xdr:cNvSpPr>
      </xdr:nvSpPr>
      <xdr:spPr bwMode="auto">
        <a:xfrm>
          <a:off x="161925" y="3238500"/>
          <a:ext cx="2847975" cy="2305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76200</xdr:colOff>
      <xdr:row>18</xdr:row>
      <xdr:rowOff>95250</xdr:rowOff>
    </xdr:from>
    <xdr:to>
      <xdr:col>3</xdr:col>
      <xdr:colOff>790575</xdr:colOff>
      <xdr:row>32</xdr:row>
      <xdr:rowOff>76200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3CBED107-E507-A5BC-F011-CE4758550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Fin_Ops\Finrpt\2000\O&amp;MReporting\Research\4th%20Q\2k12\Research122KO&amp;M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Hdcount"/>
      <sheetName val="PR Data"/>
      <sheetName val="Summarized data"/>
      <sheetName val="Graphs"/>
      <sheetName val="Comparison Rpt"/>
      <sheetName val="General Ledger"/>
      <sheetName val="Plan"/>
      <sheetName val="DC063"/>
      <sheetName val="DC657"/>
      <sheetName val="DC697"/>
      <sheetName val="Work Order"/>
    </sheetNames>
    <sheetDataSet>
      <sheetData sheetId="0"/>
      <sheetData sheetId="1"/>
      <sheetData sheetId="2"/>
      <sheetData sheetId="3">
        <row r="17">
          <cell r="D17" t="str">
            <v>ENRON NORTH AMERICA</v>
          </cell>
        </row>
        <row r="18">
          <cell r="D18" t="str">
            <v>RESEARCH</v>
          </cell>
        </row>
        <row r="19">
          <cell r="D19">
            <v>36861</v>
          </cell>
        </row>
        <row r="21">
          <cell r="F21" t="str">
            <v>Current Month Spending vs. Plan</v>
          </cell>
          <cell r="L21" t="str">
            <v>Budget</v>
          </cell>
          <cell r="O21" t="str">
            <v>YTD Spending vs. Plan</v>
          </cell>
        </row>
        <row r="23">
          <cell r="F23">
            <v>36861</v>
          </cell>
          <cell r="H23">
            <v>36861</v>
          </cell>
          <cell r="J23" t="str">
            <v>Variance</v>
          </cell>
          <cell r="L23">
            <v>2000</v>
          </cell>
          <cell r="O23">
            <v>36861</v>
          </cell>
          <cell r="Q23">
            <v>36861</v>
          </cell>
          <cell r="S23" t="str">
            <v>Variance</v>
          </cell>
        </row>
        <row r="24">
          <cell r="F24" t="str">
            <v>Plan</v>
          </cell>
          <cell r="H24" t="str">
            <v>Actual</v>
          </cell>
          <cell r="J24" t="str">
            <v>Fav/(Unfav)</v>
          </cell>
          <cell r="L24" t="str">
            <v>Plan</v>
          </cell>
          <cell r="O24" t="str">
            <v>Plan</v>
          </cell>
          <cell r="Q24" t="str">
            <v>Actual</v>
          </cell>
          <cell r="S24" t="str">
            <v>Fav/(Unfav)</v>
          </cell>
        </row>
        <row r="26">
          <cell r="D26" t="str">
            <v>Personnel</v>
          </cell>
          <cell r="F26">
            <v>486182</v>
          </cell>
          <cell r="H26">
            <v>1034206</v>
          </cell>
          <cell r="J26">
            <v>-548024</v>
          </cell>
          <cell r="L26">
            <v>2445130</v>
          </cell>
          <cell r="O26">
            <v>2445130</v>
          </cell>
          <cell r="Q26">
            <v>2243873</v>
          </cell>
          <cell r="S26">
            <v>201257</v>
          </cell>
        </row>
        <row r="27">
          <cell r="D27" t="str">
            <v>Others</v>
          </cell>
          <cell r="F27">
            <v>18675</v>
          </cell>
          <cell r="H27">
            <v>10000</v>
          </cell>
          <cell r="J27">
            <v>8675</v>
          </cell>
          <cell r="L27">
            <v>93375</v>
          </cell>
          <cell r="O27">
            <v>93375</v>
          </cell>
          <cell r="Q27">
            <v>60882</v>
          </cell>
          <cell r="S27">
            <v>32493</v>
          </cell>
        </row>
        <row r="28">
          <cell r="D28" t="str">
            <v>Office</v>
          </cell>
          <cell r="F28">
            <v>49632</v>
          </cell>
          <cell r="H28">
            <v>70552</v>
          </cell>
          <cell r="J28">
            <v>-20920</v>
          </cell>
          <cell r="L28">
            <v>248160</v>
          </cell>
          <cell r="O28">
            <v>248160</v>
          </cell>
          <cell r="Q28">
            <v>314652</v>
          </cell>
          <cell r="S28">
            <v>-66492</v>
          </cell>
        </row>
        <row r="29">
          <cell r="D29" t="str">
            <v>Consultants</v>
          </cell>
          <cell r="F29">
            <v>16575</v>
          </cell>
          <cell r="H29">
            <v>58568</v>
          </cell>
          <cell r="J29">
            <v>-41993</v>
          </cell>
          <cell r="L29">
            <v>82875</v>
          </cell>
          <cell r="O29">
            <v>82875</v>
          </cell>
          <cell r="Q29">
            <v>175147</v>
          </cell>
          <cell r="S29">
            <v>-92272</v>
          </cell>
        </row>
        <row r="30">
          <cell r="D30" t="str">
            <v>Depreciation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D31" t="str">
            <v>Equipment</v>
          </cell>
          <cell r="F31">
            <v>6333</v>
          </cell>
          <cell r="H31">
            <v>0</v>
          </cell>
          <cell r="J31">
            <v>6333</v>
          </cell>
          <cell r="L31">
            <v>31665</v>
          </cell>
          <cell r="O31">
            <v>31665</v>
          </cell>
          <cell r="Q31">
            <v>0</v>
          </cell>
          <cell r="S31">
            <v>31665</v>
          </cell>
        </row>
        <row r="32">
          <cell r="F32">
            <v>577397</v>
          </cell>
          <cell r="H32">
            <v>1173326</v>
          </cell>
          <cell r="J32">
            <v>-595929</v>
          </cell>
          <cell r="L32">
            <v>2901205</v>
          </cell>
          <cell r="O32">
            <v>2901205</v>
          </cell>
          <cell r="Q32">
            <v>2794554</v>
          </cell>
          <cell r="S32">
            <v>106651</v>
          </cell>
        </row>
        <row r="35">
          <cell r="F35" t="str">
            <v>Spending vs. Plan</v>
          </cell>
          <cell r="L35" t="str">
            <v>Budget</v>
          </cell>
          <cell r="O35" t="str">
            <v>Headcount</v>
          </cell>
        </row>
        <row r="37">
          <cell r="F37">
            <v>36861</v>
          </cell>
          <cell r="H37">
            <v>36861</v>
          </cell>
          <cell r="J37" t="str">
            <v>Variance</v>
          </cell>
          <cell r="L37">
            <v>2000</v>
          </cell>
          <cell r="O37">
            <v>36861</v>
          </cell>
          <cell r="Q37">
            <v>36861</v>
          </cell>
          <cell r="S37" t="str">
            <v>Variance</v>
          </cell>
        </row>
        <row r="38">
          <cell r="F38" t="str">
            <v>Plan</v>
          </cell>
          <cell r="H38" t="str">
            <v>Actual</v>
          </cell>
          <cell r="J38" t="str">
            <v>Fav/(Unfav)</v>
          </cell>
          <cell r="L38" t="str">
            <v>Plan</v>
          </cell>
          <cell r="O38" t="str">
            <v>Plan</v>
          </cell>
          <cell r="Q38" t="str">
            <v>Actual</v>
          </cell>
          <cell r="S38" t="str">
            <v>Fav/(Unfav)</v>
          </cell>
        </row>
        <row r="40">
          <cell r="D40" t="str">
            <v>Research</v>
          </cell>
          <cell r="F40">
            <v>577397</v>
          </cell>
          <cell r="H40">
            <v>1173326</v>
          </cell>
          <cell r="J40">
            <v>-595929</v>
          </cell>
          <cell r="L40">
            <v>2901205</v>
          </cell>
          <cell r="O40">
            <v>34</v>
          </cell>
          <cell r="Q40">
            <v>41</v>
          </cell>
          <cell r="S40">
            <v>-7</v>
          </cell>
        </row>
        <row r="41">
          <cell r="F41">
            <v>577397</v>
          </cell>
          <cell r="H41">
            <v>1173326</v>
          </cell>
          <cell r="J41">
            <v>-595929</v>
          </cell>
          <cell r="L41">
            <v>2901205</v>
          </cell>
          <cell r="O41">
            <v>34</v>
          </cell>
          <cell r="Q41">
            <v>41</v>
          </cell>
          <cell r="S41">
            <v>-7</v>
          </cell>
        </row>
        <row r="44">
          <cell r="D44" t="str">
            <v>Notes:</v>
          </cell>
        </row>
        <row r="46">
          <cell r="D46" t="str">
            <v>Personnel contains:  compensation, benefits &amp; payroll taxes, employee expenses and recruiting</v>
          </cell>
        </row>
        <row r="47">
          <cell r="D47" t="str">
            <v>Other consists of:  marketing, transportations and charities</v>
          </cell>
        </row>
        <row r="48">
          <cell r="D48" t="str">
            <v>Consultants: Outside services</v>
          </cell>
        </row>
        <row r="49">
          <cell r="D49" t="str">
            <v>Office includes:  supplies, Corp IT, rent</v>
          </cell>
        </row>
        <row r="50">
          <cell r="D50" t="str">
            <v>Equipment is technology and Consultant is outside services</v>
          </cell>
        </row>
        <row r="52">
          <cell r="D52" t="str">
            <v xml:space="preserve"> </v>
          </cell>
        </row>
        <row r="53">
          <cell r="D53" t="str">
            <v>O:\Fin_Ops\Finrpt\CostCenterReporting\[CostCenterTemplate.xls]Data</v>
          </cell>
        </row>
      </sheetData>
      <sheetData sheetId="4">
        <row r="1">
          <cell r="AI1" t="str">
            <v>ENRON NORTH AMERICA</v>
          </cell>
        </row>
        <row r="2">
          <cell r="AI2" t="str">
            <v>RESEARCH</v>
          </cell>
        </row>
        <row r="3">
          <cell r="AI3" t="str">
            <v>O&amp;M REPORTING - PLAN vs. SPENDING (in thousands)</v>
          </cell>
        </row>
        <row r="4">
          <cell r="AI4">
            <v>36861</v>
          </cell>
        </row>
        <row r="32">
          <cell r="AI32" t="str">
            <v>Year to Date Plan vs. Spending</v>
          </cell>
          <cell r="AW32" t="str">
            <v>Trend Analysis</v>
          </cell>
        </row>
        <row r="33">
          <cell r="BB33" t="str">
            <v>YTD underspending:</v>
          </cell>
          <cell r="BC33" t="e">
            <v>#NAME?</v>
          </cell>
        </row>
        <row r="61">
          <cell r="AI61" t="str">
            <v>Current Month Plan vs. Spending</v>
          </cell>
          <cell r="AW61" t="str">
            <v>Budget vs. Year to date Spending</v>
          </cell>
        </row>
        <row r="64">
          <cell r="AI64" t="str">
            <v>O:\Fin_Ops\Finrpt\CostCenterReporting\[CostCenterTemplate.xls]Data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opLeftCell="A33" workbookViewId="0">
      <selection activeCell="B69" sqref="B69:M74"/>
    </sheetView>
  </sheetViews>
  <sheetFormatPr defaultRowHeight="12.75" x14ac:dyDescent="0.2"/>
  <cols>
    <col min="1" max="1" width="11.42578125" style="97" customWidth="1"/>
    <col min="2" max="2" width="11.42578125" style="98" customWidth="1"/>
    <col min="3" max="3" width="8.7109375" style="98" customWidth="1"/>
    <col min="4" max="4" width="11" style="98" customWidth="1"/>
    <col min="5" max="5" width="9.140625" style="98"/>
    <col min="6" max="6" width="11.140625" style="98" customWidth="1"/>
    <col min="7" max="7" width="10.42578125" style="98" customWidth="1"/>
    <col min="8" max="8" width="10.28515625" style="98" customWidth="1"/>
    <col min="9" max="9" width="8.7109375" style="98" bestFit="1" customWidth="1"/>
    <col min="10" max="10" width="8" style="98" customWidth="1"/>
    <col min="11" max="12" width="8.7109375" style="98" customWidth="1"/>
    <col min="13" max="13" width="8.42578125" style="98" customWidth="1"/>
    <col min="14" max="14" width="2.140625" style="98" customWidth="1"/>
    <col min="15" max="16" width="9.140625" style="98"/>
    <col min="17" max="17" width="11.85546875" style="98" customWidth="1"/>
    <col min="18" max="18" width="20.140625" style="98" customWidth="1"/>
    <col min="19" max="19" width="10.42578125" style="98" customWidth="1"/>
    <col min="20" max="20" width="9.140625" style="98"/>
    <col min="21" max="21" width="10.28515625" style="98" customWidth="1"/>
    <col min="22" max="28" width="9.140625" style="98"/>
    <col min="29" max="29" width="11" style="98" bestFit="1" customWidth="1"/>
    <col min="30" max="30" width="9.140625" style="98"/>
    <col min="31" max="31" width="10.42578125" style="98" bestFit="1" customWidth="1"/>
    <col min="32" max="16384" width="9.140625" style="98"/>
  </cols>
  <sheetData>
    <row r="1" spans="1:23" ht="20.25" x14ac:dyDescent="0.3">
      <c r="A1" s="257" t="s">
        <v>160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</row>
    <row r="2" spans="1:23" ht="20.25" x14ac:dyDescent="0.3">
      <c r="A2" s="257" t="str">
        <f>CONCATENATE('Monthly Expense Categories'!B1," ","(",'Monthly Expense Categories'!B2,")")</f>
        <v>ENW-Energy Ops Texas (103832)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</row>
    <row r="3" spans="1:23" ht="20.25" x14ac:dyDescent="0.3">
      <c r="A3" s="258" t="str">
        <f>CHOOSE(Month,"January","February","March","April","May","June","July","August","September","October","November","December")&amp;" 2001YTD Actual vs Plan"</f>
        <v>June 2001YTD Actual vs Plan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</row>
    <row r="4" spans="1:23" ht="13.5" thickBot="1" x14ac:dyDescent="0.25">
      <c r="A4" s="98"/>
    </row>
    <row r="5" spans="1:23" x14ac:dyDescent="0.2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102"/>
      <c r="O5" s="103"/>
      <c r="P5" s="100"/>
      <c r="Q5" s="100"/>
      <c r="R5" s="100"/>
      <c r="S5" s="100"/>
      <c r="T5" s="100"/>
      <c r="U5" s="101"/>
      <c r="V5" s="102"/>
      <c r="W5" s="102"/>
    </row>
    <row r="6" spans="1:23" x14ac:dyDescent="0.2">
      <c r="A6" s="10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5"/>
      <c r="N6" s="102"/>
      <c r="O6" s="106"/>
      <c r="P6" s="102"/>
      <c r="Q6" s="102"/>
      <c r="R6" s="102"/>
      <c r="S6" s="102"/>
      <c r="T6" s="102"/>
      <c r="U6" s="105"/>
      <c r="V6" s="102"/>
      <c r="W6" s="102"/>
    </row>
    <row r="7" spans="1:23" x14ac:dyDescent="0.2">
      <c r="A7" s="104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102"/>
      <c r="O7" s="106"/>
      <c r="P7" s="102"/>
      <c r="Q7" s="102"/>
      <c r="R7" s="102"/>
      <c r="S7" s="102"/>
      <c r="T7" s="102"/>
      <c r="U7" s="105"/>
      <c r="V7" s="102"/>
      <c r="W7" s="102"/>
    </row>
    <row r="8" spans="1:23" x14ac:dyDescent="0.2">
      <c r="A8" s="104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102"/>
      <c r="O8" s="106"/>
      <c r="P8" s="102"/>
      <c r="Q8" s="102"/>
      <c r="R8" s="102"/>
      <c r="S8" s="102"/>
      <c r="T8" s="102"/>
      <c r="U8" s="105"/>
      <c r="V8" s="102"/>
      <c r="W8" s="102"/>
    </row>
    <row r="9" spans="1:23" x14ac:dyDescent="0.2">
      <c r="A9" s="104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102"/>
      <c r="O9" s="106"/>
      <c r="P9" s="102"/>
      <c r="Q9" s="102"/>
      <c r="R9" s="102"/>
      <c r="S9" s="102"/>
      <c r="T9" s="102"/>
      <c r="U9" s="105"/>
      <c r="V9" s="102"/>
      <c r="W9" s="102"/>
    </row>
    <row r="10" spans="1:23" x14ac:dyDescent="0.2">
      <c r="A10" s="104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102"/>
      <c r="O10" s="106"/>
      <c r="P10" s="102"/>
      <c r="Q10" s="102"/>
      <c r="R10" s="102"/>
      <c r="S10" s="102"/>
      <c r="T10" s="102"/>
      <c r="U10" s="105"/>
      <c r="V10" s="102"/>
      <c r="W10" s="102"/>
    </row>
    <row r="11" spans="1:23" x14ac:dyDescent="0.2">
      <c r="A11" s="104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102"/>
      <c r="O11" s="106"/>
      <c r="P11" s="102"/>
      <c r="Q11" s="102"/>
      <c r="R11" s="102"/>
      <c r="S11" s="102"/>
      <c r="T11" s="102"/>
      <c r="U11" s="105"/>
      <c r="V11" s="102"/>
      <c r="W11" s="102"/>
    </row>
    <row r="12" spans="1:23" x14ac:dyDescent="0.2">
      <c r="A12" s="104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102"/>
      <c r="O12" s="106"/>
      <c r="P12" s="102"/>
      <c r="Q12" s="102"/>
      <c r="R12" s="102"/>
      <c r="S12" s="102"/>
      <c r="T12" s="102"/>
      <c r="U12" s="105"/>
      <c r="V12" s="102"/>
      <c r="W12" s="102"/>
    </row>
    <row r="13" spans="1:23" x14ac:dyDescent="0.2">
      <c r="A13" s="104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5"/>
      <c r="N13" s="102"/>
      <c r="O13" s="106"/>
      <c r="P13" s="102"/>
      <c r="Q13" s="102"/>
      <c r="R13" s="102"/>
      <c r="S13" s="102"/>
      <c r="T13" s="102"/>
      <c r="U13" s="105"/>
      <c r="V13" s="102"/>
      <c r="W13" s="102"/>
    </row>
    <row r="14" spans="1:23" x14ac:dyDescent="0.2">
      <c r="A14" s="104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5"/>
      <c r="N14" s="102"/>
      <c r="O14" s="106"/>
      <c r="P14" s="102"/>
      <c r="Q14" s="102"/>
      <c r="R14" s="102"/>
      <c r="S14" s="102"/>
      <c r="T14" s="102"/>
      <c r="U14" s="105"/>
      <c r="V14" s="102"/>
      <c r="W14" s="102"/>
    </row>
    <row r="15" spans="1:23" x14ac:dyDescent="0.2">
      <c r="A15" s="10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5"/>
      <c r="N15" s="102"/>
      <c r="O15" s="106"/>
      <c r="P15" s="102"/>
      <c r="Q15" s="102"/>
      <c r="R15" s="102"/>
      <c r="S15" s="102"/>
      <c r="T15" s="102"/>
      <c r="U15" s="105"/>
      <c r="V15" s="102"/>
      <c r="W15" s="102"/>
    </row>
    <row r="16" spans="1:23" x14ac:dyDescent="0.2">
      <c r="A16" s="10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5"/>
      <c r="N16" s="102"/>
      <c r="O16" s="106"/>
      <c r="P16" s="102"/>
      <c r="Q16" s="102"/>
      <c r="R16" s="102"/>
      <c r="S16" s="102"/>
      <c r="T16" s="102"/>
      <c r="U16" s="105"/>
      <c r="V16" s="102"/>
      <c r="W16" s="102"/>
    </row>
    <row r="17" spans="1:23" x14ac:dyDescent="0.2">
      <c r="A17" s="10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5"/>
      <c r="N17" s="102"/>
      <c r="O17" s="106"/>
      <c r="P17" s="102"/>
      <c r="Q17" s="102"/>
      <c r="R17" s="102"/>
      <c r="S17" s="102"/>
      <c r="T17" s="102"/>
      <c r="U17" s="105"/>
      <c r="V17" s="102"/>
      <c r="W17" s="102"/>
    </row>
    <row r="18" spans="1:23" x14ac:dyDescent="0.2">
      <c r="A18" s="10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5"/>
      <c r="N18" s="102"/>
      <c r="O18" s="106"/>
      <c r="P18" s="102"/>
      <c r="Q18" s="102"/>
      <c r="R18" s="102"/>
      <c r="S18" s="102"/>
      <c r="T18" s="102"/>
      <c r="U18" s="105"/>
      <c r="V18" s="102"/>
      <c r="W18" s="102"/>
    </row>
    <row r="19" spans="1:23" x14ac:dyDescent="0.2">
      <c r="A19" s="10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5"/>
      <c r="N19" s="102"/>
      <c r="O19" s="106"/>
      <c r="P19" s="102"/>
      <c r="Q19" s="102"/>
      <c r="R19" s="102"/>
      <c r="S19" s="102"/>
      <c r="T19" s="102"/>
      <c r="U19" s="105"/>
      <c r="V19" s="102"/>
      <c r="W19" s="102"/>
    </row>
    <row r="20" spans="1:23" x14ac:dyDescent="0.2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5"/>
      <c r="N20" s="102"/>
      <c r="O20" s="106"/>
      <c r="P20" s="102"/>
      <c r="Q20" s="102"/>
      <c r="R20" s="102"/>
      <c r="S20" s="102"/>
      <c r="T20" s="102"/>
      <c r="U20" s="105"/>
      <c r="V20" s="102"/>
      <c r="W20" s="102"/>
    </row>
    <row r="21" spans="1:23" x14ac:dyDescent="0.2">
      <c r="A21" s="10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5"/>
      <c r="N21" s="102"/>
      <c r="O21" s="106"/>
      <c r="P21" s="102"/>
      <c r="Q21" s="102"/>
      <c r="R21" s="102"/>
      <c r="S21" s="102"/>
      <c r="T21" s="102"/>
      <c r="U21" s="105"/>
      <c r="V21" s="102"/>
      <c r="W21" s="102"/>
    </row>
    <row r="22" spans="1:23" x14ac:dyDescent="0.2">
      <c r="A22" s="10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5"/>
      <c r="N22" s="102"/>
      <c r="O22" s="106"/>
      <c r="P22" s="102"/>
      <c r="Q22" s="102"/>
      <c r="R22" s="102"/>
      <c r="S22" s="102"/>
      <c r="T22" s="102"/>
      <c r="U22" s="105"/>
      <c r="V22" s="102"/>
      <c r="W22" s="102"/>
    </row>
    <row r="23" spans="1:23" x14ac:dyDescent="0.2">
      <c r="A23" s="10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102"/>
      <c r="O23" s="106"/>
      <c r="P23" s="102"/>
      <c r="Q23" s="102"/>
      <c r="R23" s="102"/>
      <c r="S23" s="102"/>
      <c r="T23" s="102"/>
      <c r="U23" s="105"/>
      <c r="V23" s="102"/>
      <c r="W23" s="102"/>
    </row>
    <row r="24" spans="1:23" x14ac:dyDescent="0.2">
      <c r="A24" s="10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5"/>
      <c r="N24" s="102"/>
      <c r="O24" s="106"/>
      <c r="P24" s="102"/>
      <c r="Q24" s="102"/>
      <c r="R24" s="102"/>
      <c r="S24" s="102"/>
      <c r="T24" s="102"/>
      <c r="U24" s="105"/>
      <c r="V24" s="102"/>
      <c r="W24" s="102"/>
    </row>
    <row r="25" spans="1:23" x14ac:dyDescent="0.2">
      <c r="A25" s="10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5"/>
      <c r="N25" s="102"/>
      <c r="O25" s="106"/>
      <c r="P25" s="102"/>
      <c r="Q25" s="102"/>
      <c r="R25" s="102"/>
      <c r="S25" s="102"/>
      <c r="T25" s="102"/>
      <c r="U25" s="105"/>
      <c r="V25" s="102"/>
      <c r="W25" s="102"/>
    </row>
    <row r="26" spans="1:23" x14ac:dyDescent="0.2">
      <c r="A26" s="10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5"/>
      <c r="N26" s="102"/>
      <c r="O26" s="106"/>
      <c r="P26" s="102"/>
      <c r="Q26" s="102"/>
      <c r="R26" s="102"/>
      <c r="S26" s="102"/>
      <c r="T26" s="102"/>
      <c r="U26" s="105"/>
      <c r="V26" s="102"/>
      <c r="W26" s="102"/>
    </row>
    <row r="27" spans="1:23" x14ac:dyDescent="0.2">
      <c r="A27" s="10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5"/>
      <c r="N27" s="102"/>
      <c r="O27" s="106"/>
      <c r="P27" s="102"/>
      <c r="Q27" s="102"/>
      <c r="R27" s="102"/>
      <c r="S27" s="102"/>
      <c r="T27" s="102"/>
      <c r="U27" s="105"/>
      <c r="V27" s="102"/>
      <c r="W27" s="102"/>
    </row>
    <row r="28" spans="1:23" x14ac:dyDescent="0.2">
      <c r="A28" s="10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5"/>
      <c r="N28" s="102"/>
      <c r="O28" s="106"/>
      <c r="P28" s="102"/>
      <c r="Q28" s="102"/>
      <c r="R28" s="102"/>
      <c r="S28" s="102"/>
      <c r="T28" s="102"/>
      <c r="U28" s="105"/>
      <c r="V28" s="102"/>
      <c r="W28" s="102"/>
    </row>
    <row r="29" spans="1:23" x14ac:dyDescent="0.2">
      <c r="A29" s="10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5"/>
      <c r="N29" s="102"/>
      <c r="O29" s="106"/>
      <c r="P29" s="102"/>
      <c r="Q29" s="102"/>
      <c r="R29" s="102"/>
      <c r="S29" s="102"/>
      <c r="T29" s="102"/>
      <c r="U29" s="105"/>
      <c r="V29" s="102"/>
      <c r="W29" s="102"/>
    </row>
    <row r="30" spans="1:23" x14ac:dyDescent="0.2">
      <c r="A30" s="10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5"/>
      <c r="N30" s="102"/>
      <c r="O30" s="106"/>
      <c r="P30" s="102"/>
      <c r="Q30" s="102"/>
      <c r="R30" s="102"/>
      <c r="S30" s="102"/>
      <c r="T30" s="102"/>
      <c r="U30" s="105"/>
      <c r="V30" s="102"/>
      <c r="W30" s="102"/>
    </row>
    <row r="31" spans="1:23" ht="18.75" x14ac:dyDescent="0.3">
      <c r="A31" s="259" t="s">
        <v>157</v>
      </c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1"/>
      <c r="N31" s="102"/>
      <c r="O31" s="259" t="s">
        <v>150</v>
      </c>
      <c r="P31" s="260"/>
      <c r="Q31" s="260"/>
      <c r="R31" s="260"/>
      <c r="S31" s="260"/>
      <c r="T31" s="260"/>
      <c r="U31" s="261"/>
      <c r="V31" s="113"/>
      <c r="W31" s="102"/>
    </row>
    <row r="32" spans="1:23" ht="15" thickBot="1" x14ac:dyDescent="0.25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102"/>
      <c r="O32" s="114"/>
      <c r="P32" s="115"/>
      <c r="Q32" s="115"/>
      <c r="R32" s="115"/>
      <c r="S32" s="115"/>
      <c r="T32" s="117" t="s">
        <v>159</v>
      </c>
      <c r="U32" s="118">
        <f>ROUND(Data!Q17/1000,0)</f>
        <v>0</v>
      </c>
      <c r="V32" s="102"/>
      <c r="W32" s="102"/>
    </row>
    <row r="33" spans="1:23" ht="13.5" thickBot="1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19"/>
      <c r="W33" s="102"/>
    </row>
    <row r="34" spans="1:23" x14ac:dyDescent="0.2">
      <c r="A34" s="103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102"/>
      <c r="O34" s="103"/>
      <c r="P34" s="100"/>
      <c r="Q34" s="100"/>
      <c r="R34" s="100"/>
      <c r="S34" s="100"/>
      <c r="T34" s="100"/>
      <c r="U34" s="101"/>
      <c r="V34" s="102"/>
      <c r="W34" s="102"/>
    </row>
    <row r="35" spans="1:23" x14ac:dyDescent="0.2">
      <c r="A35" s="106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5"/>
      <c r="N35" s="102"/>
      <c r="O35" s="106"/>
      <c r="P35" s="102"/>
      <c r="Q35" s="102"/>
      <c r="R35" s="102"/>
      <c r="S35" s="102"/>
      <c r="T35" s="102"/>
      <c r="U35" s="105"/>
      <c r="V35" s="102"/>
      <c r="W35" s="102"/>
    </row>
    <row r="36" spans="1:23" x14ac:dyDescent="0.2">
      <c r="A36" s="106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5"/>
      <c r="N36" s="102"/>
      <c r="O36" s="106"/>
      <c r="P36" s="102"/>
      <c r="Q36" s="102"/>
      <c r="R36" s="102"/>
      <c r="S36" s="102"/>
      <c r="T36" s="102"/>
      <c r="U36" s="105"/>
      <c r="V36" s="102"/>
      <c r="W36" s="102"/>
    </row>
    <row r="37" spans="1:23" x14ac:dyDescent="0.2">
      <c r="A37" s="106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5"/>
      <c r="N37" s="102"/>
      <c r="O37" s="106"/>
      <c r="P37" s="102"/>
      <c r="Q37" s="102"/>
      <c r="R37" s="102"/>
      <c r="S37" s="102"/>
      <c r="T37" s="102"/>
      <c r="U37" s="105"/>
      <c r="V37" s="102"/>
      <c r="W37" s="102"/>
    </row>
    <row r="38" spans="1:23" x14ac:dyDescent="0.2">
      <c r="A38" s="106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5"/>
      <c r="N38" s="102"/>
      <c r="O38" s="106"/>
      <c r="P38" s="102"/>
      <c r="Q38" s="102"/>
      <c r="R38" s="102"/>
      <c r="S38" s="102"/>
      <c r="T38" s="102"/>
      <c r="U38" s="105"/>
      <c r="V38" s="102"/>
      <c r="W38" s="102"/>
    </row>
    <row r="39" spans="1:23" x14ac:dyDescent="0.2">
      <c r="A39" s="106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5"/>
      <c r="N39" s="102"/>
      <c r="O39" s="106"/>
      <c r="P39" s="102"/>
      <c r="Q39" s="102"/>
      <c r="R39" s="102"/>
      <c r="S39" s="102"/>
      <c r="T39" s="102"/>
      <c r="U39" s="105"/>
      <c r="V39" s="102"/>
      <c r="W39" s="102"/>
    </row>
    <row r="40" spans="1:23" x14ac:dyDescent="0.2">
      <c r="A40" s="106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5"/>
      <c r="N40" s="102"/>
      <c r="O40" s="106"/>
      <c r="P40" s="102"/>
      <c r="Q40" s="102"/>
      <c r="R40" s="102"/>
      <c r="S40" s="102"/>
      <c r="T40" s="102"/>
      <c r="U40" s="105"/>
      <c r="V40" s="102"/>
      <c r="W40" s="102"/>
    </row>
    <row r="41" spans="1:23" x14ac:dyDescent="0.2">
      <c r="A41" s="106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5"/>
      <c r="N41" s="102"/>
      <c r="O41" s="106"/>
      <c r="P41" s="102"/>
      <c r="Q41" s="102"/>
      <c r="R41" s="102"/>
      <c r="S41" s="102"/>
      <c r="T41" s="102"/>
      <c r="U41" s="105"/>
      <c r="V41" s="102"/>
      <c r="W41" s="102"/>
    </row>
    <row r="42" spans="1:23" x14ac:dyDescent="0.2">
      <c r="A42" s="106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N42" s="102"/>
      <c r="O42" s="106"/>
      <c r="P42" s="102"/>
      <c r="Q42" s="102"/>
      <c r="R42" s="102"/>
      <c r="S42" s="102"/>
      <c r="T42" s="102"/>
      <c r="U42" s="105"/>
      <c r="V42" s="102"/>
      <c r="W42" s="102"/>
    </row>
    <row r="43" spans="1:23" x14ac:dyDescent="0.2">
      <c r="A43" s="10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N43" s="102"/>
      <c r="O43" s="106"/>
      <c r="P43" s="102"/>
      <c r="Q43" s="102"/>
      <c r="R43" s="102"/>
      <c r="S43" s="102"/>
      <c r="T43" s="102"/>
      <c r="U43" s="105"/>
      <c r="V43" s="102"/>
      <c r="W43" s="102"/>
    </row>
    <row r="44" spans="1:23" x14ac:dyDescent="0.2">
      <c r="A44" s="106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N44" s="102"/>
      <c r="O44" s="106"/>
      <c r="P44" s="102"/>
      <c r="Q44" s="102"/>
      <c r="R44" s="102"/>
      <c r="S44" s="102"/>
      <c r="T44" s="102"/>
      <c r="U44" s="105"/>
      <c r="V44" s="102"/>
      <c r="W44" s="102"/>
    </row>
    <row r="45" spans="1:23" x14ac:dyDescent="0.2">
      <c r="A45" s="106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N45" s="102"/>
      <c r="O45" s="106"/>
      <c r="P45" s="102"/>
      <c r="Q45" s="102"/>
      <c r="R45" s="102"/>
      <c r="S45" s="102"/>
      <c r="T45" s="102"/>
      <c r="U45" s="105"/>
      <c r="V45" s="102"/>
      <c r="W45" s="102"/>
    </row>
    <row r="46" spans="1:23" x14ac:dyDescent="0.2">
      <c r="A46" s="106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5"/>
      <c r="N46" s="102"/>
      <c r="O46" s="106"/>
      <c r="P46" s="102"/>
      <c r="Q46" s="102"/>
      <c r="R46" s="102"/>
      <c r="S46" s="102"/>
      <c r="T46" s="102"/>
      <c r="U46" s="105"/>
      <c r="V46" s="102"/>
      <c r="W46" s="102"/>
    </row>
    <row r="47" spans="1:23" x14ac:dyDescent="0.2">
      <c r="A47" s="106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5"/>
      <c r="N47" s="102"/>
      <c r="O47" s="106"/>
      <c r="P47" s="102"/>
      <c r="Q47" s="102"/>
      <c r="R47" s="102"/>
      <c r="S47" s="102"/>
      <c r="T47" s="102"/>
      <c r="U47" s="105"/>
      <c r="V47" s="102"/>
      <c r="W47" s="102"/>
    </row>
    <row r="48" spans="1:23" x14ac:dyDescent="0.2">
      <c r="A48" s="106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5"/>
      <c r="N48" s="102"/>
      <c r="O48" s="106"/>
      <c r="P48" s="102"/>
      <c r="Q48" s="102"/>
      <c r="R48" s="102"/>
      <c r="S48" s="102"/>
      <c r="T48" s="102"/>
      <c r="U48" s="105"/>
      <c r="V48" s="102"/>
      <c r="W48" s="102"/>
    </row>
    <row r="49" spans="1:23" x14ac:dyDescent="0.2">
      <c r="A49" s="106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5"/>
      <c r="N49" s="102"/>
      <c r="O49" s="106"/>
      <c r="P49" s="102"/>
      <c r="Q49" s="102"/>
      <c r="R49" s="102"/>
      <c r="S49" s="102"/>
      <c r="T49" s="102"/>
      <c r="U49" s="105"/>
      <c r="V49" s="102"/>
      <c r="W49" s="102"/>
    </row>
    <row r="50" spans="1:23" x14ac:dyDescent="0.2">
      <c r="A50" s="106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5"/>
      <c r="N50" s="102"/>
      <c r="O50" s="106"/>
      <c r="P50" s="102"/>
      <c r="Q50" s="102"/>
      <c r="R50" s="102"/>
      <c r="S50" s="102"/>
      <c r="T50" s="102"/>
      <c r="U50" s="105"/>
      <c r="V50" s="102"/>
      <c r="W50" s="102"/>
    </row>
    <row r="51" spans="1:23" x14ac:dyDescent="0.2">
      <c r="A51" s="106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5"/>
      <c r="N51" s="102"/>
      <c r="O51" s="106"/>
      <c r="P51" s="102"/>
      <c r="Q51" s="102"/>
      <c r="R51" s="102"/>
      <c r="S51" s="102"/>
      <c r="T51" s="102"/>
      <c r="U51" s="105"/>
      <c r="V51" s="102"/>
      <c r="W51" s="102"/>
    </row>
    <row r="52" spans="1:23" x14ac:dyDescent="0.2">
      <c r="A52" s="106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5"/>
      <c r="N52" s="102"/>
      <c r="O52" s="106"/>
      <c r="P52" s="102"/>
      <c r="Q52" s="102"/>
      <c r="R52" s="102"/>
      <c r="S52" s="102"/>
      <c r="T52" s="102"/>
      <c r="U52" s="105"/>
      <c r="V52" s="102"/>
      <c r="W52" s="102"/>
    </row>
    <row r="53" spans="1:23" x14ac:dyDescent="0.2">
      <c r="A53" s="106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5"/>
      <c r="N53" s="102"/>
      <c r="O53" s="106"/>
      <c r="P53" s="102"/>
      <c r="Q53" s="102"/>
      <c r="R53" s="102"/>
      <c r="S53" s="102"/>
      <c r="T53" s="102"/>
      <c r="U53" s="105"/>
      <c r="V53" s="102"/>
      <c r="W53" s="102"/>
    </row>
    <row r="54" spans="1:23" x14ac:dyDescent="0.2">
      <c r="A54" s="106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5"/>
      <c r="N54" s="102"/>
      <c r="O54" s="106"/>
      <c r="P54" s="102"/>
      <c r="Q54" s="102"/>
      <c r="R54" s="102"/>
      <c r="S54" s="102"/>
      <c r="T54" s="102"/>
      <c r="U54" s="105"/>
      <c r="V54" s="102"/>
      <c r="W54" s="102"/>
    </row>
    <row r="55" spans="1:23" x14ac:dyDescent="0.2">
      <c r="A55" s="106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5"/>
      <c r="N55" s="102"/>
      <c r="O55" s="106"/>
      <c r="P55" s="102"/>
      <c r="Q55" s="102"/>
      <c r="R55" s="102"/>
      <c r="S55" s="102"/>
      <c r="T55" s="102"/>
      <c r="U55" s="105"/>
      <c r="V55" s="102"/>
      <c r="W55" s="102"/>
    </row>
    <row r="56" spans="1:23" x14ac:dyDescent="0.2">
      <c r="A56" s="106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5"/>
      <c r="N56" s="102"/>
      <c r="O56" s="106"/>
      <c r="P56" s="102"/>
      <c r="Q56" s="102"/>
      <c r="R56" s="102"/>
      <c r="S56" s="102"/>
      <c r="T56" s="102"/>
      <c r="U56" s="105"/>
      <c r="V56" s="102"/>
      <c r="W56" s="102"/>
    </row>
    <row r="57" spans="1:23" x14ac:dyDescent="0.2">
      <c r="A57" s="106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5"/>
      <c r="N57" s="102"/>
      <c r="O57" s="106"/>
      <c r="P57" s="102"/>
      <c r="Q57" s="102"/>
      <c r="R57" s="102"/>
      <c r="S57" s="102"/>
      <c r="T57" s="102"/>
      <c r="U57" s="105"/>
      <c r="V57" s="102"/>
      <c r="W57" s="102"/>
    </row>
    <row r="58" spans="1:23" x14ac:dyDescent="0.2">
      <c r="A58" s="10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5"/>
      <c r="N58" s="102"/>
      <c r="O58" s="106"/>
      <c r="P58" s="102"/>
      <c r="Q58" s="102"/>
      <c r="R58" s="102"/>
      <c r="S58" s="102"/>
      <c r="T58" s="102"/>
      <c r="U58" s="105"/>
      <c r="V58" s="102"/>
      <c r="W58" s="102"/>
    </row>
    <row r="59" spans="1:23" x14ac:dyDescent="0.2">
      <c r="A59" s="104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5"/>
      <c r="N59" s="102"/>
      <c r="O59" s="106"/>
      <c r="P59" s="102"/>
      <c r="Q59" s="102"/>
      <c r="R59" s="102"/>
      <c r="S59" s="102"/>
      <c r="T59" s="102"/>
      <c r="U59" s="105"/>
      <c r="V59" s="102"/>
      <c r="W59" s="102"/>
    </row>
    <row r="60" spans="1:23" ht="18.75" x14ac:dyDescent="0.3">
      <c r="A60" s="259" t="s">
        <v>158</v>
      </c>
      <c r="B60" s="260"/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1"/>
      <c r="N60" s="122"/>
      <c r="O60" s="259" t="s">
        <v>162</v>
      </c>
      <c r="P60" s="260"/>
      <c r="Q60" s="260"/>
      <c r="R60" s="260"/>
      <c r="S60" s="260"/>
      <c r="T60" s="260"/>
      <c r="U60" s="261"/>
      <c r="V60" s="113"/>
      <c r="W60" s="113"/>
    </row>
    <row r="61" spans="1:23" ht="13.5" thickBot="1" x14ac:dyDescent="0.25">
      <c r="A61" s="123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6"/>
      <c r="N61" s="102"/>
      <c r="O61" s="114"/>
      <c r="P61" s="115"/>
      <c r="Q61" s="115"/>
      <c r="R61" s="115"/>
      <c r="S61" s="115"/>
      <c r="T61" s="115"/>
      <c r="U61" s="116"/>
      <c r="V61" s="102"/>
      <c r="W61" s="102"/>
    </row>
    <row r="62" spans="1:23" x14ac:dyDescent="0.2">
      <c r="A62" s="124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x14ac:dyDescent="0.2">
      <c r="A63" s="124" t="str">
        <f ca="1">CELL("filename")</f>
        <v>H:\[Texas June 2001.xls]Monthly Expense Categories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3" x14ac:dyDescent="0.2">
      <c r="A64" s="125" t="s">
        <v>151</v>
      </c>
      <c r="B64" s="126" t="str">
        <f t="shared" ref="B64:G64" si="0">+O68</f>
        <v>Personnel</v>
      </c>
      <c r="C64" s="126" t="str">
        <f t="shared" si="0"/>
        <v>Others</v>
      </c>
      <c r="D64" s="126" t="str">
        <f t="shared" si="0"/>
        <v>Office</v>
      </c>
      <c r="E64" s="126" t="str">
        <f t="shared" si="0"/>
        <v>Consultants</v>
      </c>
      <c r="F64" s="126" t="str">
        <f t="shared" si="0"/>
        <v>Equipment</v>
      </c>
      <c r="G64" s="126" t="str">
        <f t="shared" si="0"/>
        <v>Depreciation</v>
      </c>
      <c r="H64" s="126" t="s">
        <v>113</v>
      </c>
      <c r="I64" s="126"/>
      <c r="J64" s="126"/>
      <c r="K64" s="127"/>
      <c r="L64" s="128"/>
      <c r="M64" s="129" t="s">
        <v>4</v>
      </c>
      <c r="N64" s="130"/>
      <c r="O64" s="131" t="str">
        <f t="shared" ref="O64:T64" si="1">O68</f>
        <v>Personnel</v>
      </c>
      <c r="P64" s="131" t="str">
        <f t="shared" si="1"/>
        <v>Others</v>
      </c>
      <c r="Q64" s="131" t="str">
        <f t="shared" si="1"/>
        <v>Office</v>
      </c>
      <c r="R64" s="131" t="str">
        <f t="shared" si="1"/>
        <v>Consultants</v>
      </c>
      <c r="S64" s="131" t="str">
        <f t="shared" si="1"/>
        <v>Equipment</v>
      </c>
      <c r="T64" s="131" t="str">
        <f t="shared" si="1"/>
        <v>Depreciation</v>
      </c>
      <c r="U64" s="132" t="s">
        <v>113</v>
      </c>
    </row>
    <row r="65" spans="1:26" x14ac:dyDescent="0.2">
      <c r="A65" s="133" t="s">
        <v>6</v>
      </c>
      <c r="B65" s="134">
        <f>ROUND(Data!J10/1000,0)</f>
        <v>271</v>
      </c>
      <c r="C65" s="134">
        <f>ROUND(Data!J11/1000,0)</f>
        <v>0</v>
      </c>
      <c r="D65" s="134">
        <f>ROUND(Data!J12/1000,0)</f>
        <v>34</v>
      </c>
      <c r="E65" s="134">
        <f>ROUND(Data!J13/1000,0)</f>
        <v>0</v>
      </c>
      <c r="F65" s="134">
        <f>ROUND(Data!J15/1000,0)</f>
        <v>0</v>
      </c>
      <c r="G65" s="134">
        <f>ROUND(Data!J14/1000,0)</f>
        <v>0</v>
      </c>
      <c r="H65" s="134">
        <f>SUM(B65:G65)</f>
        <v>305</v>
      </c>
      <c r="I65" s="135"/>
      <c r="J65" s="135"/>
      <c r="K65" s="136"/>
      <c r="L65" s="137"/>
      <c r="M65" s="138"/>
      <c r="N65" s="139" t="s">
        <v>6</v>
      </c>
      <c r="O65" s="137">
        <f>ROUND(Data!M10/1000,0)</f>
        <v>136</v>
      </c>
      <c r="P65" s="137">
        <f>ROUND(Data!M11/1000,0)</f>
        <v>0</v>
      </c>
      <c r="Q65" s="137">
        <f>ROUND(Data!M12/1000,0)</f>
        <v>17</v>
      </c>
      <c r="R65" s="137">
        <f>ROUND(Data!M13/1000,0)</f>
        <v>0</v>
      </c>
      <c r="S65" s="137">
        <f>ROUND(Data!M15/1000,0)</f>
        <v>0</v>
      </c>
      <c r="T65" s="137">
        <f>ROUND(Data!M14/1000,0)</f>
        <v>0</v>
      </c>
      <c r="U65" s="140">
        <f>SUM(O65:T65)</f>
        <v>153</v>
      </c>
    </row>
    <row r="66" spans="1:26" x14ac:dyDescent="0.2">
      <c r="A66" s="141" t="s">
        <v>152</v>
      </c>
      <c r="B66" s="142">
        <f>ROUND(Data!O10/1000,0)</f>
        <v>112</v>
      </c>
      <c r="C66" s="142">
        <f>ROUND(Data!O11/1000,0)</f>
        <v>31</v>
      </c>
      <c r="D66" s="142">
        <f>ROUND(Data!O12/1000,0)</f>
        <v>6</v>
      </c>
      <c r="E66" s="142">
        <f>ROUND(Data!O13/1000,0)</f>
        <v>6</v>
      </c>
      <c r="F66" s="142">
        <f>ROUND(Data!O15/1000,0)</f>
        <v>0</v>
      </c>
      <c r="G66" s="142">
        <f>ROUND(Data!O14/1000,0)</f>
        <v>0</v>
      </c>
      <c r="H66" s="142">
        <f>SUM(B66:G66)</f>
        <v>155</v>
      </c>
      <c r="I66" s="143"/>
      <c r="J66" s="143"/>
      <c r="K66" s="144"/>
      <c r="L66" s="137"/>
      <c r="M66" s="145"/>
      <c r="N66" s="146" t="s">
        <v>5</v>
      </c>
      <c r="O66" s="147">
        <f>ROUND(Data!O10/1000,0)</f>
        <v>112</v>
      </c>
      <c r="P66" s="147">
        <f>ROUND(Data!O11/1000,0)</f>
        <v>31</v>
      </c>
      <c r="Q66" s="147">
        <f>ROUND(Data!O12/1000,0)</f>
        <v>6</v>
      </c>
      <c r="R66" s="147">
        <f>ROUND(Data!O13/1000,0)</f>
        <v>6</v>
      </c>
      <c r="S66" s="147">
        <f>ROUND(Data!O15/1000,0)</f>
        <v>0</v>
      </c>
      <c r="T66" s="147">
        <f>ROUND(Data!O14/1000,0)</f>
        <v>0</v>
      </c>
      <c r="U66" s="148">
        <f>SUM(O66:T66)</f>
        <v>155</v>
      </c>
    </row>
    <row r="67" spans="1:26" x14ac:dyDescent="0.2">
      <c r="A67" s="98"/>
      <c r="E67" s="97"/>
      <c r="F67" s="108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1:26" x14ac:dyDescent="0.2">
      <c r="A68" s="125"/>
      <c r="B68" s="126" t="str">
        <f>LEFT('Monthly Expense Categories'!O8,3)&amp;"  "&amp;'Monthly Expense Categories'!O9</f>
        <v>Jan  Actual</v>
      </c>
      <c r="C68" s="126" t="str">
        <f>LEFT('Monthly Expense Categories'!Q8,3)&amp;"  "&amp;'Monthly Expense Categories'!Q9</f>
        <v>Feb  Actual</v>
      </c>
      <c r="D68" s="126" t="str">
        <f>LEFT('Monthly Expense Categories'!S8,3)&amp;"  "&amp;'Monthly Expense Categories'!S9</f>
        <v>Mar  Actual</v>
      </c>
      <c r="E68" s="126" t="str">
        <f>LEFT('Monthly Expense Categories'!U8,3)&amp;"  "&amp;'Monthly Expense Categories'!U9</f>
        <v>Apr  Actual</v>
      </c>
      <c r="F68" s="126" t="str">
        <f>LEFT('Monthly Expense Categories'!W8,3)&amp;"  "&amp;'Monthly Expense Categories'!W9</f>
        <v>May  Actual</v>
      </c>
      <c r="G68" s="126" t="str">
        <f>LEFT('Monthly Expense Categories'!Y8,3)&amp;"  "&amp;'Monthly Expense Categories'!Y9</f>
        <v>Jun  Actual</v>
      </c>
      <c r="H68" s="126" t="str">
        <f>LEFT('Monthly Expense Categories'!AA8,3)&amp;"   "&amp;'Monthly Expense Categories'!AA9</f>
        <v>Jul   Plan</v>
      </c>
      <c r="I68" s="126" t="str">
        <f>LEFT('Monthly Expense Categories'!AC8,3)&amp;"  "&amp;'Monthly Expense Categories'!AC9</f>
        <v>Aug  Plan</v>
      </c>
      <c r="J68" s="126" t="str">
        <f>LEFT('Monthly Expense Categories'!AE8,3)&amp;"  "&amp;'Monthly Expense Categories'!AE9</f>
        <v>Sep  Plan</v>
      </c>
      <c r="K68" s="126" t="str">
        <f>LEFT('Monthly Expense Categories'!AG8,3)&amp;"  "&amp;'Monthly Expense Categories'!AG9</f>
        <v>Oct  Plan</v>
      </c>
      <c r="L68" s="126" t="str">
        <f>LEFT('Monthly Expense Categories'!AI8,3)&amp;"  "&amp;'Monthly Expense Categories'!AI9</f>
        <v>Nov  Plan</v>
      </c>
      <c r="M68" s="126" t="str">
        <f>LEFT('Monthly Expense Categories'!AK8,3)&amp;"  "&amp;'Monthly Expense Categories'!AK9</f>
        <v>Dec  Plan</v>
      </c>
      <c r="N68" s="211" t="s">
        <v>143</v>
      </c>
      <c r="O68" s="131" t="s">
        <v>134</v>
      </c>
      <c r="P68" s="131" t="s">
        <v>138</v>
      </c>
      <c r="Q68" s="131" t="s">
        <v>135</v>
      </c>
      <c r="R68" s="131" t="s">
        <v>137</v>
      </c>
      <c r="S68" s="131" t="s">
        <v>136</v>
      </c>
      <c r="T68" s="131" t="s">
        <v>139</v>
      </c>
      <c r="U68" s="132" t="s">
        <v>113</v>
      </c>
      <c r="Z68" s="149"/>
    </row>
    <row r="69" spans="1:26" x14ac:dyDescent="0.2">
      <c r="A69" s="133" t="s">
        <v>134</v>
      </c>
      <c r="B69" s="150">
        <f>ROUND((+'Monthly Expense Categories'!O16+'Monthly Expense Categories'!O18+'Monthly Expense Categories'!O19+'Monthly Expense Categories'!O21+'Monthly Expense Categories'!O17)/1000,0)</f>
        <v>19</v>
      </c>
      <c r="C69" s="150">
        <f>ROUND((+'Monthly Expense Categories'!Q16+'Monthly Expense Categories'!Q18+'Monthly Expense Categories'!Q19+'Monthly Expense Categories'!Q21+'Monthly Expense Categories'!Q17)/1000,0)</f>
        <v>16</v>
      </c>
      <c r="D69" s="150">
        <f>ROUND((+'Monthly Expense Categories'!S16+'Monthly Expense Categories'!S18+'Monthly Expense Categories'!S19+'Monthly Expense Categories'!S21+'Monthly Expense Categories'!S17)/1000,0)</f>
        <v>12</v>
      </c>
      <c r="E69" s="150">
        <f>ROUND((+'Monthly Expense Categories'!U16+'Monthly Expense Categories'!U18+'Monthly Expense Categories'!U19+'Monthly Expense Categories'!U21+'Monthly Expense Categories'!U17)/1000,0)</f>
        <v>17</v>
      </c>
      <c r="F69" s="150">
        <f>ROUND((+'Monthly Expense Categories'!W16+'Monthly Expense Categories'!W18+'Monthly Expense Categories'!W19+'Monthly Expense Categories'!W21+'Monthly Expense Categories'!W17)/1000,0)</f>
        <v>13</v>
      </c>
      <c r="G69" s="150">
        <f>ROUND((+'Monthly Expense Categories'!Y16+'Monthly Expense Categories'!Y18+'Monthly Expense Categories'!Y19+'Monthly Expense Categories'!Y21+'Monthly Expense Categories'!Y17)/1000,0)</f>
        <v>32</v>
      </c>
      <c r="H69" s="150">
        <f>ROUND((+'Monthly Expense Categories'!AA16+'Monthly Expense Categories'!AA18+'Monthly Expense Categories'!AA19+'Monthly Expense Categories'!AA21+'Monthly Expense Categories'!AA17)/1000,0)</f>
        <v>23</v>
      </c>
      <c r="I69" s="150">
        <f>ROUND((+'Monthly Expense Categories'!AC16+'Monthly Expense Categories'!AC18+'Monthly Expense Categories'!AC19+'Monthly Expense Categories'!AC21+'Monthly Expense Categories'!AC17)/1000,0)</f>
        <v>22</v>
      </c>
      <c r="J69" s="150">
        <f>ROUND((+'Monthly Expense Categories'!AE16+'Monthly Expense Categories'!AE18+'Monthly Expense Categories'!AE19+'Monthly Expense Categories'!AE21+'Monthly Expense Categories'!AE17)/1000,0)</f>
        <v>23</v>
      </c>
      <c r="K69" s="150">
        <f>ROUND((+'Monthly Expense Categories'!AG16+'Monthly Expense Categories'!AG18+'Monthly Expense Categories'!AG19+'Monthly Expense Categories'!AG21+'Monthly Expense Categories'!AG17)/1000,0)</f>
        <v>22</v>
      </c>
      <c r="L69" s="150">
        <f>ROUND((+'Monthly Expense Categories'!AI16+'Monthly Expense Categories'!AI18+'Monthly Expense Categories'!AI19+'Monthly Expense Categories'!AI21+'Monthly Expense Categories'!AI17)/1000,0)</f>
        <v>22</v>
      </c>
      <c r="M69" s="150">
        <f>ROUND((+'Monthly Expense Categories'!AK16+'Monthly Expense Categories'!AK18+'Monthly Expense Categories'!AK19+'Monthly Expense Categories'!AK21+'Monthly Expense Categories'!AK17)/1000,0)</f>
        <v>23</v>
      </c>
      <c r="N69" s="124" t="s">
        <v>6</v>
      </c>
      <c r="O69" s="137">
        <f>ROUND(Data!D10/1000,0)</f>
        <v>23</v>
      </c>
      <c r="P69" s="137">
        <f>ROUND(Data!D11/1000,0)</f>
        <v>0</v>
      </c>
      <c r="Q69" s="137">
        <f>ROUND(Data!D12/1000,0)</f>
        <v>3</v>
      </c>
      <c r="R69" s="137">
        <f>ROUND(Data!D13/1000,0)</f>
        <v>0</v>
      </c>
      <c r="S69" s="137">
        <f>ROUND(Data!D15/1000,0)</f>
        <v>0</v>
      </c>
      <c r="T69" s="137">
        <f>ROUND(Data!D14/1000,0)</f>
        <v>0</v>
      </c>
      <c r="U69" s="140">
        <f>SUM(O69:T69)</f>
        <v>26</v>
      </c>
      <c r="Z69" s="137"/>
    </row>
    <row r="70" spans="1:26" x14ac:dyDescent="0.2">
      <c r="A70" s="133" t="s">
        <v>138</v>
      </c>
      <c r="B70" s="150">
        <f>ROUND((+'Monthly Expense Categories'!O28+'Monthly Expense Categories'!O27+'Monthly Expense Categories'!O29+'Monthly Expense Categories'!O33)/1000,0)</f>
        <v>0</v>
      </c>
      <c r="C70" s="150">
        <f>ROUND((+'Monthly Expense Categories'!Q28+'Monthly Expense Categories'!Q27+'Monthly Expense Categories'!Q29+'Monthly Expense Categories'!Q33)/1000,0)</f>
        <v>0</v>
      </c>
      <c r="D70" s="150">
        <f>ROUND((+'Monthly Expense Categories'!S28+'Monthly Expense Categories'!S27+'Monthly Expense Categories'!S29+'Monthly Expense Categories'!S33)/1000,0)</f>
        <v>0</v>
      </c>
      <c r="E70" s="150">
        <f>ROUND((+'Monthly Expense Categories'!U28+'Monthly Expense Categories'!U27+'Monthly Expense Categories'!U29+'Monthly Expense Categories'!U33)/1000,0)</f>
        <v>1</v>
      </c>
      <c r="F70" s="150">
        <f>ROUND((+'Monthly Expense Categories'!W28+'Monthly Expense Categories'!W27+'Monthly Expense Categories'!W29+'Monthly Expense Categories'!W33)/1000,0)</f>
        <v>1</v>
      </c>
      <c r="G70" s="150">
        <f>ROUND((+'Monthly Expense Categories'!Y28+'Monthly Expense Categories'!Y27+'Monthly Expense Categories'!Y29+'Monthly Expense Categories'!Y33)/1000,0)</f>
        <v>0</v>
      </c>
      <c r="H70" s="150">
        <f>ROUND((+'Monthly Expense Categories'!AA28+'Monthly Expense Categories'!AA27+'Monthly Expense Categories'!AA29+'Monthly Expense Categories'!AA33)/1000,0)</f>
        <v>1</v>
      </c>
      <c r="I70" s="150">
        <f>ROUND((+'Monthly Expense Categories'!AC28+'Monthly Expense Categories'!AC27+'Monthly Expense Categories'!AC29+'Monthly Expense Categories'!AC33)/1000,0)</f>
        <v>1</v>
      </c>
      <c r="J70" s="150">
        <f>ROUND((+'Monthly Expense Categories'!AE28+'Monthly Expense Categories'!AE27+'Monthly Expense Categories'!AE29+'Monthly Expense Categories'!AE33)/1000,0)</f>
        <v>1</v>
      </c>
      <c r="K70" s="150">
        <f>ROUND((+'Monthly Expense Categories'!AG28+'Monthly Expense Categories'!AG27+'Monthly Expense Categories'!AG29+'Monthly Expense Categories'!AG33)/1000,0)</f>
        <v>1</v>
      </c>
      <c r="L70" s="150">
        <f>ROUND((+'Monthly Expense Categories'!AI28+'Monthly Expense Categories'!AI27+'Monthly Expense Categories'!AI29+'Monthly Expense Categories'!AI33)/1000,0)</f>
        <v>1</v>
      </c>
      <c r="M70" s="150">
        <f>ROUND((+'Monthly Expense Categories'!AK28+'Monthly Expense Categories'!AK27+'Monthly Expense Categories'!AK29+'Monthly Expense Categories'!AK33)/1000,0)</f>
        <v>1</v>
      </c>
      <c r="N70" s="212" t="s">
        <v>5</v>
      </c>
      <c r="O70" s="147">
        <f>ROUND(Data!F10/1000,0)</f>
        <v>32</v>
      </c>
      <c r="P70" s="147">
        <f>ROUND(Data!F11/1000,0)</f>
        <v>0</v>
      </c>
      <c r="Q70" s="147">
        <f>ROUND(Data!F12/1000,0)</f>
        <v>1</v>
      </c>
      <c r="R70" s="147">
        <f>ROUND(Data!F13/1000,0)</f>
        <v>0</v>
      </c>
      <c r="S70" s="147">
        <f>ROUND(Data!F15/1000,0)</f>
        <v>0</v>
      </c>
      <c r="T70" s="147">
        <f>ROUND(Data!F14/1000,0)</f>
        <v>0</v>
      </c>
      <c r="U70" s="148">
        <f>SUM(O70:T70)</f>
        <v>33</v>
      </c>
      <c r="Z70" s="102"/>
    </row>
    <row r="71" spans="1:26" x14ac:dyDescent="0.2">
      <c r="A71" s="133" t="s">
        <v>135</v>
      </c>
      <c r="B71" s="214">
        <f>ROUND((+'Monthly Expense Categories'!O23+'Monthly Expense Categories'!O24+'Monthly Expense Categories'!O26+'Monthly Expense Categories'!O35+'Monthly Expense Categories'!O36+'Monthly Expense Categories'!O20)/1000,0)</f>
        <v>2</v>
      </c>
      <c r="C71" s="214">
        <f>ROUND((+'Monthly Expense Categories'!Q23+'Monthly Expense Categories'!Q24+'Monthly Expense Categories'!Q26+'Monthly Expense Categories'!Q35+'Monthly Expense Categories'!Q36+'Monthly Expense Categories'!Q20)/1000,0)</f>
        <v>6</v>
      </c>
      <c r="D71" s="214">
        <f>ROUND((+'Monthly Expense Categories'!S23+'Monthly Expense Categories'!S24+'Monthly Expense Categories'!S26+'Monthly Expense Categories'!S35+'Monthly Expense Categories'!S36+'Monthly Expense Categories'!S20)/1000,0)</f>
        <v>1</v>
      </c>
      <c r="E71" s="214">
        <f>ROUND((+'Monthly Expense Categories'!U23+'Monthly Expense Categories'!U24+'Monthly Expense Categories'!U26+'Monthly Expense Categories'!U35+'Monthly Expense Categories'!U36+'Monthly Expense Categories'!U20)/1000,0)</f>
        <v>0</v>
      </c>
      <c r="F71" s="214">
        <f>ROUND((+'Monthly Expense Categories'!W23+'Monthly Expense Categories'!W24+'Monthly Expense Categories'!W26+'Monthly Expense Categories'!W35+'Monthly Expense Categories'!W36+'Monthly Expense Categories'!W20)/1000,0)</f>
        <v>0</v>
      </c>
      <c r="G71" s="214">
        <f>ROUND((+'Monthly Expense Categories'!Y23+'Monthly Expense Categories'!Y24+'Monthly Expense Categories'!Y26+'Monthly Expense Categories'!Y35+'Monthly Expense Categories'!Y36+'Monthly Expense Categories'!Y20)/1000,0)</f>
        <v>0</v>
      </c>
      <c r="H71" s="214">
        <f>ROUND((+'Monthly Expense Categories'!AA23+'Monthly Expense Categories'!AA24+'Monthly Expense Categories'!AA26+'Monthly Expense Categories'!AA35+'Monthly Expense Categories'!AA36+'Monthly Expense Categories'!AA20)/1000,0)</f>
        <v>0</v>
      </c>
      <c r="I71" s="214">
        <f>ROUND((+'Monthly Expense Categories'!AC23+'Monthly Expense Categories'!AC24+'Monthly Expense Categories'!AC26+'Monthly Expense Categories'!AC35+'Monthly Expense Categories'!AC36+'Monthly Expense Categories'!AC20)/1000,0)</f>
        <v>0</v>
      </c>
      <c r="J71" s="214">
        <f>ROUND((+'Monthly Expense Categories'!AE23+'Monthly Expense Categories'!AE24+'Monthly Expense Categories'!AE26+'Monthly Expense Categories'!AE35+'Monthly Expense Categories'!AE36+'Monthly Expense Categories'!AE20)/1000,0)</f>
        <v>0</v>
      </c>
      <c r="K71" s="214">
        <f>ROUND((+'Monthly Expense Categories'!AG23+'Monthly Expense Categories'!AG24+'Monthly Expense Categories'!AG26+'Monthly Expense Categories'!AG35+'Monthly Expense Categories'!AG36+'Monthly Expense Categories'!AG20)/1000,0)</f>
        <v>0</v>
      </c>
      <c r="L71" s="214">
        <f>ROUND((+'Monthly Expense Categories'!AI23+'Monthly Expense Categories'!AI24+'Monthly Expense Categories'!AI26+'Monthly Expense Categories'!AI35+'Monthly Expense Categories'!AI36+'Monthly Expense Categories'!AI20)/1000,0)</f>
        <v>0</v>
      </c>
      <c r="M71" s="214">
        <f>ROUND((+'Monthly Expense Categories'!AK23+'Monthly Expense Categories'!AK24+'Monthly Expense Categories'!AK26+'Monthly Expense Categories'!AK35+'Monthly Expense Categories'!AK36+'Monthly Expense Categories'!AK20)/1000,0)</f>
        <v>0</v>
      </c>
      <c r="N71" s="111"/>
    </row>
    <row r="72" spans="1:26" x14ac:dyDescent="0.2">
      <c r="A72" s="133" t="s">
        <v>137</v>
      </c>
      <c r="B72" s="214">
        <f>ROUND(+'Monthly Expense Categories'!O25/1000,0)</f>
        <v>0</v>
      </c>
      <c r="C72" s="214">
        <f>ROUND(+'Monthly Expense Categories'!Q25/1000,0)</f>
        <v>0</v>
      </c>
      <c r="D72" s="214">
        <f>ROUND(+'Monthly Expense Categories'!S25/1000,0)</f>
        <v>0</v>
      </c>
      <c r="E72" s="214">
        <f>ROUND('Monthly Expense Categories'!U25/1000,0)</f>
        <v>0</v>
      </c>
      <c r="F72" s="214">
        <f>ROUND('Monthly Expense Categories'!W25/1000,0)</f>
        <v>0</v>
      </c>
      <c r="G72" s="214">
        <f>ROUND('Monthly Expense Categories'!Y25/1000,0)</f>
        <v>0</v>
      </c>
      <c r="H72" s="214">
        <f>ROUND('Monthly Expense Categories'!AA25/1000,0)</f>
        <v>0</v>
      </c>
      <c r="I72" s="214">
        <f>ROUND('Monthly Expense Categories'!AC25/1000,0)</f>
        <v>0</v>
      </c>
      <c r="J72" s="214">
        <f>ROUND('Monthly Expense Categories'!AE25/1000,0)</f>
        <v>0</v>
      </c>
      <c r="K72" s="214">
        <f>ROUND('Monthly Expense Categories'!AG25/1000,0)</f>
        <v>0</v>
      </c>
      <c r="L72" s="214">
        <f>ROUND('Monthly Expense Categories'!AI25/1000,0)</f>
        <v>0</v>
      </c>
      <c r="M72" s="214">
        <f>ROUND('Monthly Expense Categories'!AK25/1000,0)</f>
        <v>0</v>
      </c>
      <c r="N72" s="213"/>
      <c r="O72" s="213"/>
      <c r="P72" s="128"/>
      <c r="Q72" s="102"/>
    </row>
    <row r="73" spans="1:26" x14ac:dyDescent="0.2">
      <c r="A73" s="133" t="s">
        <v>136</v>
      </c>
      <c r="B73" s="214">
        <f>ROUND(+'Monthly Expense Categories'!O30/1000,0)</f>
        <v>0</v>
      </c>
      <c r="C73" s="214">
        <f>ROUND(+'Monthly Expense Categories'!Q30/1000,0)</f>
        <v>0</v>
      </c>
      <c r="D73" s="214">
        <f>ROUND('Monthly Expense Categories'!S30/1000,0)</f>
        <v>0</v>
      </c>
      <c r="E73" s="214">
        <f>ROUND(+'Monthly Expense Categories'!U30/1000,0)</f>
        <v>2</v>
      </c>
      <c r="F73" s="214">
        <f>ROUND(+'Monthly Expense Categories'!W30/1000,0)</f>
        <v>2</v>
      </c>
      <c r="G73" s="214">
        <f>ROUND(+'Monthly Expense Categories'!Y30/1000,0)</f>
        <v>1</v>
      </c>
      <c r="H73" s="214">
        <f>ROUND(+'Monthly Expense Categories'!AA30/1000,0)</f>
        <v>2</v>
      </c>
      <c r="I73" s="214">
        <f>ROUND(+'Monthly Expense Categories'!AC30/1000,0)</f>
        <v>2</v>
      </c>
      <c r="J73" s="214">
        <f>ROUND(+'Monthly Expense Categories'!AE30/1000,0)</f>
        <v>2</v>
      </c>
      <c r="K73" s="214">
        <f>ROUND(+'Monthly Expense Categories'!AG30/1000,0)</f>
        <v>2</v>
      </c>
      <c r="L73" s="214">
        <f>ROUND(+'Monthly Expense Categories'!AI30/1000,0)</f>
        <v>2</v>
      </c>
      <c r="M73" s="214">
        <f>ROUND(+'Monthly Expense Categories'!AK30/1000,0)</f>
        <v>2</v>
      </c>
      <c r="N73" s="149"/>
      <c r="O73" s="149"/>
      <c r="P73" s="102"/>
    </row>
    <row r="74" spans="1:26" x14ac:dyDescent="0.2">
      <c r="A74" s="133" t="s">
        <v>139</v>
      </c>
      <c r="B74" s="214">
        <f>ROUND(+'Monthly Expense Categories'!O32/1000,0)</f>
        <v>0</v>
      </c>
      <c r="C74" s="214">
        <f>ROUND(+'Monthly Expense Categories'!Q32/1000,0)</f>
        <v>0</v>
      </c>
      <c r="D74" s="214">
        <f>ROUND(+'Monthly Expense Categories'!S32/1000,0)</f>
        <v>0</v>
      </c>
      <c r="E74" s="214">
        <f>ROUND(+'Monthly Expense Categories'!U32/1000,0)</f>
        <v>21</v>
      </c>
      <c r="F74" s="214">
        <f>ROUND(+'Monthly Expense Categories'!W32/1000,0)</f>
        <v>10</v>
      </c>
      <c r="G74" s="214">
        <f>ROUND(+'Monthly Expense Categories'!Y32/1000,0)</f>
        <v>0</v>
      </c>
      <c r="H74" s="214">
        <f>ROUND(+'Monthly Expense Categories'!AA32/1000,0)</f>
        <v>0</v>
      </c>
      <c r="I74" s="214">
        <f>ROUND(+'Monthly Expense Categories'!AC32/1000,0)</f>
        <v>0</v>
      </c>
      <c r="J74" s="214">
        <f>ROUND(+'Monthly Expense Categories'!AE32/1000,0)</f>
        <v>0</v>
      </c>
      <c r="K74" s="214">
        <f>ROUND(+'Monthly Expense Categories'!AG32/1000,0)</f>
        <v>0</v>
      </c>
      <c r="L74" s="214">
        <f>ROUND(+'Monthly Expense Categories'!AI32/1000,0)</f>
        <v>0</v>
      </c>
      <c r="M74" s="214">
        <f>ROUND(+'Monthly Expense Categories'!AK32/1000,0)</f>
        <v>0</v>
      </c>
      <c r="N74" s="137"/>
      <c r="O74" s="137"/>
      <c r="P74" s="102"/>
    </row>
    <row r="75" spans="1:26" x14ac:dyDescent="0.2">
      <c r="A75" s="145"/>
      <c r="B75" s="147">
        <f>SUM(B69:B74)</f>
        <v>21</v>
      </c>
      <c r="C75" s="147">
        <f t="shared" ref="C75:M75" si="2">SUM(C69:C74)</f>
        <v>22</v>
      </c>
      <c r="D75" s="147">
        <f t="shared" si="2"/>
        <v>13</v>
      </c>
      <c r="E75" s="147">
        <f t="shared" si="2"/>
        <v>41</v>
      </c>
      <c r="F75" s="147">
        <f t="shared" si="2"/>
        <v>26</v>
      </c>
      <c r="G75" s="147">
        <f t="shared" si="2"/>
        <v>33</v>
      </c>
      <c r="H75" s="147">
        <f t="shared" si="2"/>
        <v>26</v>
      </c>
      <c r="I75" s="147">
        <f t="shared" si="2"/>
        <v>25</v>
      </c>
      <c r="J75" s="147">
        <f t="shared" si="2"/>
        <v>26</v>
      </c>
      <c r="K75" s="147">
        <f t="shared" si="2"/>
        <v>25</v>
      </c>
      <c r="L75" s="147">
        <f t="shared" si="2"/>
        <v>25</v>
      </c>
      <c r="M75" s="147">
        <f t="shared" si="2"/>
        <v>26</v>
      </c>
      <c r="N75" s="102"/>
      <c r="O75" s="102"/>
      <c r="P75" s="102"/>
    </row>
    <row r="78" spans="1:26" x14ac:dyDescent="0.2">
      <c r="A78" s="98"/>
    </row>
    <row r="79" spans="1:26" x14ac:dyDescent="0.2">
      <c r="A79" s="98"/>
    </row>
    <row r="80" spans="1:26" x14ac:dyDescent="0.2">
      <c r="A80" s="98"/>
    </row>
    <row r="81" spans="1:21" x14ac:dyDescent="0.2">
      <c r="A81" s="98"/>
    </row>
    <row r="82" spans="1:21" x14ac:dyDescent="0.2">
      <c r="A82" s="98"/>
    </row>
    <row r="83" spans="1:21" x14ac:dyDescent="0.2">
      <c r="A83" s="98"/>
    </row>
    <row r="84" spans="1:21" x14ac:dyDescent="0.2">
      <c r="A84" s="98"/>
    </row>
    <row r="85" spans="1:21" x14ac:dyDescent="0.2">
      <c r="A85" s="98"/>
      <c r="M85" s="129"/>
      <c r="N85" s="130"/>
      <c r="O85" s="131"/>
      <c r="P85" s="131"/>
      <c r="Q85" s="131"/>
      <c r="R85" s="131"/>
      <c r="S85" s="131"/>
      <c r="T85" s="131"/>
      <c r="U85" s="132"/>
    </row>
    <row r="86" spans="1:21" x14ac:dyDescent="0.2">
      <c r="A86" s="98"/>
      <c r="M86" s="138"/>
      <c r="N86" s="139"/>
      <c r="O86" s="137"/>
      <c r="P86" s="137"/>
      <c r="Q86" s="137"/>
      <c r="R86" s="137"/>
      <c r="S86" s="137"/>
      <c r="T86" s="137"/>
      <c r="U86" s="140"/>
    </row>
    <row r="87" spans="1:21" x14ac:dyDescent="0.2">
      <c r="A87" s="98"/>
      <c r="M87" s="145"/>
      <c r="N87" s="146"/>
      <c r="O87" s="147"/>
      <c r="P87" s="147"/>
      <c r="Q87" s="147"/>
      <c r="R87" s="147"/>
      <c r="S87" s="147"/>
      <c r="T87" s="147"/>
      <c r="U87" s="148"/>
    </row>
    <row r="88" spans="1:21" x14ac:dyDescent="0.2">
      <c r="A88" s="98"/>
    </row>
    <row r="89" spans="1:21" x14ac:dyDescent="0.2">
      <c r="A89" s="98"/>
    </row>
    <row r="90" spans="1:21" x14ac:dyDescent="0.2">
      <c r="A90" s="98"/>
    </row>
    <row r="91" spans="1:21" x14ac:dyDescent="0.2">
      <c r="A91" s="98"/>
    </row>
    <row r="92" spans="1:21" x14ac:dyDescent="0.2">
      <c r="A92" s="98"/>
    </row>
  </sheetData>
  <mergeCells count="7">
    <mergeCell ref="A1:U1"/>
    <mergeCell ref="A2:U2"/>
    <mergeCell ref="A3:U3"/>
    <mergeCell ref="O60:U60"/>
    <mergeCell ref="A60:M60"/>
    <mergeCell ref="A31:M31"/>
    <mergeCell ref="O31:U31"/>
  </mergeCells>
  <phoneticPr fontId="0" type="noConversion"/>
  <printOptions horizontalCentered="1" verticalCentered="1"/>
  <pageMargins left="0" right="0" top="0" bottom="0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5"/>
  <sheetViews>
    <sheetView topLeftCell="B1" zoomScaleNormal="100" workbookViewId="0">
      <selection activeCell="C2" sqref="C2"/>
    </sheetView>
  </sheetViews>
  <sheetFormatPr defaultRowHeight="12.75" x14ac:dyDescent="0.2"/>
  <cols>
    <col min="1" max="1" width="1.7109375" style="1" customWidth="1"/>
    <col min="2" max="2" width="20.28515625" style="1" customWidth="1"/>
    <col min="3" max="3" width="10.7109375" style="1" customWidth="1"/>
    <col min="4" max="4" width="13" style="1" bestFit="1" customWidth="1"/>
    <col min="5" max="5" width="11.5703125" style="1" customWidth="1"/>
    <col min="6" max="6" width="9.85546875" style="1" customWidth="1"/>
    <col min="7" max="7" width="11.140625" style="1" customWidth="1"/>
    <col min="8" max="8" width="10.7109375" style="1" bestFit="1" customWidth="1"/>
    <col min="9" max="9" width="5.42578125" style="1" customWidth="1"/>
    <col min="10" max="10" width="3" style="1" customWidth="1"/>
    <col min="11" max="11" width="14.140625" style="1" customWidth="1"/>
    <col min="12" max="12" width="9.42578125" style="1" customWidth="1"/>
    <col min="13" max="13" width="9.5703125" style="1" customWidth="1"/>
    <col min="14" max="14" width="1.5703125" style="1" customWidth="1"/>
    <col min="15" max="15" width="2.140625" style="4" customWidth="1"/>
    <col min="16" max="16" width="9.140625" style="3"/>
    <col min="17" max="18" width="15.5703125" style="4" bestFit="1" customWidth="1"/>
    <col min="19" max="19" width="14.5703125" style="1" bestFit="1" customWidth="1"/>
    <col min="20" max="20" width="6.140625" style="1" bestFit="1" customWidth="1"/>
    <col min="21" max="21" width="9.85546875" style="1" bestFit="1" customWidth="1"/>
    <col min="22" max="22" width="16.5703125" style="1" bestFit="1" customWidth="1"/>
    <col min="23" max="23" width="17" style="1" bestFit="1" customWidth="1"/>
    <col min="24" max="26" width="9.85546875" style="1" bestFit="1" customWidth="1"/>
    <col min="27" max="16384" width="9.140625" style="1"/>
  </cols>
  <sheetData>
    <row r="1" spans="1:15" ht="26.25" x14ac:dyDescent="0.4">
      <c r="B1" s="262" t="str">
        <f>'Monthly Expense Categories'!B1&amp;" - Cost Center "&amp;'Monthly Expense Categories'!B2</f>
        <v>ENW-Energy Ops Texas - Cost Center 103832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"/>
    </row>
    <row r="2" spans="1:15" ht="15.75" customHeight="1" x14ac:dyDescent="0.4">
      <c r="B2" s="3" t="str">
        <f>CHOOSE(Month,"January","February","March","April","May","June","July","August","September","October","November","December")&amp;" 2000 YTD Actual vs Plan"</f>
        <v>June 2000 YTD Actual vs Plan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15" ht="15.75" customHeight="1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ht="13.5" thickBot="1" x14ac:dyDescent="0.25">
      <c r="B5" s="4"/>
      <c r="C5" s="4"/>
      <c r="D5" s="4"/>
      <c r="E5" s="4"/>
      <c r="F5" s="4"/>
      <c r="G5" s="4"/>
      <c r="H5" s="4"/>
      <c r="I5" s="4"/>
      <c r="J5" s="263" t="s">
        <v>0</v>
      </c>
      <c r="K5" s="263"/>
      <c r="L5" s="263"/>
      <c r="M5" s="263"/>
      <c r="N5" s="4"/>
    </row>
    <row r="6" spans="1:15" x14ac:dyDescent="0.2">
      <c r="B6" s="4"/>
      <c r="C6" s="4"/>
      <c r="D6" s="4"/>
      <c r="E6" s="4"/>
      <c r="F6" s="4"/>
      <c r="G6" s="4"/>
      <c r="H6" s="4"/>
      <c r="I6" s="4"/>
      <c r="J6" s="15" t="s">
        <v>12</v>
      </c>
      <c r="M6" s="45">
        <f>+'Monthly Expense Categories'!J37</f>
        <v>152662</v>
      </c>
      <c r="N6" s="4"/>
    </row>
    <row r="7" spans="1:15" x14ac:dyDescent="0.2">
      <c r="B7" s="4"/>
      <c r="C7" s="4"/>
      <c r="D7" s="4"/>
      <c r="E7" s="4"/>
      <c r="F7" s="4"/>
      <c r="G7" s="4"/>
      <c r="H7" s="4"/>
      <c r="I7" s="4"/>
      <c r="J7" s="6"/>
      <c r="K7" s="6" t="s">
        <v>13</v>
      </c>
      <c r="L7" s="6">
        <f>-M6+M14</f>
        <v>1692.320000000007</v>
      </c>
      <c r="M7" s="7"/>
      <c r="N7" s="4"/>
    </row>
    <row r="8" spans="1:15" x14ac:dyDescent="0.2">
      <c r="B8" s="4"/>
      <c r="C8" s="4"/>
      <c r="D8" s="4"/>
      <c r="E8" s="4"/>
      <c r="F8" s="9"/>
      <c r="G8" s="4"/>
      <c r="H8" s="4"/>
      <c r="I8" s="4"/>
      <c r="J8" s="8"/>
      <c r="K8" s="6" t="s">
        <v>14</v>
      </c>
      <c r="L8" s="8"/>
      <c r="M8" s="7"/>
      <c r="N8" s="4"/>
    </row>
    <row r="9" spans="1:15" x14ac:dyDescent="0.2">
      <c r="B9" s="4"/>
      <c r="C9" s="4"/>
      <c r="D9" s="4"/>
      <c r="E9" s="4"/>
      <c r="F9" s="10"/>
      <c r="G9" s="4"/>
      <c r="H9" s="4"/>
      <c r="I9" s="4"/>
      <c r="J9" s="6"/>
      <c r="K9" s="6" t="s">
        <v>15</v>
      </c>
      <c r="L9" s="6"/>
      <c r="M9" s="7"/>
      <c r="N9" s="4"/>
    </row>
    <row r="10" spans="1:15" x14ac:dyDescent="0.2">
      <c r="B10" s="4"/>
      <c r="C10" s="4"/>
      <c r="D10" s="4"/>
      <c r="E10" s="4"/>
      <c r="F10" s="9"/>
      <c r="G10" s="4"/>
      <c r="H10" s="4"/>
      <c r="I10" s="4"/>
      <c r="J10" s="6"/>
      <c r="K10" s="6" t="s">
        <v>16</v>
      </c>
      <c r="L10" s="46"/>
      <c r="M10" s="7"/>
      <c r="N10" s="4"/>
    </row>
    <row r="11" spans="1:15" x14ac:dyDescent="0.2">
      <c r="B11" s="4"/>
      <c r="C11" s="4"/>
      <c r="D11" s="4"/>
      <c r="E11" s="4"/>
      <c r="F11" s="10"/>
      <c r="G11" s="4"/>
      <c r="H11" s="4"/>
      <c r="I11" s="4"/>
      <c r="J11" s="8"/>
      <c r="K11" s="8" t="s">
        <v>17</v>
      </c>
      <c r="L11" s="56">
        <f>SUM(L7:L10)</f>
        <v>1692.320000000007</v>
      </c>
      <c r="M11" s="7"/>
      <c r="N11" s="4"/>
    </row>
    <row r="12" spans="1:15" x14ac:dyDescent="0.2">
      <c r="B12" s="4"/>
      <c r="C12" s="4"/>
      <c r="D12" s="4"/>
      <c r="E12" s="4"/>
      <c r="F12" s="10"/>
      <c r="G12" s="4"/>
      <c r="H12" s="4"/>
      <c r="I12" s="4"/>
      <c r="J12" s="6"/>
      <c r="K12" s="6"/>
      <c r="L12" s="6"/>
      <c r="M12" s="7"/>
      <c r="N12" s="4"/>
    </row>
    <row r="13" spans="1:15" x14ac:dyDescent="0.2">
      <c r="A13" s="11"/>
      <c r="B13" s="4"/>
      <c r="C13" s="4"/>
      <c r="D13" s="4"/>
      <c r="E13" s="4"/>
      <c r="F13" s="9"/>
      <c r="G13" s="4"/>
      <c r="H13" s="4"/>
      <c r="I13" s="4"/>
      <c r="J13" s="44"/>
      <c r="K13" s="8"/>
      <c r="L13" s="8"/>
      <c r="M13" s="7"/>
      <c r="N13" s="4"/>
    </row>
    <row r="14" spans="1:15" x14ac:dyDescent="0.2">
      <c r="B14" s="4"/>
      <c r="C14" s="4"/>
      <c r="D14" s="4"/>
      <c r="E14" s="4"/>
      <c r="F14" s="10"/>
      <c r="G14" s="4"/>
      <c r="H14" s="4"/>
      <c r="I14" s="4"/>
      <c r="J14" s="43" t="s">
        <v>1</v>
      </c>
      <c r="K14" s="43"/>
      <c r="L14" s="43"/>
      <c r="M14" s="43">
        <f>+'Monthly Expense Categories'!H37</f>
        <v>154354.32</v>
      </c>
      <c r="N14" s="4"/>
    </row>
    <row r="15" spans="1:15" x14ac:dyDescent="0.2">
      <c r="B15" s="4"/>
      <c r="C15" s="4"/>
      <c r="D15" s="4"/>
      <c r="E15" s="4"/>
      <c r="F15" s="9"/>
      <c r="G15" s="4"/>
      <c r="H15" s="4"/>
      <c r="I15" s="4"/>
      <c r="J15" s="4"/>
      <c r="N15" s="4"/>
    </row>
    <row r="16" spans="1:15" x14ac:dyDescent="0.2">
      <c r="B16" s="4"/>
      <c r="C16" s="4"/>
      <c r="D16" s="4"/>
      <c r="E16" s="4"/>
      <c r="F16" s="9"/>
      <c r="G16" s="4"/>
      <c r="H16" s="10"/>
      <c r="I16" s="4"/>
      <c r="J16" s="4"/>
      <c r="K16" s="4"/>
      <c r="L16" s="4"/>
      <c r="M16" s="12"/>
      <c r="N16" s="4"/>
    </row>
    <row r="17" spans="2:24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24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24" x14ac:dyDescent="0.2">
      <c r="B19" s="4"/>
      <c r="C19" s="4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</row>
    <row r="20" spans="2:24" x14ac:dyDescent="0.2">
      <c r="B20" s="4"/>
      <c r="C20" s="4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</row>
    <row r="21" spans="2:24" x14ac:dyDescent="0.2">
      <c r="B21" s="4"/>
      <c r="C21" s="4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</row>
    <row r="22" spans="2:24" x14ac:dyDescent="0.2">
      <c r="B22" s="4"/>
      <c r="C22" s="4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</row>
    <row r="23" spans="2:24" x14ac:dyDescent="0.2">
      <c r="B23" s="4"/>
      <c r="C23" s="4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</row>
    <row r="24" spans="2:24" x14ac:dyDescent="0.2">
      <c r="B24" s="4"/>
      <c r="C24" s="4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</row>
    <row r="25" spans="2:24" x14ac:dyDescent="0.2">
      <c r="B25" s="4"/>
      <c r="C25" s="4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</row>
    <row r="26" spans="2:24" x14ac:dyDescent="0.2">
      <c r="B26" s="4"/>
      <c r="C26" s="4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</row>
    <row r="27" spans="2:24" x14ac:dyDescent="0.2">
      <c r="B27" s="4"/>
      <c r="C27" s="4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</row>
    <row r="28" spans="2:24" x14ac:dyDescent="0.2">
      <c r="B28" s="4"/>
      <c r="C28" s="4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</row>
    <row r="29" spans="2:24" x14ac:dyDescent="0.2">
      <c r="B29" s="4"/>
      <c r="C29" s="4"/>
      <c r="D29" s="14"/>
      <c r="E29" s="14"/>
      <c r="F29" s="14"/>
      <c r="G29" s="14"/>
      <c r="H29" s="4"/>
      <c r="I29" s="4"/>
      <c r="J29" s="4"/>
      <c r="K29" s="4"/>
      <c r="L29" s="4"/>
      <c r="M29" s="4"/>
      <c r="N29" s="4"/>
    </row>
    <row r="30" spans="2:24" x14ac:dyDescent="0.2">
      <c r="B30" s="4"/>
      <c r="C30" s="4"/>
      <c r="D30" s="14"/>
      <c r="E30" s="14"/>
      <c r="F30" s="14"/>
      <c r="G30" s="14"/>
      <c r="H30" s="4"/>
      <c r="I30" s="4"/>
      <c r="J30" s="4"/>
      <c r="K30" s="4"/>
      <c r="L30" s="4"/>
      <c r="M30" s="4"/>
      <c r="N30" s="4"/>
    </row>
    <row r="31" spans="2:24" x14ac:dyDescent="0.2">
      <c r="B31" s="4"/>
      <c r="C31" s="4"/>
      <c r="D31" s="14"/>
      <c r="E31" s="14"/>
      <c r="F31" s="14"/>
      <c r="G31" s="14"/>
      <c r="H31" s="4"/>
      <c r="I31" s="4"/>
      <c r="J31" s="4"/>
      <c r="K31" s="4"/>
      <c r="L31" s="4"/>
      <c r="M31" s="4"/>
      <c r="N31" s="4"/>
    </row>
    <row r="32" spans="2:24" x14ac:dyDescent="0.2">
      <c r="B32" s="4"/>
      <c r="C32" s="4"/>
      <c r="D32" s="14"/>
      <c r="E32" s="14"/>
      <c r="F32" s="14"/>
      <c r="G32" s="14"/>
      <c r="H32" s="4"/>
      <c r="I32" s="4"/>
      <c r="J32" s="4"/>
      <c r="K32" s="4"/>
      <c r="L32" s="4"/>
      <c r="M32" s="4"/>
      <c r="N32" s="4"/>
      <c r="X32" s="15"/>
    </row>
    <row r="33" spans="1:26" x14ac:dyDescent="0.2">
      <c r="B33" s="4"/>
      <c r="C33" s="4"/>
      <c r="D33" s="14"/>
      <c r="E33" s="14"/>
      <c r="F33" s="14"/>
      <c r="G33" s="14"/>
      <c r="H33" s="4"/>
      <c r="I33" s="4"/>
      <c r="J33" s="4"/>
      <c r="K33" s="4"/>
      <c r="L33" s="4"/>
      <c r="M33" s="4"/>
      <c r="N33" s="4"/>
    </row>
    <row r="34" spans="1:26" x14ac:dyDescent="0.2">
      <c r="B34" s="4"/>
      <c r="C34" s="4"/>
      <c r="D34" s="14"/>
      <c r="E34" s="14"/>
      <c r="F34" s="14"/>
      <c r="G34" s="14"/>
      <c r="H34" s="4"/>
      <c r="I34" s="4"/>
      <c r="J34" s="4"/>
      <c r="K34" s="4"/>
      <c r="L34" s="4"/>
      <c r="M34" s="4"/>
      <c r="N34" s="4"/>
    </row>
    <row r="35" spans="1:26" x14ac:dyDescent="0.2">
      <c r="B35" s="4"/>
      <c r="C35" s="4"/>
      <c r="D35" s="14"/>
      <c r="E35" s="14"/>
      <c r="F35" s="14"/>
      <c r="G35" s="14"/>
      <c r="H35" s="4"/>
      <c r="I35" s="4"/>
      <c r="J35" s="4"/>
      <c r="K35" s="4"/>
      <c r="L35" s="4"/>
      <c r="M35" s="4"/>
      <c r="N35" s="4"/>
    </row>
    <row r="36" spans="1:26" x14ac:dyDescent="0.2">
      <c r="B36" s="4"/>
      <c r="C36" s="4"/>
      <c r="D36" s="14"/>
      <c r="E36" s="14"/>
      <c r="F36" s="14"/>
      <c r="G36" s="14"/>
      <c r="H36" s="4"/>
      <c r="I36" s="4"/>
      <c r="J36" s="4"/>
      <c r="K36" s="4"/>
      <c r="L36" s="4"/>
      <c r="M36" s="4"/>
      <c r="N36" s="4"/>
    </row>
    <row r="37" spans="1:26" s="16" customFormat="1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7"/>
      <c r="Q37" s="19"/>
      <c r="R37" s="19"/>
    </row>
    <row r="38" spans="1:26" s="16" customFormat="1" x14ac:dyDescent="0.2">
      <c r="A38" s="18"/>
      <c r="B38" s="18"/>
      <c r="C38" s="18"/>
      <c r="D38" s="18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7"/>
      <c r="Q38" s="20"/>
      <c r="R38" s="20"/>
      <c r="S38" s="21"/>
      <c r="T38" s="22"/>
      <c r="U38" s="22"/>
      <c r="V38" s="22"/>
      <c r="W38" s="22"/>
      <c r="X38" s="23"/>
      <c r="Y38" s="23"/>
      <c r="Z38" s="23"/>
    </row>
    <row r="39" spans="1:26" s="16" customFormat="1" x14ac:dyDescent="0.2">
      <c r="A39" s="24"/>
      <c r="B39" s="18"/>
      <c r="C39" s="25"/>
      <c r="D39" s="25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7"/>
      <c r="Q39" s="20"/>
      <c r="R39" s="20"/>
      <c r="S39" s="21"/>
      <c r="T39" s="22"/>
      <c r="U39" s="22"/>
      <c r="V39" s="22"/>
      <c r="W39" s="22"/>
      <c r="X39" s="26"/>
      <c r="Y39" s="26"/>
      <c r="Z39" s="26"/>
    </row>
    <row r="40" spans="1:26" s="16" customFormat="1" x14ac:dyDescent="0.2">
      <c r="A40" s="18"/>
      <c r="B40" s="18"/>
      <c r="C40" s="27"/>
      <c r="D40" s="27"/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7"/>
      <c r="Q40" s="20"/>
      <c r="R40" s="20"/>
      <c r="S40" s="21"/>
      <c r="T40" s="22"/>
      <c r="U40" s="22"/>
      <c r="V40" s="22"/>
      <c r="W40" s="22"/>
      <c r="X40" s="26"/>
      <c r="Y40" s="26"/>
      <c r="Z40" s="26"/>
    </row>
    <row r="41" spans="1:26" s="16" customFormat="1" x14ac:dyDescent="0.2">
      <c r="A41" s="18"/>
      <c r="B41" s="29"/>
      <c r="C41" s="30"/>
      <c r="D41" s="30"/>
      <c r="E41" s="19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7"/>
      <c r="Q41" s="20"/>
      <c r="R41" s="20"/>
      <c r="S41" s="21"/>
      <c r="T41" s="22"/>
      <c r="U41" s="22"/>
      <c r="V41" s="22"/>
      <c r="W41" s="22"/>
      <c r="X41" s="26"/>
      <c r="Y41" s="26"/>
      <c r="Z41" s="26"/>
    </row>
    <row r="42" spans="1:26" s="16" customFormat="1" x14ac:dyDescent="0.2">
      <c r="A42" s="18"/>
      <c r="B42" s="29"/>
      <c r="C42" s="30"/>
      <c r="D42" s="30"/>
      <c r="E42" s="19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7"/>
      <c r="Q42" s="20"/>
      <c r="R42" s="20"/>
      <c r="S42" s="21"/>
      <c r="T42" s="22"/>
      <c r="U42" s="22"/>
      <c r="V42" s="22"/>
      <c r="W42" s="22"/>
      <c r="X42" s="26"/>
      <c r="Y42" s="26"/>
      <c r="Z42" s="26"/>
    </row>
    <row r="43" spans="1:26" s="16" customFormat="1" x14ac:dyDescent="0.2">
      <c r="A43" s="24"/>
      <c r="B43" s="18"/>
      <c r="C43" s="18"/>
      <c r="D43" s="18"/>
      <c r="E43" s="19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7"/>
      <c r="Q43" s="20"/>
      <c r="R43" s="20"/>
      <c r="S43" s="21"/>
      <c r="T43" s="22"/>
      <c r="U43" s="22"/>
      <c r="V43" s="22"/>
      <c r="W43" s="22"/>
      <c r="X43" s="26"/>
      <c r="Y43" s="26"/>
      <c r="Z43" s="26"/>
    </row>
    <row r="44" spans="1:26" s="16" customFormat="1" x14ac:dyDescent="0.2">
      <c r="A44" s="18"/>
      <c r="B44" s="18"/>
      <c r="C44" s="31"/>
      <c r="D44" s="2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  <c r="P44" s="17"/>
      <c r="Q44" s="20"/>
      <c r="R44" s="20"/>
      <c r="S44" s="21"/>
      <c r="T44" s="22"/>
      <c r="U44" s="22"/>
      <c r="V44" s="22"/>
      <c r="W44" s="22"/>
      <c r="X44" s="26"/>
      <c r="Y44" s="26"/>
      <c r="Z44" s="26"/>
    </row>
    <row r="45" spans="1:26" s="16" customFormat="1" x14ac:dyDescent="0.2">
      <c r="A45" s="18"/>
      <c r="B45" s="29"/>
      <c r="C45" s="19"/>
      <c r="D45" s="19"/>
      <c r="I45" s="18"/>
      <c r="J45" s="18"/>
      <c r="K45" s="18"/>
      <c r="L45" s="18"/>
      <c r="M45" s="18"/>
      <c r="N45" s="18"/>
      <c r="O45" s="19"/>
      <c r="P45" s="17"/>
      <c r="Q45" s="20"/>
      <c r="R45" s="20"/>
      <c r="S45" s="21"/>
      <c r="T45" s="22"/>
      <c r="U45" s="22"/>
      <c r="V45" s="22"/>
      <c r="W45" s="22"/>
      <c r="X45" s="26"/>
      <c r="Y45" s="26"/>
      <c r="Z45" s="26"/>
    </row>
  </sheetData>
  <mergeCells count="2">
    <mergeCell ref="B1:N1"/>
    <mergeCell ref="J5:M5"/>
  </mergeCells>
  <phoneticPr fontId="0" type="noConversion"/>
  <printOptions horizontalCentered="1"/>
  <pageMargins left="0.5" right="0.5" top="0.5" bottom="0.5" header="0.25" footer="0.25"/>
  <pageSetup scale="96" orientation="landscape" useFirstPageNumber="1" verticalDpi="1200" r:id="rId1"/>
  <headerFooter alignWithMargins="0">
    <oddFooter>&amp;L&amp;D&amp;R&amp;T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9"/>
  <sheetViews>
    <sheetView workbookViewId="0">
      <selection activeCell="F25" sqref="F25"/>
    </sheetView>
  </sheetViews>
  <sheetFormatPr defaultRowHeight="12.75" x14ac:dyDescent="0.2"/>
  <cols>
    <col min="1" max="1" width="9.140625" style="98"/>
    <col min="2" max="2" width="28.7109375" style="98" customWidth="1"/>
    <col min="3" max="3" width="1" style="98" customWidth="1"/>
    <col min="4" max="4" width="11.28515625" style="98" bestFit="1" customWidth="1"/>
    <col min="5" max="5" width="1" style="98" customWidth="1"/>
    <col min="6" max="6" width="11.28515625" style="98" bestFit="1" customWidth="1"/>
    <col min="7" max="7" width="1" style="98" customWidth="1"/>
    <col min="8" max="8" width="12.85546875" style="98" customWidth="1"/>
    <col min="9" max="9" width="5.42578125" style="98" customWidth="1"/>
    <col min="10" max="10" width="10.42578125" style="98" customWidth="1"/>
    <col min="11" max="11" width="5.28515625" style="98" customWidth="1"/>
    <col min="12" max="12" width="0.42578125" style="98" customWidth="1"/>
    <col min="13" max="13" width="13.140625" style="98" bestFit="1" customWidth="1"/>
    <col min="14" max="14" width="1" style="98" customWidth="1"/>
    <col min="15" max="15" width="10.7109375" style="98" bestFit="1" customWidth="1"/>
    <col min="16" max="16" width="1" style="98" customWidth="1"/>
    <col min="17" max="17" width="12" style="98" customWidth="1"/>
    <col min="18" max="18" width="9.140625" style="98"/>
    <col min="19" max="19" width="12.5703125" style="98" customWidth="1"/>
    <col min="20" max="20" width="15.5703125" style="98" customWidth="1"/>
    <col min="21" max="27" width="12.5703125" style="98" customWidth="1"/>
    <col min="28" max="16384" width="9.140625" style="98"/>
  </cols>
  <sheetData>
    <row r="1" spans="2:27" ht="20.25" x14ac:dyDescent="0.3">
      <c r="B1" s="257" t="s">
        <v>160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2:27" ht="20.25" x14ac:dyDescent="0.3">
      <c r="B2" s="257" t="str">
        <f>Graph!A2</f>
        <v>ENW-Energy Ops Texas (103832)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2:27" ht="20.25" x14ac:dyDescent="0.3">
      <c r="B3" s="258" t="str">
        <f>CHOOSE(Month,"January","February","March","April","May","June","July","August","September","October","November","December")&amp;" 2001YTD Actual vs Plan"</f>
        <v>June 2001YTD Actual vs Plan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</row>
    <row r="4" spans="2:27" ht="13.5" thickBot="1" x14ac:dyDescent="0.25">
      <c r="B4" s="97"/>
      <c r="C4" s="97"/>
      <c r="D4" s="97"/>
      <c r="E4" s="97"/>
      <c r="F4" s="97"/>
      <c r="L4" s="97"/>
      <c r="M4" s="97"/>
      <c r="N4" s="97"/>
      <c r="O4" s="97"/>
      <c r="P4" s="97"/>
    </row>
    <row r="5" spans="2:27" ht="16.5" thickBot="1" x14ac:dyDescent="0.3">
      <c r="D5" s="267" t="s">
        <v>141</v>
      </c>
      <c r="E5" s="268"/>
      <c r="F5" s="268"/>
      <c r="G5" s="268"/>
      <c r="H5" s="269"/>
      <c r="I5" s="151"/>
      <c r="J5" s="152" t="s">
        <v>146</v>
      </c>
      <c r="K5" s="151"/>
      <c r="M5" s="267" t="s">
        <v>145</v>
      </c>
      <c r="N5" s="268"/>
      <c r="O5" s="268"/>
      <c r="P5" s="268"/>
      <c r="Q5" s="269"/>
    </row>
    <row r="6" spans="2:27" ht="7.5" customHeight="1" x14ac:dyDescent="0.2">
      <c r="D6" s="106"/>
      <c r="E6" s="102"/>
      <c r="F6" s="102"/>
      <c r="G6" s="102"/>
      <c r="H6" s="105"/>
      <c r="J6" s="153"/>
      <c r="M6" s="106"/>
      <c r="N6" s="102"/>
      <c r="O6" s="102"/>
      <c r="P6" s="102"/>
      <c r="Q6" s="105"/>
    </row>
    <row r="7" spans="2:27" s="108" customFormat="1" x14ac:dyDescent="0.2">
      <c r="D7" s="154" t="str">
        <f>'Monthly Expense Categories'!B8</f>
        <v>Jun-01</v>
      </c>
      <c r="E7" s="155"/>
      <c r="F7" s="155" t="str">
        <f>D7</f>
        <v>Jun-01</v>
      </c>
      <c r="G7" s="139"/>
      <c r="H7" s="156" t="s">
        <v>7</v>
      </c>
      <c r="I7" s="109"/>
      <c r="J7" s="157">
        <v>2001</v>
      </c>
      <c r="K7" s="109"/>
      <c r="M7" s="154" t="str">
        <f>F7</f>
        <v>Jun-01</v>
      </c>
      <c r="N7" s="155"/>
      <c r="O7" s="155" t="str">
        <f>M7</f>
        <v>Jun-01</v>
      </c>
      <c r="P7" s="139"/>
      <c r="Q7" s="156" t="s">
        <v>7</v>
      </c>
    </row>
    <row r="8" spans="2:27" s="108" customFormat="1" x14ac:dyDescent="0.2">
      <c r="D8" s="158" t="s">
        <v>6</v>
      </c>
      <c r="E8" s="128"/>
      <c r="F8" s="128" t="s">
        <v>5</v>
      </c>
      <c r="G8" s="139"/>
      <c r="H8" s="156" t="s">
        <v>144</v>
      </c>
      <c r="I8" s="109"/>
      <c r="J8" s="157" t="s">
        <v>6</v>
      </c>
      <c r="K8" s="109"/>
      <c r="M8" s="158" t="s">
        <v>6</v>
      </c>
      <c r="N8" s="128"/>
      <c r="O8" s="128" t="s">
        <v>5</v>
      </c>
      <c r="P8" s="139"/>
      <c r="Q8" s="156" t="s">
        <v>144</v>
      </c>
    </row>
    <row r="9" spans="2:27" ht="7.5" customHeight="1" x14ac:dyDescent="0.2">
      <c r="D9" s="159"/>
      <c r="E9" s="160"/>
      <c r="F9" s="160"/>
      <c r="G9" s="102"/>
      <c r="H9" s="161"/>
      <c r="I9" s="162"/>
      <c r="J9" s="163"/>
      <c r="K9" s="162"/>
      <c r="M9" s="159"/>
      <c r="N9" s="160"/>
      <c r="O9" s="160"/>
      <c r="P9" s="102"/>
      <c r="Q9" s="161"/>
    </row>
    <row r="10" spans="2:27" x14ac:dyDescent="0.2">
      <c r="B10" s="98" t="s">
        <v>134</v>
      </c>
      <c r="D10" s="164">
        <f>ROUND(VLOOKUP($T10,'Monthly Expense Categories'!$A$10:$L$37,4,FALSE)+VLOOKUP($U10,'Monthly Expense Categories'!$A$10:$L$37,4,FALSE)+VLOOKUP($V10,'Monthly Expense Categories'!$A$10:$L$37,4,FALSE)+VLOOKUP($W10,'Monthly Expense Categories'!$A$10:$L$37,4,FALSE),0)+VLOOKUP($X10,'Monthly Expense Categories'!$A$10:$L$37,4,FALSE)+VLOOKUP($Y10,'Monthly Expense Categories'!$A$10:$L$37,4,FALSE)</f>
        <v>22712</v>
      </c>
      <c r="E10" s="165"/>
      <c r="F10" s="165">
        <f>ROUND(VLOOKUP($T10,'Monthly Expense Categories'!$A$10:$L$37,2,FALSE)+VLOOKUP($U10,'Monthly Expense Categories'!$A$10:$L$37,2,FALSE)+VLOOKUP($V10,'Monthly Expense Categories'!$A$10:$L$37,2,FALSE)+VLOOKUP($W10,'Monthly Expense Categories'!$A$10:$L$37,2,FALSE),0)+VLOOKUP($X10,'Monthly Expense Categories'!$A$10:$L$37,2,FALSE)+VLOOKUP($Y10,'Monthly Expense Categories'!$A$10:$L$37,2,FALSE)</f>
        <v>31746.3</v>
      </c>
      <c r="G10" s="165"/>
      <c r="H10" s="166">
        <f t="shared" ref="H10:H16" si="0">+D10-F10</f>
        <v>-9034.2999999999993</v>
      </c>
      <c r="I10" s="167"/>
      <c r="J10" s="168">
        <f>ROUND(SUMIF('Monthly Plan'!A:A,Data!T10,totalplan)+SUMIF('Monthly Plan'!A:A,Data!U10,totalplan)+SUMIF('Monthly Plan'!A:A,Data!V10,totalplan)+SUMIF('Monthly Plan'!A:A,Data!W10,totalplan)+SUMIF('Monthly Plan'!A:A,Data!X10,totalplan)+SUMIF('Monthly Plan'!A:A,Data!Y10,totalplan),0)</f>
        <v>271158</v>
      </c>
      <c r="K10" s="169"/>
      <c r="L10" s="169"/>
      <c r="M10" s="164">
        <f>ROUND(VLOOKUP($T10,'Monthly Expense Categories'!$A$10:$L$37,10,FALSE)+VLOOKUP($U10,'Monthly Expense Categories'!$A$10:$L$37,10,FALSE)+VLOOKUP($V10,'Monthly Expense Categories'!$A$10:$L$37,10,FALSE)+VLOOKUP($W10,'Monthly Expense Categories'!$A$10:$L$37,10,FALSE),0)+VLOOKUP($X10,'Monthly Expense Categories'!$A$10:$L$37,10,FALSE)+VLOOKUP($Y10,'Monthly Expense Categories'!$A$10:$L$37,10,FALSE)</f>
        <v>135886</v>
      </c>
      <c r="N10" s="165"/>
      <c r="O10" s="165">
        <f>ROUND(VLOOKUP($T10,'Monthly Expense Categories'!$A$10:$L$37,8,FALSE)+VLOOKUP($U10,'Monthly Expense Categories'!$A$10:$L$37,8,FALSE)+VLOOKUP($V10,'Monthly Expense Categories'!$A$10:$L$37,8,FALSE)+VLOOKUP($W10,'Monthly Expense Categories'!$A$10:$L$37,8,FALSE),0)+VLOOKUP($X10,'Monthly Expense Categories'!$A$10:$L$37,8,FALSE)+VLOOKUP($Y10,'Monthly Expense Categories'!$A$10:$L$37,8,FALSE)</f>
        <v>111550.71</v>
      </c>
      <c r="P10" s="165"/>
      <c r="Q10" s="166">
        <f t="shared" ref="Q10:Q16" si="1">+M10-O10</f>
        <v>24335.289999999994</v>
      </c>
      <c r="S10" s="98" t="s">
        <v>134</v>
      </c>
      <c r="T10" s="98" t="str">
        <f>'Monthly Expense Categories'!A16</f>
        <v>Compensation</v>
      </c>
      <c r="U10" s="98" t="str">
        <f>'Monthly Expense Categories'!A18</f>
        <v>Benefits and Payroll Taxes</v>
      </c>
      <c r="V10" s="98" t="str">
        <f>'Monthly Expense Categories'!A19</f>
        <v>Employee Expenses</v>
      </c>
      <c r="W10" s="98" t="str">
        <f>'Monthly Expense Categories'!A21</f>
        <v>Recruiting</v>
      </c>
      <c r="X10" s="98" t="str">
        <f>'Monthly Expense Categories'!A20</f>
        <v>Communication Expenses</v>
      </c>
      <c r="Y10" s="98" t="str">
        <f>'Monthly Expense Categories'!A17</f>
        <v>Compensation Settlements</v>
      </c>
    </row>
    <row r="11" spans="2:27" x14ac:dyDescent="0.2">
      <c r="B11" s="98" t="s">
        <v>138</v>
      </c>
      <c r="D11" s="164">
        <f>ROUND(VLOOKUP($T11,'Monthly Expense Categories'!$A$10:$L$37,4,FALSE)+VLOOKUP($U11,'Monthly Expense Categories'!$A$10:$L$37,4,FALSE)+VLOOKUP($V11,'Monthly Expense Categories'!$A$10:$L$37,4,FALSE)+VLOOKUP($W11,'Monthly Expense Categories'!$A$10:$L$37,4,FALSE)+VLOOKUP($X11,'Monthly Expense Categories'!$A$10:$L$37,4,FALSE)+VLOOKUP($Y11,'Monthly Expense Categories'!$A$10:$L$37,4,FALSE),0)</f>
        <v>0</v>
      </c>
      <c r="E11" s="165"/>
      <c r="F11" s="165">
        <f>ROUND(VLOOKUP($T11,'Monthly Expense Categories'!$A$10:$L$37,2,FALSE)+VLOOKUP($U11,'Monthly Expense Categories'!$A$10:$L$37,2,FALSE)+VLOOKUP($V11,'Monthly Expense Categories'!$A$10:$L$37,2,FALSE)+VLOOKUP($W11,'Monthly Expense Categories'!$A$10:$L$37,2,FALSE)+VLOOKUP($X11,'Monthly Expense Categories'!$A$10:$L$37,2,FALSE)+VLOOKUP($Y11,'Monthly Expense Categories'!$A$10:$L$37,2,FALSE),0)</f>
        <v>0</v>
      </c>
      <c r="G11" s="165"/>
      <c r="H11" s="166">
        <f t="shared" si="0"/>
        <v>0</v>
      </c>
      <c r="I11" s="167"/>
      <c r="J11" s="168">
        <f>ROUND(SUMIF('Monthly Plan'!A:A,Data!T11,totalplan)+SUMIF('Monthly Plan'!A:A,Data!U11,totalplan)+SUMIF('Monthly Plan'!A:A,Data!V11,totalplan)+SUMIF('Monthly Plan'!A:A,Data!W11,totalplan)+SUMIF('Monthly Plan'!A:A,Data!X11,totalplan)+SUMIF('Monthly Plan'!A:A,Data!Y11,totalplan),0)</f>
        <v>0</v>
      </c>
      <c r="K11" s="169"/>
      <c r="L11" s="169"/>
      <c r="M11" s="164">
        <f>ROUND(VLOOKUP($T11,'Monthly Expense Categories'!$A$10:$L$37,10,FALSE)+VLOOKUP($U11,'Monthly Expense Categories'!$A$10:$L$37,10,FALSE)+VLOOKUP($V11,'Monthly Expense Categories'!$A$10:$L$37,10,FALSE)+VLOOKUP($W11,'Monthly Expense Categories'!$A$10:$L$37,10,FALSE)+VLOOKUP($X11,'Monthly Expense Categories'!$A$10:$L$37,10,FALSE)+VLOOKUP($Y11,'Monthly Expense Categories'!$A$10:$L$37,10,FALSE),0)</f>
        <v>0</v>
      </c>
      <c r="N11" s="165"/>
      <c r="O11" s="165">
        <f>ROUND(VLOOKUP($T11,'Monthly Expense Categories'!$A$10:$L$37,8,FALSE)+VLOOKUP($U11,'Monthly Expense Categories'!$A$10:$L$37,8,FALSE)+VLOOKUP($V11,'Monthly Expense Categories'!$A$10:$L$37,8,FALSE)+VLOOKUP($W11,'Monthly Expense Categories'!$A$10:$L$37,8,FALSE)+VLOOKUP($X11,'Monthly Expense Categories'!$A$10:$L$37,8,FALSE)+VLOOKUP($Y11,'Monthly Expense Categories'!$A$10:$L$37,8,FALSE),0)</f>
        <v>31200</v>
      </c>
      <c r="P11" s="165"/>
      <c r="Q11" s="166">
        <f t="shared" si="1"/>
        <v>-31200</v>
      </c>
      <c r="S11" s="98" t="s">
        <v>138</v>
      </c>
      <c r="T11" s="98" t="str">
        <f>'Monthly Expense Categories'!A25</f>
        <v>Marketing</v>
      </c>
      <c r="U11" s="98" t="str">
        <f>'Monthly Expense Categories'!A26</f>
        <v>Charitable Contributions</v>
      </c>
      <c r="V11" s="98" t="str">
        <f>'Monthly Expense Categories'!A33</f>
        <v>Other Expenses</v>
      </c>
      <c r="W11" s="98" t="str">
        <f>'Monthly Expense Categories'!A32</f>
        <v>A&amp;A Allocation</v>
      </c>
      <c r="X11" s="98" t="str">
        <f>'Monthly Expense Categories'!A34</f>
        <v>Taxes Other Than Income</v>
      </c>
      <c r="Y11" s="98" t="str">
        <f>'Monthly Expense Categories'!A31</f>
        <v>Management Overview</v>
      </c>
    </row>
    <row r="12" spans="2:27" x14ac:dyDescent="0.2">
      <c r="B12" s="98" t="s">
        <v>135</v>
      </c>
      <c r="D12" s="164">
        <f>ROUND(VLOOKUP($T12,'Monthly Expense Categories'!$A$10:$L$37,4,FALSE)+VLOOKUP($U12,'Monthly Expense Categories'!$A$10:$L$37,4,FALSE)+VLOOKUP($V12,'Monthly Expense Categories'!$A$10:$L$37,4,FALSE)+VLOOKUP($W12,'Monthly Expense Categories'!$A$10:$L$37,4,FALSE),0)</f>
        <v>2796</v>
      </c>
      <c r="E12" s="165"/>
      <c r="F12" s="165">
        <f>ROUND(VLOOKUP($T12,'Monthly Expense Categories'!$A$10:$L$37,2,FALSE)+VLOOKUP($U12,'Monthly Expense Categories'!$A$10:$L$37,2,FALSE)+VLOOKUP($V12,'Monthly Expense Categories'!$A$10:$L$37,2,FALSE)+VLOOKUP($W12,'Monthly Expense Categories'!$A$10:$L$37,2,FALSE),0)</f>
        <v>1379</v>
      </c>
      <c r="G12" s="165"/>
      <c r="H12" s="166">
        <f t="shared" si="0"/>
        <v>1417</v>
      </c>
      <c r="I12" s="167"/>
      <c r="J12" s="168">
        <f>ROUND(SUMIF('Monthly Plan'!A:A,Data!T12,totalplan)+SUMIF('Monthly Plan'!A:A,Data!U12,totalplan)+SUMIF('Monthly Plan'!A:A,Data!V12,totalplan)+SUMIF('Monthly Plan'!A:A,Data!W12,totalplan)+SUMIF('Monthly Plan'!A:A,Data!X12,totalplan)+SUMIF('Monthly Plan'!A:A,Data!Y12,totalplan),0)</f>
        <v>33522</v>
      </c>
      <c r="K12" s="169"/>
      <c r="L12" s="169"/>
      <c r="M12" s="164">
        <f>ROUND(VLOOKUP($T12,'Monthly Expense Categories'!$A$10:$L$37,10,FALSE)+VLOOKUP($U12,'Monthly Expense Categories'!$A$10:$L$37,10,FALSE)+VLOOKUP($V12,'Monthly Expense Categories'!$A$10:$L$37,10,FALSE)+VLOOKUP($W12,'Monthly Expense Categories'!$A$10:$L$37,10,FALSE),0)</f>
        <v>16776</v>
      </c>
      <c r="N12" s="165"/>
      <c r="O12" s="165">
        <f>ROUND(VLOOKUP($T12,'Monthly Expense Categories'!$A$10:$L$37,8,FALSE)+VLOOKUP($U12,'Monthly Expense Categories'!$A$10:$L$37,8,FALSE)+VLOOKUP($V12,'Monthly Expense Categories'!$A$10:$L$37,8,FALSE)+VLOOKUP($W12,'Monthly Expense Categories'!$A$10:$L$37,8,FALSE),0)</f>
        <v>5936</v>
      </c>
      <c r="P12" s="165"/>
      <c r="Q12" s="166">
        <f t="shared" si="1"/>
        <v>10840</v>
      </c>
      <c r="S12" s="215" t="s">
        <v>135</v>
      </c>
      <c r="T12" s="215" t="str">
        <f>'Monthly Expense Categories'!A24</f>
        <v>Supplies Expense</v>
      </c>
      <c r="U12" s="215" t="str">
        <f>'Monthly Expense Categories'!A29</f>
        <v>Comm &amp; Market Data Alloc</v>
      </c>
      <c r="V12" s="215" t="str">
        <f>'Monthly Expense Categories'!A27</f>
        <v>Rent (3rd Party)</v>
      </c>
      <c r="W12" s="215" t="str">
        <f>'Monthly Expense Categories'!A30</f>
        <v>EPSC Allocation</v>
      </c>
      <c r="X12" s="215"/>
      <c r="Y12" s="215"/>
      <c r="Z12" s="215"/>
      <c r="AA12" s="215"/>
    </row>
    <row r="13" spans="2:27" x14ac:dyDescent="0.2">
      <c r="B13" s="98" t="s">
        <v>137</v>
      </c>
      <c r="D13" s="164">
        <f>ROUND(VLOOKUP($T13,'Monthly Expense Categories'!$A$10:$L$37,4,FALSE),0)+ROUND(VLOOKUP($U13,'Monthly Expense Categories'!$A$10:$L$37,4,FALSE),0)</f>
        <v>0</v>
      </c>
      <c r="E13" s="165"/>
      <c r="F13" s="165">
        <f>ROUND(VLOOKUP($T13,'Monthly Expense Categories'!$A$10:$L$37,2,FALSE),0)+ROUND(VLOOKUP($U13,'Monthly Expense Categories'!$A$10:$L$37,2,FALSE),0)</f>
        <v>0</v>
      </c>
      <c r="G13" s="165"/>
      <c r="H13" s="166">
        <f t="shared" si="0"/>
        <v>0</v>
      </c>
      <c r="I13" s="167"/>
      <c r="J13" s="168">
        <f>ROUND(SUMIF('Monthly Plan'!A:A,Data!T13,totalplan)+SUMIF('Monthly Plan'!A:A,Data!U13,totalplan)+SUMIF('Monthly Plan'!A:A,Data!V13,totalplan)+SUMIF('Monthly Plan'!A:A,Data!W13,totalplan)+SUMIF('Monthly Plan'!A:A,Data!X13,totalplan)+SUMIF('Monthly Plan'!A:A,Data!Y13,totalplan),0)</f>
        <v>0</v>
      </c>
      <c r="K13" s="169"/>
      <c r="L13" s="169"/>
      <c r="M13" s="164">
        <f>ROUND(VLOOKUP($T13,'Monthly Expense Categories'!$A$10:$L$37,10,FALSE),0)+ROUND(VLOOKUP($U13,'Monthly Expense Categories'!$A$10:$L$37,10,FALSE),0)</f>
        <v>0</v>
      </c>
      <c r="N13" s="165"/>
      <c r="O13" s="165">
        <f>ROUND(VLOOKUP($T13,'Monthly Expense Categories'!$A$10:$L$37,8,FALSE),0)+ROUND(VLOOKUP($U13,'Monthly Expense Categories'!$A$10:$L$37,8,FALSE),0)</f>
        <v>5668</v>
      </c>
      <c r="P13" s="165"/>
      <c r="Q13" s="166">
        <f t="shared" si="1"/>
        <v>-5668</v>
      </c>
      <c r="S13" s="98" t="s">
        <v>137</v>
      </c>
      <c r="T13" s="98" t="str">
        <f>'Monthly Expense Categories'!A23</f>
        <v>Outside Services - Others</v>
      </c>
      <c r="U13" s="98" t="str">
        <f>'Monthly Expense Categories'!A22</f>
        <v>Outside Services - IT</v>
      </c>
    </row>
    <row r="14" spans="2:27" x14ac:dyDescent="0.2">
      <c r="B14" s="98" t="s">
        <v>139</v>
      </c>
      <c r="D14" s="164">
        <f>ROUND(VLOOKUP($T14,'Monthly Expense Categories'!$A$10:$L$37,4,FALSE),0)</f>
        <v>0</v>
      </c>
      <c r="E14" s="165"/>
      <c r="F14" s="165">
        <f>ROUND(VLOOKUP($T14,'Monthly Expense Categories'!$A$10:$L$37,2,FALSE),0)</f>
        <v>0</v>
      </c>
      <c r="G14" s="165"/>
      <c r="H14" s="166">
        <f t="shared" si="0"/>
        <v>0</v>
      </c>
      <c r="I14" s="167"/>
      <c r="J14" s="168">
        <f>ROUND(SUMIF('Monthly Plan'!A:A,Data!T14,totalplan)+SUMIF('Monthly Plan'!A:A,Data!U14,totalplan)+SUMIF('Monthly Plan'!A:A,Data!V14,totalplan)+SUMIF('Monthly Plan'!A:A,Data!W14,totalplan)+SUMIF('Monthly Plan'!A:A,Data!X14,totalplan)+SUMIF('Monthly Plan'!A:A,Data!Y14,totalplan),0)</f>
        <v>0</v>
      </c>
      <c r="K14" s="169"/>
      <c r="L14" s="169"/>
      <c r="M14" s="164">
        <f>ROUND(VLOOKUP($T14,'Monthly Expense Categories'!$A$10:$L$37,10,FALSE),0)</f>
        <v>0</v>
      </c>
      <c r="N14" s="165"/>
      <c r="O14" s="165">
        <f>ROUND(VLOOKUP($T14,'Monthly Expense Categories'!$A$10:$L$37,8,FALSE),0)</f>
        <v>0</v>
      </c>
      <c r="P14" s="165"/>
      <c r="Q14" s="166">
        <f t="shared" si="1"/>
        <v>0</v>
      </c>
      <c r="S14" s="98" t="s">
        <v>139</v>
      </c>
      <c r="T14" s="98" t="str">
        <f>'Monthly Expense Categories'!A35</f>
        <v>Depreciation &amp; Amortization</v>
      </c>
    </row>
    <row r="15" spans="2:27" x14ac:dyDescent="0.2">
      <c r="B15" s="98" t="s">
        <v>136</v>
      </c>
      <c r="D15" s="164">
        <f>ROUND(VLOOKUP($T15,'Monthly Expense Categories'!$A$10:$L$37,4,FALSE),0)</f>
        <v>0</v>
      </c>
      <c r="E15" s="165"/>
      <c r="F15" s="165">
        <f>ROUND(VLOOKUP($T15,'Monthly Expense Categories'!$A$10:$L$37,2,FALSE),0)</f>
        <v>0</v>
      </c>
      <c r="G15" s="165"/>
      <c r="H15" s="166">
        <f>+D15-F15</f>
        <v>0</v>
      </c>
      <c r="I15" s="167"/>
      <c r="J15" s="168">
        <f>ROUND(SUMIF('Monthly Plan'!A:A,Data!T15,totalplan)+SUMIF('Monthly Plan'!A:A,Data!U15,totalplan)+SUMIF('Monthly Plan'!A:A,Data!V15,totalplan)+SUMIF('Monthly Plan'!A:A,Data!W15,totalplan)+SUMIF('Monthly Plan'!A:A,Data!X15,totalplan)+SUMIF('Monthly Plan'!A:A,Data!Y15,totalplan),0)</f>
        <v>0</v>
      </c>
      <c r="K15" s="169"/>
      <c r="L15" s="169"/>
      <c r="M15" s="164">
        <f>ROUND(VLOOKUP($T15,'Monthly Expense Categories'!$A$10:$L$37,10,FALSE),0)</f>
        <v>0</v>
      </c>
      <c r="N15" s="165"/>
      <c r="O15" s="165">
        <f>ROUND(VLOOKUP($T15,'Monthly Expense Categories'!$A$10:$L$37,8,FALSE),0)</f>
        <v>0</v>
      </c>
      <c r="P15" s="165"/>
      <c r="Q15" s="166">
        <f>+M15-O15</f>
        <v>0</v>
      </c>
      <c r="S15" s="98" t="s">
        <v>136</v>
      </c>
      <c r="T15" s="98" t="str">
        <f>'Monthly Expense Categories'!A28</f>
        <v>Technology</v>
      </c>
    </row>
    <row r="16" spans="2:27" x14ac:dyDescent="0.2">
      <c r="B16" s="98" t="s">
        <v>163</v>
      </c>
      <c r="D16" s="170">
        <f>ROUND(VLOOKUP($T16,'Monthly Expense Categories'!$A$16:$L$65,4,FALSE)+VLOOKUP(Data!$U16,'Monthly Expense Categories'!$A$16:$L$64,4,FALSE),0)</f>
        <v>-25390</v>
      </c>
      <c r="E16" s="165"/>
      <c r="F16" s="165">
        <f>ROUND(VLOOKUP($T16,'Monthly Expense Categories'!$A$16:$L$65,2,FALSE)+VLOOKUP(Data!$U16,'Monthly Expense Categories'!$A$16:$L$64,2,FALSE),0)</f>
        <v>-27938</v>
      </c>
      <c r="G16" s="165"/>
      <c r="H16" s="166">
        <f t="shared" si="0"/>
        <v>2548</v>
      </c>
      <c r="I16" s="167"/>
      <c r="J16" s="168">
        <f>ROUND(SUMIF('Monthly Plan'!A:A,Data!T16,totalplan)+SUMIF('Monthly Plan'!A:A,Data!U16,totalplan)+SUMIF('Monthly Plan'!A:A,Data!V16,totalplan)+SUMIF('Monthly Plan'!A:A,Data!W16,totalplan)+SUMIF('Monthly Plan'!A:A,Data!X16,totalplan)+SUMIF('Monthly Plan'!A:A,Data!Y16,totalplan),0)</f>
        <v>-304680</v>
      </c>
      <c r="K16" s="169"/>
      <c r="L16" s="169"/>
      <c r="M16" s="170">
        <f>ROUND(VLOOKUP($T16,'Monthly Expense Categories'!$A$16:$L$65,10,FALSE)+VLOOKUP(Data!$U16,'Monthly Expense Categories'!$A$16:$L$64,10,FALSE),0)</f>
        <v>-152340</v>
      </c>
      <c r="N16" s="165"/>
      <c r="O16" s="165">
        <f>ROUND(VLOOKUP($T16,'Monthly Expense Categories'!$A$16:$L$65,8,FALSE)+VLOOKUP(Data!$U16,'Monthly Expense Categories'!$A$16:$L$64,8,FALSE),0)</f>
        <v>-154354</v>
      </c>
      <c r="P16" s="165"/>
      <c r="Q16" s="166">
        <f t="shared" si="1"/>
        <v>2014</v>
      </c>
      <c r="S16" s="216" t="s">
        <v>155</v>
      </c>
      <c r="T16" s="243" t="str">
        <f>'Monthly Expense Categories'!A62</f>
        <v xml:space="preserve">    Allocation to others</v>
      </c>
      <c r="U16" s="243" t="str">
        <f>'Monthly Expense Categories'!A58</f>
        <v xml:space="preserve">   Total Allocated Expenses</v>
      </c>
      <c r="V16" s="216"/>
      <c r="W16" s="216"/>
      <c r="X16" s="216"/>
      <c r="Y16" s="216"/>
      <c r="Z16" s="216"/>
      <c r="AA16" s="216"/>
    </row>
    <row r="17" spans="2:27" ht="13.5" thickBot="1" x14ac:dyDescent="0.25">
      <c r="D17" s="171">
        <f>SUM(D10:D16)</f>
        <v>118</v>
      </c>
      <c r="E17" s="165"/>
      <c r="F17" s="172">
        <f>SUM(F10:F16)</f>
        <v>5187.3000000000029</v>
      </c>
      <c r="G17" s="165"/>
      <c r="H17" s="173">
        <f>SUM(H10:H16)</f>
        <v>-5069.2999999999993</v>
      </c>
      <c r="I17" s="165"/>
      <c r="J17" s="174">
        <f>SUM(J10:J16)</f>
        <v>0</v>
      </c>
      <c r="K17" s="175"/>
      <c r="L17" s="169"/>
      <c r="M17" s="171">
        <f>SUM(M10:M16)</f>
        <v>322</v>
      </c>
      <c r="N17" s="165"/>
      <c r="O17" s="172">
        <f>SUM(O10:O16)</f>
        <v>0.71000000002095476</v>
      </c>
      <c r="P17" s="165"/>
      <c r="Q17" s="173">
        <f>SUM(Q10:Q16)</f>
        <v>321.2899999999936</v>
      </c>
    </row>
    <row r="18" spans="2:27" ht="14.25" thickTop="1" thickBot="1" x14ac:dyDescent="0.25">
      <c r="D18" s="176"/>
      <c r="E18" s="177"/>
      <c r="F18" s="177"/>
      <c r="G18" s="177"/>
      <c r="H18" s="178"/>
      <c r="I18" s="167"/>
      <c r="J18" s="179"/>
      <c r="K18" s="169"/>
      <c r="L18" s="169"/>
      <c r="M18" s="176"/>
      <c r="N18" s="177"/>
      <c r="O18" s="177"/>
      <c r="P18" s="177"/>
      <c r="Q18" s="178"/>
    </row>
    <row r="19" spans="2:27" ht="13.5" thickBot="1" x14ac:dyDescent="0.25">
      <c r="D19" s="180"/>
      <c r="E19" s="180"/>
      <c r="F19" s="180"/>
      <c r="G19" s="180"/>
      <c r="H19" s="180"/>
      <c r="I19" s="180"/>
      <c r="J19" s="180"/>
    </row>
    <row r="20" spans="2:27" ht="16.5" thickBot="1" x14ac:dyDescent="0.3">
      <c r="D20" s="264" t="s">
        <v>153</v>
      </c>
      <c r="E20" s="265"/>
      <c r="F20" s="265"/>
      <c r="G20" s="265"/>
      <c r="H20" s="266"/>
      <c r="I20" s="181"/>
      <c r="J20" s="182" t="s">
        <v>146</v>
      </c>
      <c r="K20" s="151"/>
      <c r="M20" s="267" t="s">
        <v>2</v>
      </c>
      <c r="N20" s="268"/>
      <c r="O20" s="268"/>
      <c r="P20" s="268"/>
      <c r="Q20" s="269"/>
    </row>
    <row r="21" spans="2:27" ht="7.5" customHeight="1" x14ac:dyDescent="0.2">
      <c r="D21" s="183"/>
      <c r="E21" s="184"/>
      <c r="F21" s="184"/>
      <c r="G21" s="184"/>
      <c r="H21" s="185"/>
      <c r="I21" s="180"/>
      <c r="J21" s="186"/>
      <c r="M21" s="106"/>
      <c r="N21" s="102"/>
      <c r="O21" s="102"/>
      <c r="P21" s="102"/>
      <c r="Q21" s="105"/>
    </row>
    <row r="22" spans="2:27" s="108" customFormat="1" x14ac:dyDescent="0.2">
      <c r="D22" s="154" t="str">
        <f>D7</f>
        <v>Jun-01</v>
      </c>
      <c r="E22" s="187"/>
      <c r="F22" s="155" t="str">
        <f>F7</f>
        <v>Jun-01</v>
      </c>
      <c r="G22" s="188"/>
      <c r="H22" s="189" t="s">
        <v>7</v>
      </c>
      <c r="I22" s="190"/>
      <c r="J22" s="157">
        <v>2001</v>
      </c>
      <c r="K22" s="109"/>
      <c r="M22" s="154" t="str">
        <f>M7</f>
        <v>Jun-01</v>
      </c>
      <c r="N22" s="155"/>
      <c r="O22" s="155" t="str">
        <f>O7</f>
        <v>Jun-01</v>
      </c>
      <c r="P22" s="139"/>
      <c r="Q22" s="156" t="s">
        <v>7</v>
      </c>
      <c r="S22" s="98"/>
      <c r="T22" s="98"/>
      <c r="U22" s="98"/>
      <c r="V22" s="98"/>
      <c r="W22" s="98"/>
      <c r="X22" s="98"/>
      <c r="Y22" s="98"/>
      <c r="Z22" s="98"/>
      <c r="AA22" s="98"/>
    </row>
    <row r="23" spans="2:27" s="108" customFormat="1" x14ac:dyDescent="0.2">
      <c r="D23" s="192" t="s">
        <v>6</v>
      </c>
      <c r="E23" s="187"/>
      <c r="F23" s="187" t="s">
        <v>5</v>
      </c>
      <c r="G23" s="188"/>
      <c r="H23" s="189" t="s">
        <v>144</v>
      </c>
      <c r="I23" s="190"/>
      <c r="J23" s="193" t="s">
        <v>6</v>
      </c>
      <c r="K23" s="109"/>
      <c r="M23" s="158" t="s">
        <v>6</v>
      </c>
      <c r="N23" s="128"/>
      <c r="O23" s="128" t="s">
        <v>5</v>
      </c>
      <c r="P23" s="139"/>
      <c r="Q23" s="156" t="s">
        <v>144</v>
      </c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2:27" ht="7.5" customHeight="1" x14ac:dyDescent="0.2">
      <c r="D24" s="183"/>
      <c r="E24" s="184"/>
      <c r="F24" s="184"/>
      <c r="G24" s="184"/>
      <c r="H24" s="185"/>
      <c r="I24" s="180"/>
      <c r="J24" s="186"/>
      <c r="M24" s="106"/>
      <c r="N24" s="102"/>
      <c r="O24" s="102"/>
      <c r="P24" s="102"/>
      <c r="Q24" s="105"/>
      <c r="S24" s="194"/>
      <c r="T24" s="194"/>
      <c r="U24" s="194"/>
      <c r="V24" s="194"/>
      <c r="W24" s="194"/>
      <c r="X24" s="194"/>
      <c r="Y24" s="194"/>
      <c r="Z24" s="194"/>
      <c r="AA24" s="194"/>
    </row>
    <row r="25" spans="2:27" x14ac:dyDescent="0.2">
      <c r="B25" s="98" t="s">
        <v>161</v>
      </c>
      <c r="D25" s="164">
        <f>SUM(D10:D15)</f>
        <v>25508</v>
      </c>
      <c r="E25" s="165"/>
      <c r="F25" s="165">
        <f>SUM(F10:F15)</f>
        <v>33125.300000000003</v>
      </c>
      <c r="G25" s="165"/>
      <c r="H25" s="166">
        <f>+D25-F25</f>
        <v>-7617.3000000000029</v>
      </c>
      <c r="I25" s="167"/>
      <c r="J25" s="168">
        <f>SUM(J10:J15)</f>
        <v>304680</v>
      </c>
      <c r="K25" s="112"/>
      <c r="L25" s="112"/>
      <c r="M25" s="195"/>
      <c r="N25" s="196"/>
      <c r="O25" s="197"/>
      <c r="P25" s="196"/>
      <c r="Q25" s="198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2:27" x14ac:dyDescent="0.2">
      <c r="B26" s="98" t="s">
        <v>163</v>
      </c>
      <c r="D26" s="164">
        <f>+D16</f>
        <v>-25390</v>
      </c>
      <c r="E26" s="165"/>
      <c r="F26" s="165">
        <f>+F16</f>
        <v>-27938</v>
      </c>
      <c r="G26" s="165"/>
      <c r="H26" s="166">
        <f>+D26-F26</f>
        <v>2548</v>
      </c>
      <c r="I26" s="167"/>
      <c r="J26" s="168">
        <f>J16</f>
        <v>-304680</v>
      </c>
      <c r="K26" s="112"/>
      <c r="L26" s="112"/>
      <c r="M26" s="195">
        <f>Headcount!A5</f>
        <v>3</v>
      </c>
      <c r="N26" s="196"/>
      <c r="O26" s="197">
        <f>Headcount!B5</f>
        <v>0</v>
      </c>
      <c r="P26" s="196"/>
      <c r="Q26" s="198">
        <f>+M26-O26</f>
        <v>3</v>
      </c>
      <c r="S26" s="194"/>
      <c r="T26" s="194"/>
      <c r="U26" s="194"/>
      <c r="V26" s="194"/>
      <c r="W26" s="194"/>
      <c r="X26" s="194"/>
      <c r="Y26" s="194"/>
      <c r="Z26" s="194"/>
      <c r="AA26" s="194"/>
    </row>
    <row r="27" spans="2:27" ht="13.5" thickBot="1" x14ac:dyDescent="0.25">
      <c r="D27" s="171">
        <f>D25+D26</f>
        <v>118</v>
      </c>
      <c r="E27" s="165"/>
      <c r="F27" s="172">
        <f>SUM(F25:F26)</f>
        <v>5187.3000000000029</v>
      </c>
      <c r="G27" s="165"/>
      <c r="H27" s="173">
        <f>SUM(H25:H26)</f>
        <v>-5069.3000000000029</v>
      </c>
      <c r="I27" s="165"/>
      <c r="J27" s="174">
        <f>SUM(J25:J26)</f>
        <v>0</v>
      </c>
      <c r="K27" s="150"/>
      <c r="L27" s="112"/>
      <c r="M27" s="199">
        <f>SUM(M26:M26)</f>
        <v>3</v>
      </c>
      <c r="N27" s="196"/>
      <c r="O27" s="200">
        <f>SUM(O26:O26)</f>
        <v>0</v>
      </c>
      <c r="P27" s="196"/>
      <c r="Q27" s="201">
        <f>SUM(Q26:Q26)</f>
        <v>3</v>
      </c>
      <c r="S27" s="194"/>
      <c r="T27" s="194"/>
      <c r="U27" s="194"/>
      <c r="V27" s="194"/>
      <c r="W27" s="194"/>
      <c r="X27" s="194"/>
      <c r="Y27" s="194"/>
      <c r="Z27" s="194"/>
      <c r="AA27" s="194"/>
    </row>
    <row r="28" spans="2:27" ht="14.25" thickTop="1" thickBot="1" x14ac:dyDescent="0.25">
      <c r="D28" s="114"/>
      <c r="E28" s="115"/>
      <c r="F28" s="115"/>
      <c r="G28" s="115"/>
      <c r="H28" s="116"/>
      <c r="J28" s="202"/>
      <c r="K28" s="203"/>
      <c r="L28" s="203"/>
      <c r="M28" s="204"/>
      <c r="N28" s="205"/>
      <c r="O28" s="206"/>
      <c r="P28" s="206"/>
      <c r="Q28" s="207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2:27" ht="13.5" thickBot="1" x14ac:dyDescent="0.25">
      <c r="F29" s="111"/>
      <c r="S29" s="194"/>
      <c r="T29" s="194"/>
      <c r="U29" s="194"/>
      <c r="V29" s="194"/>
      <c r="W29" s="194"/>
      <c r="X29" s="194"/>
      <c r="Y29" s="194"/>
      <c r="Z29" s="194"/>
      <c r="AA29" s="194"/>
    </row>
    <row r="30" spans="2:27" x14ac:dyDescent="0.2">
      <c r="B30" s="103" t="s">
        <v>142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  <row r="31" spans="2:27" x14ac:dyDescent="0.2">
      <c r="B31" s="106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5"/>
    </row>
    <row r="32" spans="2:27" x14ac:dyDescent="0.2">
      <c r="B32" s="106" t="s">
        <v>147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5"/>
    </row>
    <row r="33" spans="2:17" x14ac:dyDescent="0.2">
      <c r="B33" s="106" t="s">
        <v>164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5"/>
    </row>
    <row r="34" spans="2:17" x14ac:dyDescent="0.2">
      <c r="B34" s="106" t="s">
        <v>154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5"/>
    </row>
    <row r="35" spans="2:17" x14ac:dyDescent="0.2">
      <c r="B35" s="106" t="s">
        <v>148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5"/>
    </row>
    <row r="36" spans="2:17" x14ac:dyDescent="0.2">
      <c r="B36" s="106" t="s">
        <v>149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5"/>
    </row>
    <row r="37" spans="2:17" x14ac:dyDescent="0.2">
      <c r="B37" s="106" t="s">
        <v>165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5"/>
    </row>
    <row r="38" spans="2:17" ht="13.5" thickBot="1" x14ac:dyDescent="0.2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  <row r="39" spans="2:17" x14ac:dyDescent="0.2">
      <c r="B39" s="102" t="s">
        <v>140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 x14ac:dyDescent="0.2">
      <c r="B40" s="98" t="str">
        <f ca="1">CELL("filename")</f>
        <v>H:\[Texas June 2001.xls]Monthly Expense Categories</v>
      </c>
    </row>
    <row r="44" spans="2:17" x14ac:dyDescent="0.2">
      <c r="B44" s="208"/>
      <c r="C44" s="209"/>
      <c r="D44" s="149"/>
      <c r="E44" s="149"/>
      <c r="F44" s="149"/>
      <c r="G44" s="149"/>
      <c r="H44" s="149"/>
      <c r="I44" s="149"/>
      <c r="J44" s="149"/>
      <c r="K44" s="102"/>
    </row>
    <row r="45" spans="2:17" x14ac:dyDescent="0.2">
      <c r="B45" s="210"/>
      <c r="C45" s="102"/>
      <c r="D45" s="137"/>
      <c r="E45" s="137"/>
      <c r="F45" s="137"/>
      <c r="G45" s="137"/>
      <c r="H45" s="137"/>
      <c r="I45" s="137"/>
      <c r="J45" s="137"/>
      <c r="K45" s="102"/>
    </row>
    <row r="46" spans="2:17" x14ac:dyDescent="0.2">
      <c r="B46" s="137"/>
      <c r="C46" s="102"/>
      <c r="D46" s="102"/>
      <c r="E46" s="102"/>
      <c r="F46" s="102"/>
      <c r="G46" s="102"/>
      <c r="H46" s="102"/>
      <c r="I46" s="102"/>
      <c r="J46" s="102"/>
      <c r="K46" s="102"/>
    </row>
    <row r="111" spans="1:28" x14ac:dyDescent="0.2">
      <c r="A111" s="97"/>
    </row>
    <row r="112" spans="1:28" x14ac:dyDescent="0.2">
      <c r="B112" s="97"/>
      <c r="C112" s="97"/>
      <c r="D112" s="97"/>
      <c r="E112" s="97"/>
      <c r="I112" s="97"/>
      <c r="J112" s="97"/>
      <c r="K112" s="97"/>
      <c r="L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1:31" x14ac:dyDescent="0.2">
      <c r="B113" s="97"/>
      <c r="C113" s="97"/>
      <c r="D113" s="97"/>
      <c r="E113" s="97"/>
      <c r="I113" s="97"/>
      <c r="J113" s="97"/>
      <c r="K113" s="97"/>
      <c r="L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1:31" x14ac:dyDescent="0.2">
      <c r="B114" s="97"/>
      <c r="I114" s="97"/>
      <c r="R114" s="97"/>
    </row>
    <row r="115" spans="1:31" x14ac:dyDescent="0.2">
      <c r="B115" s="97"/>
      <c r="I115" s="97"/>
      <c r="R115" s="97"/>
    </row>
    <row r="116" spans="1:31" x14ac:dyDescent="0.2">
      <c r="B116" s="107"/>
      <c r="C116" s="97"/>
      <c r="I116" s="107"/>
      <c r="J116" s="97"/>
      <c r="R116" s="107"/>
    </row>
    <row r="117" spans="1:31" x14ac:dyDescent="0.2">
      <c r="B117" s="97"/>
      <c r="C117" s="97"/>
      <c r="D117" s="97"/>
      <c r="E117" s="97"/>
      <c r="F117" s="97"/>
      <c r="I117" s="97"/>
      <c r="J117" s="97"/>
      <c r="K117" s="97"/>
      <c r="L117" s="97"/>
      <c r="M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 spans="1:31" x14ac:dyDescent="0.2">
      <c r="B118" s="97"/>
      <c r="C118" s="97"/>
      <c r="D118" s="97"/>
      <c r="E118" s="97"/>
      <c r="F118" s="97"/>
      <c r="I118" s="97"/>
      <c r="J118" s="97"/>
      <c r="K118" s="97"/>
      <c r="L118" s="97"/>
      <c r="M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 spans="1:31" x14ac:dyDescent="0.2">
      <c r="B119" s="97"/>
      <c r="C119" s="97"/>
      <c r="D119" s="97"/>
      <c r="E119" s="97"/>
      <c r="F119" s="97"/>
      <c r="I119" s="97"/>
      <c r="J119" s="97"/>
      <c r="K119" s="97"/>
      <c r="L119" s="97"/>
      <c r="M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 spans="1:31" x14ac:dyDescent="0.2">
      <c r="B120" s="97"/>
      <c r="C120" s="97"/>
      <c r="D120" s="97"/>
      <c r="E120" s="97"/>
      <c r="F120" s="97"/>
      <c r="I120" s="97"/>
      <c r="J120" s="97"/>
      <c r="K120" s="97"/>
      <c r="L120" s="97"/>
      <c r="M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 spans="1:31" x14ac:dyDescent="0.2">
      <c r="B121" s="97"/>
      <c r="C121" s="97"/>
      <c r="D121" s="97"/>
      <c r="E121" s="97"/>
      <c r="F121" s="97"/>
      <c r="I121" s="97"/>
      <c r="J121" s="97"/>
      <c r="K121" s="97"/>
      <c r="L121" s="97"/>
      <c r="M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 spans="1:31" x14ac:dyDescent="0.2">
      <c r="B122" s="97"/>
      <c r="C122" s="97"/>
      <c r="D122" s="97"/>
      <c r="E122" s="97"/>
      <c r="F122" s="97"/>
      <c r="I122" s="97"/>
      <c r="J122" s="97"/>
      <c r="K122" s="97"/>
      <c r="L122" s="97"/>
      <c r="M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 spans="1:31" x14ac:dyDescent="0.2">
      <c r="B123" s="97"/>
      <c r="C123" s="97"/>
      <c r="D123" s="97"/>
      <c r="E123" s="97"/>
      <c r="F123" s="97"/>
      <c r="I123" s="97"/>
      <c r="J123" s="97"/>
      <c r="K123" s="97"/>
      <c r="L123" s="97"/>
      <c r="M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 spans="1:31" x14ac:dyDescent="0.2">
      <c r="B124" s="97"/>
      <c r="C124" s="97"/>
      <c r="D124" s="97"/>
      <c r="E124" s="97"/>
      <c r="F124" s="97"/>
      <c r="I124" s="97"/>
      <c r="J124" s="97"/>
      <c r="K124" s="97"/>
      <c r="L124" s="97"/>
      <c r="M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 spans="1:31" x14ac:dyDescent="0.2">
      <c r="B125" s="97"/>
      <c r="C125" s="97"/>
      <c r="D125" s="97"/>
      <c r="E125" s="97"/>
      <c r="F125" s="97"/>
      <c r="I125" s="97"/>
      <c r="J125" s="97"/>
      <c r="K125" s="97"/>
      <c r="L125" s="97"/>
      <c r="M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 spans="1:31" x14ac:dyDescent="0.2">
      <c r="B126" s="97"/>
      <c r="C126" s="97"/>
      <c r="D126" s="97"/>
      <c r="E126" s="97"/>
      <c r="F126" s="97"/>
      <c r="I126" s="97"/>
      <c r="J126" s="97"/>
      <c r="K126" s="97"/>
      <c r="L126" s="97"/>
      <c r="M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8" spans="1:31" x14ac:dyDescent="0.2">
      <c r="A128" s="109"/>
      <c r="B128" s="110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Q128" s="109"/>
      <c r="R128" s="110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31" spans="1:31" x14ac:dyDescent="0.2">
      <c r="A131" s="111"/>
      <c r="B131" s="112"/>
      <c r="C131" s="112"/>
      <c r="D131" s="112"/>
      <c r="E131" s="112"/>
      <c r="H131" s="111"/>
      <c r="I131" s="112"/>
      <c r="J131" s="112"/>
      <c r="K131" s="112"/>
      <c r="L131" s="112"/>
      <c r="O131" s="111"/>
      <c r="Q131" s="111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E131" s="111"/>
    </row>
    <row r="132" spans="1:31" x14ac:dyDescent="0.2">
      <c r="A132" s="111"/>
      <c r="B132" s="112"/>
      <c r="C132" s="112"/>
      <c r="D132" s="112"/>
      <c r="E132" s="112"/>
      <c r="H132" s="111"/>
      <c r="I132" s="112"/>
      <c r="J132" s="112"/>
      <c r="K132" s="112"/>
      <c r="L132" s="112"/>
      <c r="O132" s="111"/>
      <c r="Q132" s="111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E132" s="111"/>
    </row>
    <row r="133" spans="1:31" x14ac:dyDescent="0.2">
      <c r="A133" s="111"/>
      <c r="B133" s="112"/>
      <c r="H133" s="111"/>
      <c r="I133" s="112"/>
      <c r="J133" s="112"/>
      <c r="K133" s="112"/>
      <c r="L133" s="112"/>
      <c r="O133" s="111"/>
      <c r="Q133" s="111"/>
      <c r="R133" s="112"/>
      <c r="AB133" s="112"/>
      <c r="AE133" s="111"/>
    </row>
    <row r="134" spans="1:31" x14ac:dyDescent="0.2">
      <c r="A134" s="111"/>
      <c r="B134" s="112"/>
      <c r="H134" s="111"/>
      <c r="I134" s="112"/>
      <c r="J134" s="112"/>
      <c r="K134" s="112"/>
      <c r="L134" s="112"/>
      <c r="O134" s="111"/>
      <c r="Q134" s="111"/>
      <c r="R134" s="112"/>
      <c r="AB134" s="112"/>
      <c r="AE134" s="111"/>
    </row>
    <row r="135" spans="1:31" x14ac:dyDescent="0.2">
      <c r="A135" s="111"/>
      <c r="B135" s="112"/>
      <c r="C135" s="112"/>
      <c r="D135" s="112"/>
      <c r="E135" s="112"/>
      <c r="H135" s="111"/>
      <c r="I135" s="112"/>
      <c r="J135" s="112"/>
      <c r="K135" s="112"/>
      <c r="L135" s="112"/>
      <c r="O135" s="111"/>
      <c r="Q135" s="111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E135" s="111"/>
    </row>
    <row r="136" spans="1:31" x14ac:dyDescent="0.2">
      <c r="A136" s="111"/>
      <c r="B136" s="112"/>
      <c r="C136" s="112"/>
      <c r="D136" s="112"/>
      <c r="E136" s="112"/>
      <c r="F136" s="112"/>
      <c r="H136" s="111"/>
      <c r="I136" s="112"/>
      <c r="J136" s="112"/>
      <c r="K136" s="112"/>
      <c r="L136" s="112"/>
      <c r="M136" s="112"/>
      <c r="O136" s="111"/>
      <c r="Q136" s="111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E136" s="111"/>
    </row>
    <row r="138" spans="1:31" ht="13.5" thickBot="1" x14ac:dyDescent="0.25">
      <c r="A138" s="120"/>
      <c r="B138" s="121"/>
      <c r="C138" s="121"/>
      <c r="D138" s="121"/>
      <c r="E138" s="121"/>
      <c r="F138" s="121"/>
      <c r="G138" s="121"/>
      <c r="H138" s="120"/>
      <c r="I138" s="121"/>
      <c r="J138" s="121"/>
      <c r="K138" s="121"/>
      <c r="L138" s="121"/>
      <c r="M138" s="121"/>
      <c r="N138" s="121"/>
      <c r="O138" s="121"/>
      <c r="P138" s="121"/>
      <c r="Q138" s="120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</row>
    <row r="139" spans="1:31" ht="13.5" thickTop="1" x14ac:dyDescent="0.2"/>
    <row r="153" spans="1:31" s="97" customFormat="1" ht="9" x14ac:dyDescent="0.15"/>
    <row r="155" spans="1:31" s="97" customFormat="1" ht="9" x14ac:dyDescent="0.15"/>
    <row r="156" spans="1:31" x14ac:dyDescent="0.2">
      <c r="A156" s="109"/>
      <c r="B156" s="110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Q156" s="109"/>
      <c r="R156" s="110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9" spans="1:31" x14ac:dyDescent="0.2">
      <c r="A159" s="111"/>
      <c r="B159" s="112"/>
      <c r="C159" s="112"/>
      <c r="D159" s="112"/>
      <c r="E159" s="112"/>
      <c r="H159" s="111"/>
      <c r="I159" s="112"/>
      <c r="J159" s="112"/>
      <c r="K159" s="112"/>
      <c r="L159" s="112"/>
      <c r="O159" s="111"/>
      <c r="Q159" s="111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E159" s="111"/>
    </row>
    <row r="160" spans="1:31" x14ac:dyDescent="0.2">
      <c r="A160" s="111"/>
      <c r="B160" s="112"/>
      <c r="C160" s="112"/>
      <c r="D160" s="112"/>
      <c r="E160" s="112"/>
      <c r="H160" s="111"/>
      <c r="I160" s="112"/>
      <c r="J160" s="112"/>
      <c r="K160" s="112"/>
      <c r="L160" s="112"/>
      <c r="O160" s="111"/>
      <c r="Q160" s="111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E160" s="111"/>
    </row>
    <row r="161" spans="1:31" x14ac:dyDescent="0.2">
      <c r="A161" s="111"/>
      <c r="B161" s="112"/>
      <c r="H161" s="111"/>
      <c r="I161" s="112"/>
      <c r="J161" s="112"/>
      <c r="K161" s="112"/>
      <c r="L161" s="112"/>
      <c r="O161" s="111"/>
      <c r="Q161" s="111"/>
      <c r="R161" s="112"/>
      <c r="AB161" s="112"/>
      <c r="AE161" s="111"/>
    </row>
    <row r="162" spans="1:31" x14ac:dyDescent="0.2">
      <c r="A162" s="111"/>
      <c r="B162" s="112"/>
      <c r="H162" s="111"/>
      <c r="I162" s="112"/>
      <c r="J162" s="112"/>
      <c r="K162" s="112"/>
      <c r="L162" s="112"/>
      <c r="O162" s="111"/>
      <c r="Q162" s="111"/>
      <c r="R162" s="112"/>
      <c r="AB162" s="112"/>
      <c r="AE162" s="111"/>
    </row>
    <row r="163" spans="1:31" x14ac:dyDescent="0.2">
      <c r="A163" s="111"/>
      <c r="B163" s="112"/>
      <c r="H163" s="111"/>
      <c r="I163" s="112"/>
      <c r="J163" s="112"/>
      <c r="K163" s="112"/>
      <c r="L163" s="112"/>
      <c r="O163" s="111"/>
      <c r="Q163" s="111"/>
      <c r="R163" s="112"/>
      <c r="AB163" s="112"/>
      <c r="AE163" s="111"/>
    </row>
    <row r="164" spans="1:31" x14ac:dyDescent="0.2">
      <c r="A164" s="111"/>
      <c r="B164" s="112"/>
      <c r="C164" s="112"/>
      <c r="D164" s="112"/>
      <c r="E164" s="112"/>
      <c r="H164" s="111"/>
      <c r="I164" s="112"/>
      <c r="J164" s="112"/>
      <c r="K164" s="112"/>
      <c r="L164" s="112"/>
      <c r="O164" s="111"/>
      <c r="Q164" s="111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E164" s="111"/>
    </row>
    <row r="165" spans="1:31" x14ac:dyDescent="0.2">
      <c r="A165" s="111"/>
      <c r="B165" s="112"/>
      <c r="C165" s="112"/>
      <c r="D165" s="112"/>
      <c r="E165" s="112"/>
      <c r="F165" s="112"/>
      <c r="H165" s="111"/>
      <c r="I165" s="112"/>
      <c r="J165" s="112"/>
      <c r="K165" s="112"/>
      <c r="L165" s="112"/>
      <c r="O165" s="111"/>
      <c r="Q165" s="111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E165" s="111"/>
    </row>
    <row r="167" spans="1:31" ht="13.5" thickBot="1" x14ac:dyDescent="0.25">
      <c r="A167" s="120"/>
      <c r="B167" s="121"/>
      <c r="C167" s="121"/>
      <c r="D167" s="121"/>
      <c r="E167" s="121"/>
      <c r="F167" s="121"/>
      <c r="G167" s="121"/>
      <c r="H167" s="120"/>
      <c r="I167" s="121"/>
      <c r="J167" s="121"/>
      <c r="K167" s="121"/>
      <c r="L167" s="121"/>
      <c r="M167" s="121"/>
      <c r="N167" s="121"/>
      <c r="O167" s="121"/>
      <c r="P167" s="121"/>
      <c r="Q167" s="120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</row>
    <row r="168" spans="1:31" ht="13.5" thickTop="1" x14ac:dyDescent="0.2"/>
    <row r="173" spans="1:31" x14ac:dyDescent="0.2">
      <c r="H173" s="108"/>
    </row>
    <row r="174" spans="1:31" x14ac:dyDescent="0.2">
      <c r="H174" s="108"/>
    </row>
    <row r="176" spans="1:31" x14ac:dyDescent="0.2">
      <c r="A176" s="112"/>
      <c r="B176" s="112"/>
      <c r="C176" s="112"/>
      <c r="D176" s="112"/>
      <c r="E176" s="112"/>
      <c r="F176" s="112"/>
      <c r="G176" s="111"/>
      <c r="H176" s="112"/>
      <c r="I176" s="112"/>
      <c r="J176" s="112"/>
      <c r="K176" s="112"/>
      <c r="L176" s="112"/>
      <c r="M176" s="112"/>
      <c r="N176" s="111"/>
      <c r="O176" s="111"/>
    </row>
    <row r="177" spans="1:15" x14ac:dyDescent="0.2">
      <c r="A177" s="112"/>
      <c r="B177" s="112"/>
      <c r="C177" s="112"/>
      <c r="D177" s="112"/>
      <c r="E177" s="112"/>
      <c r="F177" s="112"/>
      <c r="G177" s="111"/>
      <c r="H177" s="112"/>
      <c r="I177" s="112"/>
      <c r="J177" s="112"/>
      <c r="K177" s="112"/>
      <c r="L177" s="112"/>
      <c r="M177" s="112"/>
      <c r="N177" s="111"/>
      <c r="O177" s="111"/>
    </row>
    <row r="178" spans="1:15" x14ac:dyDescent="0.2">
      <c r="A178" s="112"/>
      <c r="B178" s="112"/>
      <c r="C178" s="112"/>
      <c r="D178" s="112"/>
      <c r="E178" s="112"/>
      <c r="F178" s="112"/>
      <c r="G178" s="111"/>
      <c r="H178" s="112"/>
      <c r="I178" s="112"/>
      <c r="J178" s="112"/>
      <c r="K178" s="112"/>
      <c r="L178" s="112"/>
      <c r="M178" s="112"/>
      <c r="N178" s="111"/>
      <c r="O178" s="111"/>
    </row>
    <row r="179" spans="1:15" x14ac:dyDescent="0.2">
      <c r="A179" s="112"/>
      <c r="B179" s="112"/>
      <c r="C179" s="112"/>
      <c r="D179" s="112"/>
      <c r="E179" s="112"/>
      <c r="F179" s="112"/>
      <c r="G179" s="111"/>
      <c r="H179" s="112"/>
      <c r="I179" s="112"/>
      <c r="J179" s="112"/>
      <c r="K179" s="112"/>
      <c r="L179" s="112"/>
      <c r="M179" s="112"/>
      <c r="N179" s="111"/>
      <c r="O179" s="111"/>
    </row>
    <row r="180" spans="1:15" x14ac:dyDescent="0.2">
      <c r="A180" s="112"/>
      <c r="B180" s="112"/>
      <c r="C180" s="112"/>
      <c r="D180" s="112"/>
      <c r="E180" s="112"/>
      <c r="F180" s="112"/>
      <c r="G180" s="111"/>
      <c r="H180" s="112"/>
      <c r="I180" s="112"/>
      <c r="J180" s="112"/>
      <c r="K180" s="112"/>
      <c r="L180" s="112"/>
      <c r="M180" s="112"/>
      <c r="N180" s="111"/>
      <c r="O180" s="111"/>
    </row>
    <row r="181" spans="1:15" x14ac:dyDescent="0.2">
      <c r="A181" s="112"/>
      <c r="B181" s="112"/>
      <c r="C181" s="112"/>
      <c r="D181" s="112"/>
      <c r="E181" s="112"/>
      <c r="F181" s="112"/>
      <c r="G181" s="111"/>
      <c r="H181" s="112"/>
      <c r="I181" s="112"/>
      <c r="J181" s="112"/>
      <c r="K181" s="112"/>
      <c r="L181" s="112"/>
      <c r="M181" s="112"/>
      <c r="N181" s="111"/>
      <c r="O181" s="111"/>
    </row>
    <row r="182" spans="1:15" x14ac:dyDescent="0.2">
      <c r="A182" s="112"/>
      <c r="B182" s="112"/>
      <c r="C182" s="112"/>
      <c r="D182" s="112"/>
      <c r="E182" s="112"/>
      <c r="F182" s="112"/>
      <c r="G182" s="111"/>
      <c r="H182" s="112"/>
      <c r="I182" s="112"/>
      <c r="J182" s="112"/>
      <c r="K182" s="112"/>
      <c r="L182" s="112"/>
      <c r="M182" s="112"/>
      <c r="N182" s="111"/>
      <c r="O182" s="111"/>
    </row>
    <row r="183" spans="1:15" x14ac:dyDescent="0.2">
      <c r="A183" s="112"/>
      <c r="B183" s="112"/>
      <c r="C183" s="112"/>
      <c r="D183" s="112"/>
      <c r="E183" s="112"/>
      <c r="F183" s="112"/>
      <c r="G183" s="111"/>
      <c r="H183" s="112"/>
      <c r="I183" s="112"/>
      <c r="J183" s="112"/>
      <c r="K183" s="112"/>
      <c r="L183" s="112"/>
      <c r="M183" s="112"/>
      <c r="N183" s="111"/>
      <c r="O183" s="111"/>
    </row>
    <row r="184" spans="1:15" x14ac:dyDescent="0.2">
      <c r="A184" s="112"/>
      <c r="B184" s="112"/>
      <c r="C184" s="112"/>
      <c r="D184" s="112"/>
      <c r="E184" s="112"/>
      <c r="F184" s="112"/>
      <c r="G184" s="111"/>
      <c r="H184" s="112"/>
      <c r="I184" s="112"/>
      <c r="J184" s="112"/>
      <c r="K184" s="112"/>
      <c r="L184" s="112"/>
      <c r="M184" s="112"/>
      <c r="N184" s="111"/>
      <c r="O184" s="111"/>
    </row>
    <row r="185" spans="1:15" x14ac:dyDescent="0.2">
      <c r="A185" s="112"/>
      <c r="B185" s="112"/>
      <c r="C185" s="112"/>
      <c r="D185" s="112"/>
      <c r="E185" s="112"/>
      <c r="F185" s="112"/>
      <c r="G185" s="111"/>
      <c r="H185" s="112"/>
      <c r="I185" s="112"/>
      <c r="J185" s="112"/>
      <c r="K185" s="112"/>
      <c r="L185" s="112"/>
      <c r="M185" s="112"/>
      <c r="N185" s="111"/>
      <c r="O185" s="111"/>
    </row>
    <row r="186" spans="1:15" x14ac:dyDescent="0.2">
      <c r="A186" s="112"/>
      <c r="B186" s="112"/>
      <c r="C186" s="112"/>
      <c r="D186" s="112"/>
      <c r="E186" s="112"/>
      <c r="F186" s="112"/>
      <c r="G186" s="111"/>
      <c r="H186" s="112"/>
      <c r="I186" s="112"/>
      <c r="J186" s="112"/>
      <c r="K186" s="112"/>
      <c r="L186" s="112"/>
      <c r="M186" s="112"/>
      <c r="N186" s="111"/>
      <c r="O186" s="111"/>
    </row>
    <row r="187" spans="1:15" x14ac:dyDescent="0.2">
      <c r="A187" s="112"/>
      <c r="B187" s="112"/>
      <c r="C187" s="112"/>
      <c r="D187" s="112"/>
      <c r="E187" s="112"/>
      <c r="F187" s="112"/>
      <c r="G187" s="111"/>
      <c r="H187" s="112"/>
      <c r="I187" s="112"/>
      <c r="J187" s="112"/>
      <c r="K187" s="112"/>
      <c r="L187" s="112"/>
      <c r="M187" s="112"/>
      <c r="N187" s="111"/>
      <c r="O187" s="111"/>
    </row>
    <row r="188" spans="1:15" x14ac:dyDescent="0.2">
      <c r="A188" s="112"/>
      <c r="B188" s="112"/>
      <c r="C188" s="112"/>
      <c r="D188" s="112"/>
      <c r="E188" s="112"/>
      <c r="F188" s="112"/>
      <c r="G188" s="111"/>
      <c r="N188" s="111"/>
    </row>
    <row r="189" spans="1:15" x14ac:dyDescent="0.2">
      <c r="G189" s="112"/>
      <c r="N189" s="112"/>
    </row>
  </sheetData>
  <sheetCalcPr fullCalcOnLoad="1"/>
  <mergeCells count="7">
    <mergeCell ref="D20:H20"/>
    <mergeCell ref="M20:Q20"/>
    <mergeCell ref="B1:Q1"/>
    <mergeCell ref="B2:Q2"/>
    <mergeCell ref="B3:Q3"/>
    <mergeCell ref="D5:H5"/>
    <mergeCell ref="M5:Q5"/>
  </mergeCells>
  <phoneticPr fontId="0" type="noConversion"/>
  <printOptions horizontalCentered="1"/>
  <pageMargins left="0.75" right="0.75" top="1" bottom="1" header="0.5" footer="0.5"/>
  <pageSetup scale="8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64"/>
  <sheetViews>
    <sheetView tabSelected="1" topLeftCell="A3" zoomScaleNormal="100" workbookViewId="0">
      <selection activeCell="B12" sqref="B12"/>
    </sheetView>
  </sheetViews>
  <sheetFormatPr defaultRowHeight="11.25" x14ac:dyDescent="0.2"/>
  <cols>
    <col min="1" max="1" width="24.5703125" style="32" bestFit="1" customWidth="1"/>
    <col min="2" max="2" width="9" style="32" customWidth="1"/>
    <col min="3" max="3" width="1.5703125" style="32" customWidth="1"/>
    <col min="4" max="4" width="9" style="32" customWidth="1"/>
    <col min="5" max="5" width="1.5703125" style="32" customWidth="1"/>
    <col min="6" max="6" width="9" style="32" customWidth="1"/>
    <col min="7" max="7" width="1.5703125" style="32" customWidth="1"/>
    <col min="8" max="8" width="9" style="32" customWidth="1"/>
    <col min="9" max="9" width="1.85546875" style="32" customWidth="1"/>
    <col min="10" max="10" width="9" style="32" customWidth="1"/>
    <col min="11" max="11" width="1.42578125" style="32" customWidth="1"/>
    <col min="12" max="12" width="9" style="32" customWidth="1"/>
    <col min="13" max="13" width="1.5703125" style="32" customWidth="1"/>
    <col min="14" max="14" width="25.7109375" style="32" customWidth="1"/>
    <col min="15" max="15" width="8.7109375" style="32" customWidth="1"/>
    <col min="16" max="16" width="1.5703125" style="32" customWidth="1"/>
    <col min="17" max="17" width="8.7109375" style="32" customWidth="1"/>
    <col min="18" max="18" width="1.5703125" style="32" customWidth="1"/>
    <col min="19" max="19" width="8.7109375" style="32" customWidth="1"/>
    <col min="20" max="20" width="1.5703125" style="32" customWidth="1"/>
    <col min="21" max="21" width="8.7109375" style="32" customWidth="1"/>
    <col min="22" max="22" width="1.5703125" style="32" customWidth="1"/>
    <col min="23" max="23" width="8.7109375" style="32" customWidth="1"/>
    <col min="24" max="24" width="1.5703125" style="32" customWidth="1"/>
    <col min="25" max="25" width="8.7109375" style="32" customWidth="1"/>
    <col min="26" max="26" width="1.5703125" style="32" customWidth="1"/>
    <col min="27" max="27" width="8.7109375" style="32" customWidth="1"/>
    <col min="28" max="28" width="1.5703125" style="32" customWidth="1"/>
    <col min="29" max="29" width="8.7109375" style="32" customWidth="1"/>
    <col min="30" max="30" width="1.5703125" style="32" customWidth="1"/>
    <col min="31" max="31" width="8.7109375" style="32" customWidth="1"/>
    <col min="32" max="32" width="1.5703125" style="32" customWidth="1"/>
    <col min="33" max="33" width="8.7109375" style="32" customWidth="1"/>
    <col min="34" max="34" width="1.5703125" style="32" customWidth="1"/>
    <col min="35" max="35" width="8.7109375" style="32" customWidth="1"/>
    <col min="36" max="36" width="1.5703125" style="32" customWidth="1"/>
    <col min="37" max="37" width="8.7109375" style="32" customWidth="1"/>
    <col min="38" max="38" width="1.5703125" style="32" customWidth="1"/>
    <col min="39" max="39" width="8.7109375" style="32" customWidth="1"/>
    <col min="40" max="40" width="1.5703125" style="32" customWidth="1"/>
    <col min="41" max="41" width="8.7109375" style="32" customWidth="1"/>
    <col min="42" max="42" width="1.85546875" style="32" customWidth="1"/>
    <col min="43" max="43" width="9.140625" style="32"/>
    <col min="44" max="44" width="1.7109375" style="32" customWidth="1"/>
    <col min="45" max="16384" width="9.140625" style="32"/>
  </cols>
  <sheetData>
    <row r="1" spans="1:43" ht="12" hidden="1" customHeight="1" x14ac:dyDescent="0.2">
      <c r="A1" s="32" t="s">
        <v>18</v>
      </c>
      <c r="B1" s="32" t="str">
        <f>'Monthly Detail'!G2</f>
        <v>ENW-Energy Ops Texas</v>
      </c>
    </row>
    <row r="2" spans="1:43" hidden="1" x14ac:dyDescent="0.2">
      <c r="A2" s="32" t="s">
        <v>19</v>
      </c>
      <c r="B2" s="32" t="str">
        <f>'Monthly Detail'!F2</f>
        <v>103832</v>
      </c>
    </row>
    <row r="3" spans="1:43" ht="15.75" x14ac:dyDescent="0.25">
      <c r="A3" s="270" t="s">
        <v>160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N3" s="270" t="s">
        <v>160</v>
      </c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</row>
    <row r="4" spans="1:43" ht="15.75" x14ac:dyDescent="0.25">
      <c r="A4" s="270" t="s">
        <v>156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0" t="s">
        <v>156</v>
      </c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</row>
    <row r="5" spans="1:43" ht="15.75" x14ac:dyDescent="0.25">
      <c r="A5" s="270" t="str">
        <f>CONCATENATE(B1," ","(",B2,")")</f>
        <v>ENW-Energy Ops Texas (103832)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0" t="str">
        <f>CONCATENATE(B1," ","(",B2,")")</f>
        <v>ENW-Energy Ops Texas (103832)</v>
      </c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</row>
    <row r="6" spans="1:43" ht="15.75" x14ac:dyDescent="0.25">
      <c r="A6" s="271" t="str">
        <f>CHOOSE(Month,"January","February","March","April","May","June","July","August","September","October","November","December")&amp;" 2001YTD Actual vs Plan"</f>
        <v>June 2001YTD Actual vs Plan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N6" s="270" t="str">
        <f>CHOOSE(Month,"January","February","March","April","May","June","July","August","September","October","November","December")&amp;" 2001YTD Actual vs Plan"</f>
        <v>June 2001YTD Actual vs Plan</v>
      </c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</row>
    <row r="8" spans="1:43" ht="12" customHeight="1" x14ac:dyDescent="0.2">
      <c r="B8" s="217" t="str">
        <f>'Monthly Detail'!$C$2 &amp; "-" &amp;'Monthly Detail'!$B$2</f>
        <v>Jun-01</v>
      </c>
      <c r="C8" s="218"/>
      <c r="D8" s="217" t="str">
        <f>'Monthly Detail'!$C$2 &amp; "-" &amp;'Monthly Detail'!$B$2</f>
        <v>Jun-01</v>
      </c>
      <c r="E8" s="33"/>
      <c r="F8" s="34" t="s">
        <v>3</v>
      </c>
      <c r="G8" s="34"/>
      <c r="H8" s="217" t="str">
        <f>'Monthly Detail'!$C$2 &amp; "-" &amp;'Monthly Detail'!$B$2</f>
        <v>Jun-01</v>
      </c>
      <c r="I8" s="217"/>
      <c r="J8" s="217" t="str">
        <f>'Monthly Detail'!$C$2 &amp; "-" &amp;'Monthly Detail'!$B$2</f>
        <v>Jun-01</v>
      </c>
      <c r="K8" s="33"/>
      <c r="L8" s="35" t="s">
        <v>4</v>
      </c>
      <c r="O8" s="33" t="str">
        <f>"Jan-" &amp;'Monthly Detail'!$B$2</f>
        <v>Jan-01</v>
      </c>
      <c r="P8" s="36"/>
      <c r="Q8" s="33" t="str">
        <f>"Feb-" &amp;'Monthly Detail'!$B$2</f>
        <v>Feb-01</v>
      </c>
      <c r="R8" s="36"/>
      <c r="S8" s="33" t="str">
        <f>"Mar-" &amp;'Monthly Detail'!$B$2</f>
        <v>Mar-01</v>
      </c>
      <c r="T8" s="36"/>
      <c r="U8" s="33" t="str">
        <f>"Apr-" &amp;'Monthly Detail'!$B$2</f>
        <v>Apr-01</v>
      </c>
      <c r="V8" s="36"/>
      <c r="W8" s="33" t="str">
        <f>"May-" &amp;'Monthly Detail'!$B$2</f>
        <v>May-01</v>
      </c>
      <c r="X8" s="36"/>
      <c r="Y8" s="33" t="str">
        <f>"Jun-" &amp;'Monthly Detail'!$B$2</f>
        <v>Jun-01</v>
      </c>
      <c r="Z8" s="36"/>
      <c r="AA8" s="33" t="str">
        <f>"Jul-" &amp;'Monthly Detail'!$B$2</f>
        <v>Jul-01</v>
      </c>
      <c r="AB8" s="36"/>
      <c r="AC8" s="33" t="str">
        <f>"Aug-" &amp;'Monthly Detail'!$B$2</f>
        <v>Aug-01</v>
      </c>
      <c r="AD8" s="36"/>
      <c r="AE8" s="33" t="str">
        <f>"Sep-" &amp;'Monthly Detail'!$B$2</f>
        <v>Sep-01</v>
      </c>
      <c r="AF8" s="36"/>
      <c r="AG8" s="33" t="str">
        <f>"Oct-" &amp;'Monthly Detail'!$B$2</f>
        <v>Oct-01</v>
      </c>
      <c r="AH8" s="36"/>
      <c r="AI8" s="33" t="str">
        <f>"Nov-" &amp;'Monthly Detail'!$B$2</f>
        <v>Nov-01</v>
      </c>
      <c r="AJ8" s="36"/>
      <c r="AK8" s="33" t="str">
        <f>"Dec-" &amp;'Monthly Detail'!$B$2</f>
        <v>Dec-01</v>
      </c>
      <c r="AL8" s="36"/>
      <c r="AM8" s="50" t="s">
        <v>20</v>
      </c>
      <c r="AO8" s="47" t="s">
        <v>20</v>
      </c>
      <c r="AQ8" s="47" t="s">
        <v>20</v>
      </c>
    </row>
    <row r="9" spans="1:43" ht="12" customHeight="1" x14ac:dyDescent="0.2">
      <c r="B9" s="37" t="s">
        <v>5</v>
      </c>
      <c r="C9" s="36"/>
      <c r="D9" s="37" t="s">
        <v>6</v>
      </c>
      <c r="E9" s="36"/>
      <c r="F9" s="37" t="s">
        <v>7</v>
      </c>
      <c r="G9" s="36"/>
      <c r="H9" s="37" t="s">
        <v>8</v>
      </c>
      <c r="I9" s="36"/>
      <c r="J9" s="37" t="s">
        <v>9</v>
      </c>
      <c r="K9" s="36"/>
      <c r="L9" s="37" t="s">
        <v>7</v>
      </c>
      <c r="N9" s="38"/>
      <c r="O9" s="39" t="str">
        <f>IF(VALUE('Monthly Detail'!$D$2)&lt;1,"Plan","Actual")</f>
        <v>Actual</v>
      </c>
      <c r="P9" s="40"/>
      <c r="Q9" s="39" t="str">
        <f>IF(VALUE('Monthly Detail'!$D$2)&lt;2,"Plan","Actual")</f>
        <v>Actual</v>
      </c>
      <c r="R9" s="40"/>
      <c r="S9" s="39" t="str">
        <f>IF(VALUE('Monthly Detail'!$D$2)&lt;3,"Plan","Actual")</f>
        <v>Actual</v>
      </c>
      <c r="T9" s="40"/>
      <c r="U9" s="39" t="str">
        <f>IF(VALUE('Monthly Detail'!$D$2)&lt;4,"Plan","Actual")</f>
        <v>Actual</v>
      </c>
      <c r="V9" s="40"/>
      <c r="W9" s="39" t="str">
        <f>IF(VALUE('Monthly Detail'!$D$2)&lt;5,"Plan","Actual")</f>
        <v>Actual</v>
      </c>
      <c r="X9" s="40"/>
      <c r="Y9" s="39" t="str">
        <f>IF(VALUE('Monthly Detail'!$D$2)&lt;6,"Plan","Actual")</f>
        <v>Actual</v>
      </c>
      <c r="Z9" s="40"/>
      <c r="AA9" s="39" t="str">
        <f>IF(VALUE('Monthly Detail'!$D$2)&lt;7,"Plan","Actual")</f>
        <v>Plan</v>
      </c>
      <c r="AB9" s="40"/>
      <c r="AC9" s="39" t="str">
        <f>IF(VALUE('Monthly Detail'!$D$2)&lt;8,"Plan","Actual")</f>
        <v>Plan</v>
      </c>
      <c r="AD9" s="40"/>
      <c r="AE9" s="39" t="str">
        <f>IF(VALUE('Monthly Detail'!$D$2)&lt;9,"Plan","Actual")</f>
        <v>Plan</v>
      </c>
      <c r="AF9" s="40"/>
      <c r="AG9" s="39" t="str">
        <f>IF(VALUE('Monthly Detail'!$D$2)&lt;10,"Plan","Actual")</f>
        <v>Plan</v>
      </c>
      <c r="AH9" s="40"/>
      <c r="AI9" s="39" t="str">
        <f>IF(VALUE('Monthly Detail'!$D$2)&lt;11,"Plan","Actual")</f>
        <v>Plan</v>
      </c>
      <c r="AJ9" s="40"/>
      <c r="AK9" s="39" t="str">
        <f>IF(VALUE('Monthly Detail'!$D$2)&lt;12,"Plan","Actual")</f>
        <v>Plan</v>
      </c>
      <c r="AL9" s="40"/>
      <c r="AM9" s="51" t="s">
        <v>21</v>
      </c>
      <c r="AO9" s="48" t="s">
        <v>23</v>
      </c>
      <c r="AQ9" s="48" t="s">
        <v>22</v>
      </c>
    </row>
    <row r="10" spans="1:43" ht="12" customHeight="1" x14ac:dyDescent="0.2">
      <c r="B10" s="239"/>
      <c r="C10" s="36"/>
      <c r="D10" s="239"/>
      <c r="E10" s="36"/>
      <c r="F10" s="239"/>
      <c r="G10" s="36"/>
      <c r="H10" s="239"/>
      <c r="I10" s="36"/>
      <c r="J10" s="239"/>
      <c r="K10" s="36"/>
      <c r="L10" s="239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240"/>
      <c r="AO10" s="241"/>
      <c r="AQ10" s="241"/>
    </row>
    <row r="11" spans="1:43" ht="12" customHeight="1" x14ac:dyDescent="0.2">
      <c r="A11" s="41" t="s">
        <v>2</v>
      </c>
      <c r="B11" s="222">
        <v>1</v>
      </c>
      <c r="C11" s="222"/>
      <c r="D11" s="222">
        <f>Headcount!A5</f>
        <v>3</v>
      </c>
      <c r="E11" s="222"/>
      <c r="F11" s="222">
        <f>D11-B11</f>
        <v>2</v>
      </c>
      <c r="G11" s="222"/>
      <c r="H11" s="222"/>
      <c r="I11" s="222"/>
      <c r="J11" s="222"/>
      <c r="K11" s="222"/>
      <c r="L11" s="222">
        <f>J11-H11</f>
        <v>0</v>
      </c>
      <c r="N11" s="41"/>
      <c r="O11" s="222" t="str">
        <f>Headcount!B10</f>
        <v>Energy Operations</v>
      </c>
      <c r="P11" s="222"/>
      <c r="Q11" s="222">
        <f>Headcount!C10</f>
        <v>0</v>
      </c>
      <c r="R11" s="222"/>
      <c r="S11" s="222">
        <f>Headcount!D10</f>
        <v>0</v>
      </c>
      <c r="T11" s="222"/>
      <c r="U11" s="222">
        <f>Headcount!E10</f>
        <v>0</v>
      </c>
      <c r="V11" s="222"/>
      <c r="W11" s="222">
        <f>Headcount!F10</f>
        <v>0</v>
      </c>
      <c r="X11" s="222"/>
      <c r="Y11" s="222">
        <f>Headcount!G10</f>
        <v>0</v>
      </c>
      <c r="Z11" s="222"/>
      <c r="AA11" s="222">
        <f>Headcount!H10</f>
        <v>0</v>
      </c>
      <c r="AB11" s="222"/>
      <c r="AC11" s="222">
        <f>Headcount!I10</f>
        <v>0</v>
      </c>
      <c r="AD11" s="222"/>
      <c r="AE11" s="222">
        <f>Headcount!J10</f>
        <v>0</v>
      </c>
      <c r="AF11" s="222"/>
      <c r="AG11" s="222">
        <f>Headcount!K10</f>
        <v>0</v>
      </c>
      <c r="AH11" s="222"/>
      <c r="AI11" s="222">
        <f>Headcount!L10</f>
        <v>0</v>
      </c>
      <c r="AJ11" s="222"/>
      <c r="AK11" s="222">
        <f>Headcount!M10</f>
        <v>0</v>
      </c>
      <c r="AL11" s="222"/>
      <c r="AM11" s="232">
        <f>+AK11</f>
        <v>0</v>
      </c>
      <c r="AN11" s="222"/>
      <c r="AO11" s="233">
        <f>+D11</f>
        <v>3</v>
      </c>
      <c r="AP11" s="222"/>
      <c r="AQ11" s="233"/>
    </row>
    <row r="12" spans="1:43" ht="12" customHeight="1" x14ac:dyDescent="0.2">
      <c r="A12" s="53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N12" s="41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32"/>
      <c r="AN12" s="222"/>
      <c r="AO12" s="233"/>
      <c r="AP12" s="222"/>
      <c r="AQ12" s="233"/>
    </row>
    <row r="13" spans="1:43" ht="12" customHeight="1" x14ac:dyDescent="0.2">
      <c r="A13" s="41" t="s">
        <v>168</v>
      </c>
      <c r="B13" s="239"/>
      <c r="C13" s="36"/>
      <c r="D13" s="239"/>
      <c r="E13" s="36"/>
      <c r="F13" s="239"/>
      <c r="G13" s="36"/>
      <c r="H13" s="239"/>
      <c r="I13" s="36"/>
      <c r="J13" s="239"/>
      <c r="K13" s="36"/>
      <c r="L13" s="239"/>
      <c r="N13" s="3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240"/>
      <c r="AO13" s="241"/>
      <c r="AQ13" s="241"/>
    </row>
    <row r="14" spans="1:43" ht="12" customHeight="1" x14ac:dyDescent="0.2">
      <c r="B14" s="239"/>
      <c r="C14" s="36"/>
      <c r="D14" s="239"/>
      <c r="E14" s="36"/>
      <c r="F14" s="239"/>
      <c r="G14" s="36"/>
      <c r="H14" s="239"/>
      <c r="I14" s="36"/>
      <c r="J14" s="239"/>
      <c r="K14" s="36"/>
      <c r="L14" s="239"/>
      <c r="N14" s="3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240"/>
      <c r="AO14" s="241"/>
      <c r="AQ14" s="241"/>
    </row>
    <row r="15" spans="1:43" ht="12" customHeight="1" x14ac:dyDescent="0.2">
      <c r="A15" s="41" t="s">
        <v>10</v>
      </c>
      <c r="N15" s="41" t="s">
        <v>10</v>
      </c>
      <c r="AM15" s="52"/>
      <c r="AO15" s="49"/>
      <c r="AQ15" s="49"/>
    </row>
    <row r="16" spans="1:43" ht="12" customHeight="1" x14ac:dyDescent="0.2">
      <c r="A16" s="95" t="s">
        <v>169</v>
      </c>
      <c r="B16" s="222">
        <f>SUMIF('Monthly Detail'!$A:$A,$A16,CHOOSE(Month,JanA,FebA,MarA,AprA,MayA,JunA,JulA,AugA,SepA,OctA,NovA,DecA))</f>
        <v>29568.760000000002</v>
      </c>
      <c r="C16" s="222"/>
      <c r="D16" s="222">
        <f>SUMIF('Monthly Plan'!$A:$A,$A16,CHOOSE(Month,JanP,FebP,MarP,AprP,MayP,JunP,JulP,AugP,SepP,OctP,NovP,DecP))</f>
        <v>17252</v>
      </c>
      <c r="E16" s="222"/>
      <c r="F16" s="222">
        <f t="shared" ref="F16:F35" si="0">D16-B16</f>
        <v>-12316.760000000002</v>
      </c>
      <c r="G16" s="222"/>
      <c r="H16" s="223">
        <f>SUMIF('Monthly Detail'!$A:$A,$A16,AYTD)</f>
        <v>91597.010000000009</v>
      </c>
      <c r="I16" s="222"/>
      <c r="J16" s="222">
        <f>SUMIF('Monthly Plan'!$A:$A,$A16,PYTD)</f>
        <v>102848</v>
      </c>
      <c r="K16" s="222"/>
      <c r="L16" s="222">
        <f>J16-H16</f>
        <v>11250.989999999991</v>
      </c>
      <c r="N16" s="95" t="str">
        <f>A16</f>
        <v>Compensation</v>
      </c>
      <c r="O16" s="222">
        <f>IF(O$9="Actual",SUMIF('Monthly Detail'!$A:$A,$A16,JanA),SUMIF('Monthly Plan'!$A:$A,$A16,JanP))</f>
        <v>13469.14</v>
      </c>
      <c r="P16" s="222"/>
      <c r="Q16" s="222">
        <f>IF(Q$9="Actual",SUMIF('Monthly Detail'!$A:$A,$A16,FebA),SUMIF('Monthly Plan'!$A:$A,$A16,FebP))</f>
        <v>7177.2399999999989</v>
      </c>
      <c r="R16" s="222"/>
      <c r="S16" s="222">
        <f>IF(S$9="Actual",SUMIF('Monthly Detail'!$A:$A,$A16,MarA),SUMIF('Monthly Plan'!$A:$A,$A16,MarP))</f>
        <v>12944.099999999999</v>
      </c>
      <c r="T16" s="222"/>
      <c r="U16" s="222">
        <f>IF(U$9="Actual",SUMIF('Monthly Detail'!$A:$A,$A16,AprA),SUMIF('Monthly Plan'!$A:$A,$A16,AprP))</f>
        <v>16897.349999999999</v>
      </c>
      <c r="V16" s="222"/>
      <c r="W16" s="222">
        <f>IF(W$9="Actual",SUMIF('Monthly Detail'!$A:$A,$A16,MayA),SUMIF('Monthly Plan'!$A:$A,$A16,MayP))</f>
        <v>11540.42</v>
      </c>
      <c r="X16" s="222"/>
      <c r="Y16" s="222">
        <f>IF(Y$9="Actual",SUMIF('Monthly Detail'!$A:$A,$A16,JunA),SUMIF('Monthly Plan'!$A:$A,$A16,JunP))</f>
        <v>29568.760000000002</v>
      </c>
      <c r="Z16" s="222"/>
      <c r="AA16" s="222">
        <f>IF(AA$9="Actual",SUMIF('Monthly Detail'!$A:$A,$A16,JulA),SUMIF('Monthly Plan'!$A:$A,$A16,JulP))</f>
        <v>17252</v>
      </c>
      <c r="AB16" s="222"/>
      <c r="AC16" s="222">
        <f>IF(AC$9="Actual",SUMIF('Monthly Detail'!$A:$A,$A16,AugA),SUMIF('Monthly Plan'!$A:$A,$A16,AugP))</f>
        <v>17252</v>
      </c>
      <c r="AD16" s="222"/>
      <c r="AE16" s="222">
        <f>IF(AE$9="Actual",SUMIF('Monthly Detail'!$A:$A,$A16,SepA),SUMIF('Monthly Plan'!$A:$A,$A16,SepP))</f>
        <v>17252</v>
      </c>
      <c r="AF16" s="222"/>
      <c r="AG16" s="222">
        <f>IF(AG$9="Actual",SUMIF('Monthly Detail'!$A:$A,$A16,OctA),SUMIF('Monthly Plan'!$A:$A,$A16,OctP))</f>
        <v>17252</v>
      </c>
      <c r="AH16" s="222"/>
      <c r="AI16" s="222">
        <f>IF(AI$9="Actual",SUMIF('Monthly Detail'!$A:$A,$A16,NovA),SUMIF('Monthly Plan'!$A:$A,$A16,NovP))</f>
        <v>17252</v>
      </c>
      <c r="AJ16" s="222"/>
      <c r="AK16" s="222">
        <f>IF(AK$9="Actual",SUMIF('Monthly Detail'!$A:$A,$A16,DecA),SUMIF('Monthly Plan'!$A:$A,$A16,DecP))</f>
        <v>17252</v>
      </c>
      <c r="AL16" s="222"/>
      <c r="AM16" s="232">
        <f>SUM(O16:AK16)</f>
        <v>195109.01</v>
      </c>
      <c r="AN16" s="222"/>
      <c r="AO16" s="233">
        <f>SUMIF('Monthly Plan'!$A:$A,$A16,totalplan)</f>
        <v>206360</v>
      </c>
      <c r="AP16" s="222"/>
      <c r="AQ16" s="233"/>
    </row>
    <row r="17" spans="1:43" ht="12" customHeight="1" x14ac:dyDescent="0.2">
      <c r="A17" s="95" t="s">
        <v>203</v>
      </c>
      <c r="B17" s="222">
        <f>SUMIF('Monthly Detail'!$A:$A,$A17,CHOOSE(Month,JanA,FebA,MarA,AprA,MayA,JunA,JulA,AugA,SepA,OctA,NovA,DecA))</f>
        <v>0</v>
      </c>
      <c r="C17" s="222"/>
      <c r="D17" s="222">
        <f>SUMIF('Monthly Plan'!$A:$A,$A17,CHOOSE(Month,JanP,FebP,MarP,AprP,MayP,JunP,JulP,AugP,SepP,OctP,NovP,DecP))</f>
        <v>0</v>
      </c>
      <c r="E17" s="222"/>
      <c r="F17" s="222">
        <f>D17-B17</f>
        <v>0</v>
      </c>
      <c r="G17" s="222"/>
      <c r="H17" s="223">
        <f>SUMIF('Monthly Detail'!$A:$A,$A17,AYTD)</f>
        <v>0</v>
      </c>
      <c r="I17" s="222"/>
      <c r="J17" s="222">
        <f>SUMIF('Monthly Plan'!$A:$A,$A17,PYTD)</f>
        <v>0</v>
      </c>
      <c r="K17" s="222"/>
      <c r="L17" s="222">
        <f>J17-H17</f>
        <v>0</v>
      </c>
      <c r="N17" s="95" t="str">
        <f>A17</f>
        <v>Compensation Settlements</v>
      </c>
      <c r="O17" s="222">
        <f>IF(O$9="Actual",SUMIF('Monthly Detail'!$A:$A,$A17,JanA),SUMIF('Monthly Plan'!$A:$A,$A17,JanP))</f>
        <v>0</v>
      </c>
      <c r="P17" s="222"/>
      <c r="Q17" s="222">
        <f>IF(Q$9="Actual",SUMIF('Monthly Detail'!$A:$A,$A17,FebA),SUMIF('Monthly Plan'!$A:$A,$A17,FebP))</f>
        <v>0</v>
      </c>
      <c r="R17" s="222"/>
      <c r="S17" s="222">
        <f>IF(S$9="Actual",SUMIF('Monthly Detail'!$A:$A,$A17,MarA),SUMIF('Monthly Plan'!$A:$A,$A17,MarP))</f>
        <v>0</v>
      </c>
      <c r="T17" s="222"/>
      <c r="U17" s="222">
        <f>IF(U$9="Actual",SUMIF('Monthly Detail'!$A:$A,$A17,AprA),SUMIF('Monthly Plan'!$A:$A,$A17,AprP))</f>
        <v>0</v>
      </c>
      <c r="V17" s="222"/>
      <c r="W17" s="222">
        <f>IF(W$9="Actual",SUMIF('Monthly Detail'!$A:$A,$A17,MayA),SUMIF('Monthly Plan'!$A:$A,$A17,MayP))</f>
        <v>0</v>
      </c>
      <c r="X17" s="222"/>
      <c r="Y17" s="222">
        <f>IF(Y$9="Actual",SUMIF('Monthly Detail'!$A:$A,$A17,JunA),SUMIF('Monthly Plan'!$A:$A,$A17,JunP))</f>
        <v>0</v>
      </c>
      <c r="Z17" s="222"/>
      <c r="AA17" s="222">
        <f>IF(AA$9="Actual",SUMIF('Monthly Detail'!$A:$A,$A17,JulA),SUMIF('Monthly Plan'!$A:$A,$A17,JulP))</f>
        <v>0</v>
      </c>
      <c r="AB17" s="222"/>
      <c r="AC17" s="222">
        <f>IF(AC$9="Actual",SUMIF('Monthly Detail'!$A:$A,$A17,AugA),SUMIF('Monthly Plan'!$A:$A,$A17,AugP))</f>
        <v>0</v>
      </c>
      <c r="AD17" s="222"/>
      <c r="AE17" s="222">
        <f>IF(AE$9="Actual",SUMIF('Monthly Detail'!$A:$A,$A17,SepA),SUMIF('Monthly Plan'!$A:$A,$A17,SepP))</f>
        <v>0</v>
      </c>
      <c r="AF17" s="222"/>
      <c r="AG17" s="222">
        <f>IF(AG$9="Actual",SUMIF('Monthly Detail'!$A:$A,$A17,OctA),SUMIF('Monthly Plan'!$A:$A,$A17,OctP))</f>
        <v>0</v>
      </c>
      <c r="AH17" s="222"/>
      <c r="AI17" s="222">
        <f>IF(AI$9="Actual",SUMIF('Monthly Detail'!$A:$A,$A17,NovA),SUMIF('Monthly Plan'!$A:$A,$A17,NovP))</f>
        <v>0</v>
      </c>
      <c r="AJ17" s="222"/>
      <c r="AK17" s="222">
        <f>IF(AK$9="Actual",SUMIF('Monthly Detail'!$A:$A,$A17,DecA),SUMIF('Monthly Plan'!$A:$A,$A17,DecP))</f>
        <v>0</v>
      </c>
      <c r="AL17" s="222"/>
      <c r="AM17" s="232">
        <f>SUM(O17:AK17)</f>
        <v>0</v>
      </c>
      <c r="AN17" s="222"/>
      <c r="AO17" s="233">
        <f>SUMIF('Monthly Plan'!$A:$A,$A17,totalplan)</f>
        <v>0</v>
      </c>
      <c r="AP17" s="222"/>
      <c r="AQ17" s="233"/>
    </row>
    <row r="18" spans="1:43" ht="12" customHeight="1" x14ac:dyDescent="0.2">
      <c r="A18" s="95" t="s">
        <v>170</v>
      </c>
      <c r="B18" s="222">
        <f>SUMIF('Monthly Detail'!$A:$A,$A18,CHOOSE(Month,JanA,FebA,MarA,AprA,MayA,JunA,JulA,AugA,SepA,OctA,NovA,DecA))</f>
        <v>2118.64</v>
      </c>
      <c r="C18" s="222"/>
      <c r="D18" s="222">
        <f>SUMIF('Monthly Plan'!$A:$A,$A18,CHOOSE(Month,JanP,FebP,MarP,AprP,MayP,JunP,JulP,AugP,SepP,OctP,NovP,DecP))</f>
        <v>4366</v>
      </c>
      <c r="E18" s="222"/>
      <c r="F18" s="222">
        <f t="shared" si="0"/>
        <v>2247.36</v>
      </c>
      <c r="G18" s="222"/>
      <c r="H18" s="223">
        <f>SUMIF('Monthly Detail'!$A:$A,$A18,AYTD)</f>
        <v>14542.879999999997</v>
      </c>
      <c r="I18" s="222"/>
      <c r="J18" s="222">
        <f>SUMIF('Monthly Plan'!$A:$A,$A18,PYTD)</f>
        <v>26074</v>
      </c>
      <c r="K18" s="222"/>
      <c r="L18" s="222">
        <f t="shared" ref="L18:L35" si="1">J18-H18</f>
        <v>11531.120000000003</v>
      </c>
      <c r="N18" s="95" t="str">
        <f t="shared" ref="N18:N35" si="2">A18</f>
        <v>Benefits and Payroll Taxes</v>
      </c>
      <c r="O18" s="222">
        <f>IF(O$9="Actual",SUMIF('Monthly Detail'!$A:$A,$A18,JanA),SUMIF('Monthly Plan'!$A:$A,$A18,JanP))</f>
        <v>3326.3599999999997</v>
      </c>
      <c r="P18" s="222"/>
      <c r="Q18" s="222">
        <f>IF(Q$9="Actual",SUMIF('Monthly Detail'!$A:$A,$A18,FebA),SUMIF('Monthly Plan'!$A:$A,$A18,FebP))</f>
        <v>9218.0800000000017</v>
      </c>
      <c r="R18" s="222"/>
      <c r="S18" s="222">
        <f>IF(S$9="Actual",SUMIF('Monthly Detail'!$A:$A,$A18,MarA),SUMIF('Monthly Plan'!$A:$A,$A18,MarP))</f>
        <v>-1129.8100000000004</v>
      </c>
      <c r="T18" s="222"/>
      <c r="U18" s="222">
        <f>IF(U$9="Actual",SUMIF('Monthly Detail'!$A:$A,$A18,AprA),SUMIF('Monthly Plan'!$A:$A,$A18,AprP))</f>
        <v>-805.12</v>
      </c>
      <c r="V18" s="222"/>
      <c r="W18" s="222">
        <f>IF(W$9="Actual",SUMIF('Monthly Detail'!$A:$A,$A18,MayA),SUMIF('Monthly Plan'!$A:$A,$A18,MayP))</f>
        <v>1814.73</v>
      </c>
      <c r="X18" s="222"/>
      <c r="Y18" s="222">
        <f>IF(Y$9="Actual",SUMIF('Monthly Detail'!$A:$A,$A18,JunA),SUMIF('Monthly Plan'!$A:$A,$A18,JunP))</f>
        <v>2118.64</v>
      </c>
      <c r="Z18" s="222"/>
      <c r="AA18" s="222">
        <f>IF(AA$9="Actual",SUMIF('Monthly Detail'!$A:$A,$A18,JulA),SUMIF('Monthly Plan'!$A:$A,$A18,JulP))</f>
        <v>4366</v>
      </c>
      <c r="AB18" s="222"/>
      <c r="AC18" s="222">
        <f>IF(AC$9="Actual",SUMIF('Monthly Detail'!$A:$A,$A18,AugA),SUMIF('Monthly Plan'!$A:$A,$A18,AugP))</f>
        <v>4366</v>
      </c>
      <c r="AD18" s="222"/>
      <c r="AE18" s="222">
        <f>IF(AE$9="Actual",SUMIF('Monthly Detail'!$A:$A,$A18,SepA),SUMIF('Monthly Plan'!$A:$A,$A18,SepP))</f>
        <v>4366</v>
      </c>
      <c r="AF18" s="222"/>
      <c r="AG18" s="222">
        <f>IF(AG$9="Actual",SUMIF('Monthly Detail'!$A:$A,$A18,OctA),SUMIF('Monthly Plan'!$A:$A,$A18,OctP))</f>
        <v>4366</v>
      </c>
      <c r="AH18" s="222"/>
      <c r="AI18" s="222">
        <f>IF(AI$9="Actual",SUMIF('Monthly Detail'!$A:$A,$A18,NovA),SUMIF('Monthly Plan'!$A:$A,$A18,NovP))</f>
        <v>4366</v>
      </c>
      <c r="AJ18" s="222"/>
      <c r="AK18" s="222">
        <f>IF(AK$9="Actual",SUMIF('Monthly Detail'!$A:$A,$A18,DecA),SUMIF('Monthly Plan'!$A:$A,$A18,DecP))</f>
        <v>4366</v>
      </c>
      <c r="AL18" s="222"/>
      <c r="AM18" s="232">
        <f t="shared" ref="AM18:AM35" si="3">SUM(O18:AK18)</f>
        <v>40738.879999999997</v>
      </c>
      <c r="AN18" s="222"/>
      <c r="AO18" s="233">
        <f>SUMIF('Monthly Plan'!$A:$A,$A18,totalplan)</f>
        <v>52270</v>
      </c>
      <c r="AP18" s="222"/>
      <c r="AQ18" s="233"/>
    </row>
    <row r="19" spans="1:43" ht="12" customHeight="1" x14ac:dyDescent="0.2">
      <c r="A19" s="95" t="s">
        <v>171</v>
      </c>
      <c r="B19" s="222">
        <f>SUMIF('Monthly Detail'!$A:$A,$A19,CHOOSE(Month,JanA,FebA,MarA,AprA,MayA,JunA,JulA,AugA,SepA,OctA,NovA,DecA))</f>
        <v>0</v>
      </c>
      <c r="C19" s="222"/>
      <c r="D19" s="222">
        <f>SUMIF('Monthly Plan'!$A:$A,$A19,CHOOSE(Month,JanP,FebP,MarP,AprP,MayP,JunP,JulP,AugP,SepP,OctP,NovP,DecP))</f>
        <v>986</v>
      </c>
      <c r="E19" s="222"/>
      <c r="F19" s="222">
        <f t="shared" si="0"/>
        <v>986</v>
      </c>
      <c r="G19" s="222"/>
      <c r="H19" s="223">
        <f>SUMIF('Monthly Detail'!$A:$A,$A19,AYTD)</f>
        <v>2406.08</v>
      </c>
      <c r="I19" s="222"/>
      <c r="J19" s="222">
        <f>SUMIF('Monthly Plan'!$A:$A,$A19,PYTD)</f>
        <v>6316</v>
      </c>
      <c r="K19" s="222"/>
      <c r="L19" s="222">
        <f t="shared" si="1"/>
        <v>3909.92</v>
      </c>
      <c r="N19" s="95" t="str">
        <f t="shared" si="2"/>
        <v>Employee Expenses</v>
      </c>
      <c r="O19" s="222">
        <f>IF(O$9="Actual",SUMIF('Monthly Detail'!$A:$A,$A19,JanA),SUMIF('Monthly Plan'!$A:$A,$A19,JanP))</f>
        <v>1881.08</v>
      </c>
      <c r="P19" s="222"/>
      <c r="Q19" s="222">
        <f>IF(Q$9="Actual",SUMIF('Monthly Detail'!$A:$A,$A19,FebA),SUMIF('Monthly Plan'!$A:$A,$A19,FebP))</f>
        <v>-598.47</v>
      </c>
      <c r="R19" s="222"/>
      <c r="S19" s="222">
        <f>IF(S$9="Actual",SUMIF('Monthly Detail'!$A:$A,$A19,MarA),SUMIF('Monthly Plan'!$A:$A,$A19,MarP))</f>
        <v>0</v>
      </c>
      <c r="T19" s="222"/>
      <c r="U19" s="222">
        <f>IF(U$9="Actual",SUMIF('Monthly Detail'!$A:$A,$A19,AprA),SUMIF('Monthly Plan'!$A:$A,$A19,AprP))</f>
        <v>1123.47</v>
      </c>
      <c r="V19" s="222"/>
      <c r="W19" s="222">
        <f>IF(W$9="Actual",SUMIF('Monthly Detail'!$A:$A,$A19,MayA),SUMIF('Monthly Plan'!$A:$A,$A19,MayP))</f>
        <v>0</v>
      </c>
      <c r="X19" s="222"/>
      <c r="Y19" s="222">
        <f>IF(Y$9="Actual",SUMIF('Monthly Detail'!$A:$A,$A19,JunA),SUMIF('Monthly Plan'!$A:$A,$A19,JunP))</f>
        <v>0</v>
      </c>
      <c r="Z19" s="222"/>
      <c r="AA19" s="222">
        <f>IF(AA$9="Actual",SUMIF('Monthly Detail'!$A:$A,$A19,JulA),SUMIF('Monthly Plan'!$A:$A,$A19,JulP))</f>
        <v>1336</v>
      </c>
      <c r="AB19" s="222"/>
      <c r="AC19" s="222">
        <f>IF(AC$9="Actual",SUMIF('Monthly Detail'!$A:$A,$A19,AugA),SUMIF('Monthly Plan'!$A:$A,$A19,AugP))</f>
        <v>536</v>
      </c>
      <c r="AD19" s="222"/>
      <c r="AE19" s="222">
        <f>IF(AE$9="Actual",SUMIF('Monthly Detail'!$A:$A,$A19,SepA),SUMIF('Monthly Plan'!$A:$A,$A19,SepP))</f>
        <v>986</v>
      </c>
      <c r="AF19" s="222"/>
      <c r="AG19" s="222">
        <f>IF(AG$9="Actual",SUMIF('Monthly Detail'!$A:$A,$A19,OctA),SUMIF('Monthly Plan'!$A:$A,$A19,OctP))</f>
        <v>536</v>
      </c>
      <c r="AH19" s="222"/>
      <c r="AI19" s="222">
        <f>IF(AI$9="Actual",SUMIF('Monthly Detail'!$A:$A,$A19,NovA),SUMIF('Monthly Plan'!$A:$A,$A19,NovP))</f>
        <v>536</v>
      </c>
      <c r="AJ19" s="222"/>
      <c r="AK19" s="222">
        <f>IF(AK$9="Actual",SUMIF('Monthly Detail'!$A:$A,$A19,DecA),SUMIF('Monthly Plan'!$A:$A,$A19,DecP))</f>
        <v>986</v>
      </c>
      <c r="AL19" s="222"/>
      <c r="AM19" s="232">
        <f t="shared" si="3"/>
        <v>7322.08</v>
      </c>
      <c r="AN19" s="222"/>
      <c r="AO19" s="233">
        <f>SUMIF('Monthly Plan'!$A:$A,$A19,totalplan)</f>
        <v>11232</v>
      </c>
      <c r="AP19" s="222"/>
      <c r="AQ19" s="233"/>
    </row>
    <row r="20" spans="1:43" ht="12" customHeight="1" x14ac:dyDescent="0.2">
      <c r="A20" s="95" t="s">
        <v>199</v>
      </c>
      <c r="B20" s="222">
        <f>SUMIF('Monthly Detail'!$A:$A,$A20,CHOOSE(Month,JanA,FebA,MarA,AprA,MayA,JunA,JulA,AugA,SepA,OctA,NovA,DecA))</f>
        <v>59.3</v>
      </c>
      <c r="C20" s="222"/>
      <c r="D20" s="222">
        <f>SUMIF('Monthly Plan'!$A:$A,$A20,CHOOSE(Month,JanP,FebP,MarP,AprP,MayP,JunP,JulP,AugP,SepP,OctP,NovP,DecP))</f>
        <v>108</v>
      </c>
      <c r="E20" s="222"/>
      <c r="F20" s="222">
        <f>D20-B20</f>
        <v>48.7</v>
      </c>
      <c r="G20" s="222"/>
      <c r="H20" s="223">
        <f>SUMIF('Monthly Detail'!$A:$A,$A20,AYTD)</f>
        <v>3004.71</v>
      </c>
      <c r="I20" s="222"/>
      <c r="J20" s="222">
        <f>SUMIF('Monthly Plan'!$A:$A,$A20,PYTD)</f>
        <v>648</v>
      </c>
      <c r="K20" s="222"/>
      <c r="L20" s="222">
        <f>J20-H20</f>
        <v>-2356.71</v>
      </c>
      <c r="N20" s="95" t="str">
        <f t="shared" si="2"/>
        <v>Communication Expenses</v>
      </c>
      <c r="O20" s="222">
        <f>IF(O$9="Actual",SUMIF('Monthly Detail'!$A:$A,$A20,JanA),SUMIF('Monthly Plan'!$A:$A,$A20,JanP))</f>
        <v>1910.74</v>
      </c>
      <c r="P20" s="222"/>
      <c r="Q20" s="222">
        <f>IF(Q$9="Actual",SUMIF('Monthly Detail'!$A:$A,$A20,FebA),SUMIF('Monthly Plan'!$A:$A,$A20,FebP))</f>
        <v>174.22</v>
      </c>
      <c r="R20" s="222"/>
      <c r="S20" s="222">
        <f>IF(S$9="Actual",SUMIF('Monthly Detail'!$A:$A,$A20,MarA),SUMIF('Monthly Plan'!$A:$A,$A20,MarP))</f>
        <v>478.65</v>
      </c>
      <c r="T20" s="222"/>
      <c r="U20" s="222">
        <f>IF(U$9="Actual",SUMIF('Monthly Detail'!$A:$A,$A20,AprA),SUMIF('Monthly Plan'!$A:$A,$A20,AprP))</f>
        <v>381.79999999999995</v>
      </c>
      <c r="V20" s="222"/>
      <c r="W20" s="222">
        <f>IF(W$9="Actual",SUMIF('Monthly Detail'!$A:$A,$A20,MayA),SUMIF('Monthly Plan'!$A:$A,$A20,MayP))</f>
        <v>0</v>
      </c>
      <c r="X20" s="222"/>
      <c r="Y20" s="222">
        <f>IF(Y$9="Actual",SUMIF('Monthly Detail'!$A:$A,$A20,JunA),SUMIF('Monthly Plan'!$A:$A,$A20,JunP))</f>
        <v>59.3</v>
      </c>
      <c r="Z20" s="222"/>
      <c r="AA20" s="222">
        <f>IF(AA$9="Actual",SUMIF('Monthly Detail'!$A:$A,$A20,JulA),SUMIF('Monthly Plan'!$A:$A,$A20,JulP))</f>
        <v>108</v>
      </c>
      <c r="AB20" s="222"/>
      <c r="AC20" s="222">
        <f>IF(AC$9="Actual",SUMIF('Monthly Detail'!$A:$A,$A20,AugA),SUMIF('Monthly Plan'!$A:$A,$A20,AugP))</f>
        <v>108</v>
      </c>
      <c r="AD20" s="222"/>
      <c r="AE20" s="222">
        <f>IF(AE$9="Actual",SUMIF('Monthly Detail'!$A:$A,$A20,SepA),SUMIF('Monthly Plan'!$A:$A,$A20,SepP))</f>
        <v>108</v>
      </c>
      <c r="AF20" s="222"/>
      <c r="AG20" s="222">
        <f>IF(AG$9="Actual",SUMIF('Monthly Detail'!$A:$A,$A20,OctA),SUMIF('Monthly Plan'!$A:$A,$A20,OctP))</f>
        <v>108</v>
      </c>
      <c r="AH20" s="222"/>
      <c r="AI20" s="222">
        <f>IF(AI$9="Actual",SUMIF('Monthly Detail'!$A:$A,$A20,NovA),SUMIF('Monthly Plan'!$A:$A,$A20,NovP))</f>
        <v>108</v>
      </c>
      <c r="AJ20" s="222"/>
      <c r="AK20" s="222">
        <f>IF(AK$9="Actual",SUMIF('Monthly Detail'!$A:$A,$A20,DecA),SUMIF('Monthly Plan'!$A:$A,$A20,DecP))</f>
        <v>108</v>
      </c>
      <c r="AL20" s="222"/>
      <c r="AM20" s="232">
        <f>SUM(O20:AK20)</f>
        <v>3652.71</v>
      </c>
      <c r="AN20" s="222"/>
      <c r="AO20" s="233">
        <f>SUMIF('Monthly Plan'!$A:$A,$A20,totalplan)</f>
        <v>1296</v>
      </c>
      <c r="AP20" s="222"/>
      <c r="AQ20" s="233"/>
    </row>
    <row r="21" spans="1:43" ht="12" customHeight="1" x14ac:dyDescent="0.2">
      <c r="A21" s="95" t="s">
        <v>172</v>
      </c>
      <c r="B21" s="222">
        <f>SUMIF('Monthly Detail'!$A:$A,$A21,CHOOSE(Month,JanA,FebA,MarA,AprA,MayA,JunA,JulA,AugA,SepA,OctA,NovA,DecA))</f>
        <v>0</v>
      </c>
      <c r="C21" s="222"/>
      <c r="D21" s="222">
        <f>SUMIF('Monthly Plan'!$A:$A,$A21,CHOOSE(Month,JanP,FebP,MarP,AprP,MayP,JunP,JulP,AugP,SepP,OctP,NovP,DecP))</f>
        <v>0</v>
      </c>
      <c r="E21" s="222"/>
      <c r="F21" s="222">
        <f>D21-B21</f>
        <v>0</v>
      </c>
      <c r="G21" s="222"/>
      <c r="H21" s="223">
        <f>SUMIF('Monthly Detail'!$A:$A,$A21,AYTD)</f>
        <v>0</v>
      </c>
      <c r="I21" s="222"/>
      <c r="J21" s="222">
        <f>SUMIF('Monthly Plan'!$A:$A,$A21,PYTD)</f>
        <v>0</v>
      </c>
      <c r="K21" s="222"/>
      <c r="L21" s="222">
        <f>J21-H21</f>
        <v>0</v>
      </c>
      <c r="N21" s="95" t="str">
        <f t="shared" si="2"/>
        <v>Recruiting</v>
      </c>
      <c r="O21" s="222">
        <f>IF(O$9="Actual",SUMIF('Monthly Detail'!$A:$A,$A21,JanA),SUMIF('Monthly Plan'!$A:$A,$A21,JanP))</f>
        <v>0</v>
      </c>
      <c r="P21" s="222"/>
      <c r="Q21" s="222">
        <f>IF(Q$9="Actual",SUMIF('Monthly Detail'!$A:$A,$A21,FebA),SUMIF('Monthly Plan'!$A:$A,$A21,FebP))</f>
        <v>0</v>
      </c>
      <c r="R21" s="222"/>
      <c r="S21" s="222">
        <f>IF(S$9="Actual",SUMIF('Monthly Detail'!$A:$A,$A21,MarA),SUMIF('Monthly Plan'!$A:$A,$A21,MarP))</f>
        <v>0</v>
      </c>
      <c r="T21" s="222"/>
      <c r="U21" s="222">
        <f>IF(U$9="Actual",SUMIF('Monthly Detail'!$A:$A,$A21,AprA),SUMIF('Monthly Plan'!$A:$A,$A21,AprP))</f>
        <v>0</v>
      </c>
      <c r="V21" s="222"/>
      <c r="W21" s="222">
        <f>IF(W$9="Actual",SUMIF('Monthly Detail'!$A:$A,$A21,MayA),SUMIF('Monthly Plan'!$A:$A,$A21,MayP))</f>
        <v>0</v>
      </c>
      <c r="X21" s="222"/>
      <c r="Y21" s="222">
        <f>IF(Y$9="Actual",SUMIF('Monthly Detail'!$A:$A,$A21,JunA),SUMIF('Monthly Plan'!$A:$A,$A21,JunP))</f>
        <v>0</v>
      </c>
      <c r="Z21" s="222"/>
      <c r="AA21" s="222">
        <f>IF(AA$9="Actual",SUMIF('Monthly Detail'!$A:$A,$A21,JulA),SUMIF('Monthly Plan'!$A:$A,$A21,JulP))</f>
        <v>0</v>
      </c>
      <c r="AB21" s="222"/>
      <c r="AC21" s="222">
        <f>IF(AC$9="Actual",SUMIF('Monthly Detail'!$A:$A,$A21,AugA),SUMIF('Monthly Plan'!$A:$A,$A21,AugP))</f>
        <v>0</v>
      </c>
      <c r="AD21" s="222"/>
      <c r="AE21" s="222">
        <f>IF(AE$9="Actual",SUMIF('Monthly Detail'!$A:$A,$A21,SepA),SUMIF('Monthly Plan'!$A:$A,$A21,SepP))</f>
        <v>0</v>
      </c>
      <c r="AF21" s="222"/>
      <c r="AG21" s="222">
        <f>IF(AG$9="Actual",SUMIF('Monthly Detail'!$A:$A,$A21,OctA),SUMIF('Monthly Plan'!$A:$A,$A21,OctP))</f>
        <v>0</v>
      </c>
      <c r="AH21" s="222"/>
      <c r="AI21" s="222">
        <f>IF(AI$9="Actual",SUMIF('Monthly Detail'!$A:$A,$A21,NovA),SUMIF('Monthly Plan'!$A:$A,$A21,NovP))</f>
        <v>0</v>
      </c>
      <c r="AJ21" s="222"/>
      <c r="AK21" s="222">
        <f>IF(AK$9="Actual",SUMIF('Monthly Detail'!$A:$A,$A21,DecA),SUMIF('Monthly Plan'!$A:$A,$A21,DecP))</f>
        <v>0</v>
      </c>
      <c r="AL21" s="222"/>
      <c r="AM21" s="232">
        <f>SUM(O21:AK21)</f>
        <v>0</v>
      </c>
      <c r="AN21" s="222"/>
      <c r="AO21" s="233">
        <f>SUMIF('Monthly Plan'!$A:$A,$A21,totalplan)</f>
        <v>0</v>
      </c>
      <c r="AP21" s="222"/>
      <c r="AQ21" s="233"/>
    </row>
    <row r="22" spans="1:43" ht="12" customHeight="1" x14ac:dyDescent="0.2">
      <c r="A22" s="95" t="s">
        <v>201</v>
      </c>
      <c r="B22" s="222">
        <f>SUMIF('Monthly Detail'!$A:$A,$A22,CHOOSE(Month,JanA,FebA,MarA,AprA,MayA,JunA,JulA,AugA,SepA,OctA,NovA,DecA))</f>
        <v>0</v>
      </c>
      <c r="C22" s="222"/>
      <c r="D22" s="222">
        <f>SUMIF('Monthly Plan'!$A:$A,$A22,CHOOSE(Month,JanP,FebP,MarP,AprP,MayP,JunP,JulP,AugP,SepP,OctP,NovP,DecP))</f>
        <v>0</v>
      </c>
      <c r="E22" s="222"/>
      <c r="F22" s="222">
        <f>D22-B22</f>
        <v>0</v>
      </c>
      <c r="G22" s="222"/>
      <c r="H22" s="223">
        <f>SUMIF('Monthly Detail'!$A:$A,$A22,AYTD)</f>
        <v>0</v>
      </c>
      <c r="I22" s="222"/>
      <c r="J22" s="222">
        <f>SUMIF('Monthly Plan'!$A:$A,$A22,PYTD)</f>
        <v>0</v>
      </c>
      <c r="K22" s="222"/>
      <c r="L22" s="222">
        <f>J22-H22</f>
        <v>0</v>
      </c>
      <c r="N22" s="95" t="str">
        <f t="shared" si="2"/>
        <v>Outside Services - IT</v>
      </c>
      <c r="O22" s="222">
        <f>IF(O$9="Actual",SUMIF('Monthly Detail'!$A:$A,$A22,JanA),SUMIF('Monthly Plan'!$A:$A,$A22,JanP))</f>
        <v>0</v>
      </c>
      <c r="P22" s="222"/>
      <c r="Q22" s="222">
        <f>IF(Q$9="Actual",SUMIF('Monthly Detail'!$A:$A,$A22,FebA),SUMIF('Monthly Plan'!$A:$A,$A22,FebP))</f>
        <v>0</v>
      </c>
      <c r="R22" s="222"/>
      <c r="S22" s="222">
        <f>IF(S$9="Actual",SUMIF('Monthly Detail'!$A:$A,$A22,MarA),SUMIF('Monthly Plan'!$A:$A,$A22,MarP))</f>
        <v>0</v>
      </c>
      <c r="T22" s="222"/>
      <c r="U22" s="222">
        <f>IF(U$9="Actual",SUMIF('Monthly Detail'!$A:$A,$A22,AprA),SUMIF('Monthly Plan'!$A:$A,$A22,AprP))</f>
        <v>0</v>
      </c>
      <c r="V22" s="222"/>
      <c r="W22" s="222">
        <f>IF(W$9="Actual",SUMIF('Monthly Detail'!$A:$A,$A22,MayA),SUMIF('Monthly Plan'!$A:$A,$A22,MayP))</f>
        <v>0</v>
      </c>
      <c r="X22" s="222"/>
      <c r="Y22" s="222">
        <f>IF(Y$9="Actual",SUMIF('Monthly Detail'!$A:$A,$A22,JunA),SUMIF('Monthly Plan'!$A:$A,$A22,JunP))</f>
        <v>0</v>
      </c>
      <c r="Z22" s="222"/>
      <c r="AA22" s="222">
        <f>IF(AA$9="Actual",SUMIF('Monthly Detail'!$A:$A,$A22,JulA),SUMIF('Monthly Plan'!$A:$A,$A22,JulP))</f>
        <v>0</v>
      </c>
      <c r="AB22" s="222"/>
      <c r="AC22" s="222">
        <f>IF(AC$9="Actual",SUMIF('Monthly Detail'!$A:$A,$A22,AugA),SUMIF('Monthly Plan'!$A:$A,$A22,AugP))</f>
        <v>0</v>
      </c>
      <c r="AD22" s="222"/>
      <c r="AE22" s="222">
        <f>IF(AE$9="Actual",SUMIF('Monthly Detail'!$A:$A,$A22,SepA),SUMIF('Monthly Plan'!$A:$A,$A22,SepP))</f>
        <v>0</v>
      </c>
      <c r="AF22" s="222"/>
      <c r="AG22" s="222">
        <f>IF(AG$9="Actual",SUMIF('Monthly Detail'!$A:$A,$A22,OctA),SUMIF('Monthly Plan'!$A:$A,$A22,OctP))</f>
        <v>0</v>
      </c>
      <c r="AH22" s="222"/>
      <c r="AI22" s="222">
        <f>IF(AI$9="Actual",SUMIF('Monthly Detail'!$A:$A,$A22,NovA),SUMIF('Monthly Plan'!$A:$A,$A22,NovP))</f>
        <v>0</v>
      </c>
      <c r="AJ22" s="222"/>
      <c r="AK22" s="222">
        <f>IF(AK$9="Actual",SUMIF('Monthly Detail'!$A:$A,$A22,DecA),SUMIF('Monthly Plan'!$A:$A,$A22,DecP))</f>
        <v>0</v>
      </c>
      <c r="AL22" s="222"/>
      <c r="AM22" s="232">
        <f>SUM(O22:AK22)</f>
        <v>0</v>
      </c>
      <c r="AN22" s="222"/>
      <c r="AO22" s="233">
        <f>SUMIF('Monthly Plan'!$A:$A,$A22,totalplan)</f>
        <v>0</v>
      </c>
      <c r="AP22" s="222"/>
      <c r="AQ22" s="233"/>
    </row>
    <row r="23" spans="1:43" ht="12" customHeight="1" x14ac:dyDescent="0.2">
      <c r="A23" s="95" t="s">
        <v>200</v>
      </c>
      <c r="B23" s="222">
        <f>SUMIF('Monthly Detail'!$A:$A,$A23,CHOOSE(Month,JanA,FebA,MarA,AprA,MayA,JunA,JulA,AugA,SepA,OctA,NovA,DecA))</f>
        <v>0</v>
      </c>
      <c r="C23" s="222"/>
      <c r="D23" s="222">
        <f>SUMIF('Monthly Plan'!$A:$A,$A23,CHOOSE(Month,JanP,FebP,MarP,AprP,MayP,JunP,JulP,AugP,SepP,OctP,NovP,DecP))</f>
        <v>0</v>
      </c>
      <c r="E23" s="222"/>
      <c r="F23" s="222">
        <f t="shared" si="0"/>
        <v>0</v>
      </c>
      <c r="G23" s="222"/>
      <c r="H23" s="223">
        <f>SUMIF('Monthly Detail'!$A:$A,$A23,AYTD)</f>
        <v>5668</v>
      </c>
      <c r="I23" s="222"/>
      <c r="J23" s="222">
        <f>SUMIF('Monthly Plan'!$A:$A,$A23,PYTD)</f>
        <v>0</v>
      </c>
      <c r="K23" s="222"/>
      <c r="L23" s="222">
        <f t="shared" si="1"/>
        <v>-5668</v>
      </c>
      <c r="N23" s="95" t="str">
        <f t="shared" si="2"/>
        <v>Outside Services - Others</v>
      </c>
      <c r="O23" s="222">
        <f>IF(O$9="Actual",SUMIF('Monthly Detail'!$A:$A,$A23,JanA),SUMIF('Monthly Plan'!$A:$A,$A23,JanP))</f>
        <v>0</v>
      </c>
      <c r="P23" s="222"/>
      <c r="Q23" s="222">
        <f>IF(Q$9="Actual",SUMIF('Monthly Detail'!$A:$A,$A23,FebA),SUMIF('Monthly Plan'!$A:$A,$A23,FebP))</f>
        <v>5668</v>
      </c>
      <c r="R23" s="222"/>
      <c r="S23" s="222">
        <f>IF(S$9="Actual",SUMIF('Monthly Detail'!$A:$A,$A23,MarA),SUMIF('Monthly Plan'!$A:$A,$A23,MarP))</f>
        <v>0</v>
      </c>
      <c r="T23" s="222"/>
      <c r="U23" s="222">
        <f>IF(U$9="Actual",SUMIF('Monthly Detail'!$A:$A,$A23,AprA),SUMIF('Monthly Plan'!$A:$A,$A23,AprP))</f>
        <v>0</v>
      </c>
      <c r="V23" s="222"/>
      <c r="W23" s="222">
        <f>IF(W$9="Actual",SUMIF('Monthly Detail'!$A:$A,$A23,MayA),SUMIF('Monthly Plan'!$A:$A,$A23,MayP))</f>
        <v>0</v>
      </c>
      <c r="X23" s="222"/>
      <c r="Y23" s="222">
        <f>IF(Y$9="Actual",SUMIF('Monthly Detail'!$A:$A,$A23,JunA),SUMIF('Monthly Plan'!$A:$A,$A23,JunP))</f>
        <v>0</v>
      </c>
      <c r="Z23" s="222"/>
      <c r="AA23" s="222">
        <f>IF(AA$9="Actual",SUMIF('Monthly Detail'!$A:$A,$A23,JulA),SUMIF('Monthly Plan'!$A:$A,$A23,JulP))</f>
        <v>0</v>
      </c>
      <c r="AB23" s="222"/>
      <c r="AC23" s="222">
        <f>IF(AC$9="Actual",SUMIF('Monthly Detail'!$A:$A,$A23,AugA),SUMIF('Monthly Plan'!$A:$A,$A23,AugP))</f>
        <v>0</v>
      </c>
      <c r="AD23" s="222"/>
      <c r="AE23" s="222">
        <f>IF(AE$9="Actual",SUMIF('Monthly Detail'!$A:$A,$A23,SepA),SUMIF('Monthly Plan'!$A:$A,$A23,SepP))</f>
        <v>0</v>
      </c>
      <c r="AF23" s="222"/>
      <c r="AG23" s="222">
        <f>IF(AG$9="Actual",SUMIF('Monthly Detail'!$A:$A,$A23,OctA),SUMIF('Monthly Plan'!$A:$A,$A23,OctP))</f>
        <v>0</v>
      </c>
      <c r="AH23" s="222"/>
      <c r="AI23" s="222">
        <f>IF(AI$9="Actual",SUMIF('Monthly Detail'!$A:$A,$A23,NovA),SUMIF('Monthly Plan'!$A:$A,$A23,NovP))</f>
        <v>0</v>
      </c>
      <c r="AJ23" s="222"/>
      <c r="AK23" s="222">
        <f>IF(AK$9="Actual",SUMIF('Monthly Detail'!$A:$A,$A23,DecA),SUMIF('Monthly Plan'!$A:$A,$A23,DecP))</f>
        <v>0</v>
      </c>
      <c r="AL23" s="222"/>
      <c r="AM23" s="232">
        <f t="shared" si="3"/>
        <v>5668</v>
      </c>
      <c r="AN23" s="222"/>
      <c r="AO23" s="233">
        <f>SUMIF('Monthly Plan'!$A:$A,$A23,totalplan)</f>
        <v>0</v>
      </c>
      <c r="AP23" s="222"/>
      <c r="AQ23" s="233"/>
    </row>
    <row r="24" spans="1:43" ht="12" customHeight="1" x14ac:dyDescent="0.2">
      <c r="A24" s="95" t="s">
        <v>173</v>
      </c>
      <c r="B24" s="222">
        <f>SUMIF('Monthly Detail'!$A:$A,$A24,CHOOSE(Month,JanA,FebA,MarA,AprA,MayA,JunA,JulA,AugA,SepA,OctA,NovA,DecA))</f>
        <v>44.01</v>
      </c>
      <c r="C24" s="222"/>
      <c r="D24" s="222">
        <f>SUMIF('Monthly Plan'!$A:$A,$A24,CHOOSE(Month,JanP,FebP,MarP,AprP,MayP,JunP,JulP,AugP,SepP,OctP,NovP,DecP))</f>
        <v>276</v>
      </c>
      <c r="E24" s="222"/>
      <c r="F24" s="222">
        <f t="shared" si="0"/>
        <v>231.99</v>
      </c>
      <c r="G24" s="222"/>
      <c r="H24" s="223">
        <f>SUMIF('Monthly Detail'!$A:$A,$A24,AYTD)</f>
        <v>139.57</v>
      </c>
      <c r="I24" s="222"/>
      <c r="J24" s="222">
        <f>SUMIF('Monthly Plan'!$A:$A,$A24,PYTD)</f>
        <v>1656</v>
      </c>
      <c r="K24" s="222"/>
      <c r="L24" s="222">
        <f t="shared" si="1"/>
        <v>1516.43</v>
      </c>
      <c r="N24" s="95" t="str">
        <f t="shared" si="2"/>
        <v>Supplies Expense</v>
      </c>
      <c r="O24" s="222">
        <f>IF(O$9="Actual",SUMIF('Monthly Detail'!$A:$A,$A24,JanA),SUMIF('Monthly Plan'!$A:$A,$A24,JanP))</f>
        <v>39.6</v>
      </c>
      <c r="P24" s="222"/>
      <c r="Q24" s="222">
        <f>IF(Q$9="Actual",SUMIF('Monthly Detail'!$A:$A,$A24,FebA),SUMIF('Monthly Plan'!$A:$A,$A24,FebP))</f>
        <v>0</v>
      </c>
      <c r="R24" s="222"/>
      <c r="S24" s="222">
        <f>IF(S$9="Actual",SUMIF('Monthly Detail'!$A:$A,$A24,MarA),SUMIF('Monthly Plan'!$A:$A,$A24,MarP))</f>
        <v>23.87</v>
      </c>
      <c r="T24" s="222"/>
      <c r="U24" s="222">
        <f>IF(U$9="Actual",SUMIF('Monthly Detail'!$A:$A,$A24,AprA),SUMIF('Monthly Plan'!$A:$A,$A24,AprP))</f>
        <v>32.090000000000003</v>
      </c>
      <c r="V24" s="222"/>
      <c r="W24" s="222">
        <f>IF(W$9="Actual",SUMIF('Monthly Detail'!$A:$A,$A24,MayA),SUMIF('Monthly Plan'!$A:$A,$A24,MayP))</f>
        <v>0</v>
      </c>
      <c r="X24" s="222"/>
      <c r="Y24" s="222">
        <f>IF(Y$9="Actual",SUMIF('Monthly Detail'!$A:$A,$A24,JunA),SUMIF('Monthly Plan'!$A:$A,$A24,JunP))</f>
        <v>44.01</v>
      </c>
      <c r="Z24" s="222"/>
      <c r="AA24" s="222">
        <f>IF(AA$9="Actual",SUMIF('Monthly Detail'!$A:$A,$A24,JulA),SUMIF('Monthly Plan'!$A:$A,$A24,JulP))</f>
        <v>276</v>
      </c>
      <c r="AB24" s="222"/>
      <c r="AC24" s="222">
        <f>IF(AC$9="Actual",SUMIF('Monthly Detail'!$A:$A,$A24,AugA),SUMIF('Monthly Plan'!$A:$A,$A24,AugP))</f>
        <v>276</v>
      </c>
      <c r="AD24" s="222"/>
      <c r="AE24" s="222">
        <f>IF(AE$9="Actual",SUMIF('Monthly Detail'!$A:$A,$A24,SepA),SUMIF('Monthly Plan'!$A:$A,$A24,SepP))</f>
        <v>276</v>
      </c>
      <c r="AF24" s="222"/>
      <c r="AG24" s="222">
        <f>IF(AG$9="Actual",SUMIF('Monthly Detail'!$A:$A,$A24,OctA),SUMIF('Monthly Plan'!$A:$A,$A24,OctP))</f>
        <v>276</v>
      </c>
      <c r="AH24" s="222"/>
      <c r="AI24" s="222">
        <f>IF(AI$9="Actual",SUMIF('Monthly Detail'!$A:$A,$A24,NovA),SUMIF('Monthly Plan'!$A:$A,$A24,NovP))</f>
        <v>276</v>
      </c>
      <c r="AJ24" s="222"/>
      <c r="AK24" s="222">
        <f>IF(AK$9="Actual",SUMIF('Monthly Detail'!$A:$A,$A24,DecA),SUMIF('Monthly Plan'!$A:$A,$A24,DecP))</f>
        <v>246</v>
      </c>
      <c r="AL24" s="222"/>
      <c r="AM24" s="232">
        <f t="shared" si="3"/>
        <v>1765.57</v>
      </c>
      <c r="AN24" s="222"/>
      <c r="AO24" s="233">
        <f>SUMIF('Monthly Plan'!$A:$A,$A24,totalplan)</f>
        <v>3282</v>
      </c>
      <c r="AP24" s="222"/>
      <c r="AQ24" s="233"/>
    </row>
    <row r="25" spans="1:43" ht="12" customHeight="1" x14ac:dyDescent="0.2">
      <c r="A25" s="95" t="s">
        <v>174</v>
      </c>
      <c r="B25" s="222">
        <f>SUMIF('Monthly Detail'!$A:$A,$A25,CHOOSE(Month,JanA,FebA,MarA,AprA,MayA,JunA,JulA,AugA,SepA,OctA,NovA,DecA))</f>
        <v>0</v>
      </c>
      <c r="C25" s="222"/>
      <c r="D25" s="222">
        <f>SUMIF('Monthly Plan'!$A:$A,$A25,CHOOSE(Month,JanP,FebP,MarP,AprP,MayP,JunP,JulP,AugP,SepP,OctP,NovP,DecP))</f>
        <v>0</v>
      </c>
      <c r="E25" s="222"/>
      <c r="F25" s="222">
        <f t="shared" si="0"/>
        <v>0</v>
      </c>
      <c r="G25" s="222"/>
      <c r="H25" s="223">
        <f>SUMIF('Monthly Detail'!$A:$A,$A25,AYTD)</f>
        <v>0</v>
      </c>
      <c r="I25" s="222"/>
      <c r="J25" s="222">
        <f>SUMIF('Monthly Plan'!$A:$A,$A25,PYTD)</f>
        <v>0</v>
      </c>
      <c r="K25" s="222"/>
      <c r="L25" s="222">
        <f t="shared" si="1"/>
        <v>0</v>
      </c>
      <c r="N25" s="95" t="str">
        <f t="shared" si="2"/>
        <v>Marketing</v>
      </c>
      <c r="O25" s="222">
        <f>IF(O$9="Actual",SUMIF('Monthly Detail'!$A:$A,$A25,JanA),SUMIF('Monthly Plan'!$A:$A,$A25,JanP))</f>
        <v>0</v>
      </c>
      <c r="P25" s="222"/>
      <c r="Q25" s="222">
        <f>IF(Q$9="Actual",SUMIF('Monthly Detail'!$A:$A,$A25,FebA),SUMIF('Monthly Plan'!$A:$A,$A25,FebP))</f>
        <v>0</v>
      </c>
      <c r="R25" s="222"/>
      <c r="S25" s="222">
        <f>IF(S$9="Actual",SUMIF('Monthly Detail'!$A:$A,$A25,MarA),SUMIF('Monthly Plan'!$A:$A,$A25,MarP))</f>
        <v>0</v>
      </c>
      <c r="T25" s="222"/>
      <c r="U25" s="222">
        <f>IF(U$9="Actual",SUMIF('Monthly Detail'!$A:$A,$A25,AprA),SUMIF('Monthly Plan'!$A:$A,$A25,AprP))</f>
        <v>0</v>
      </c>
      <c r="V25" s="222"/>
      <c r="W25" s="222">
        <f>IF(W$9="Actual",SUMIF('Monthly Detail'!$A:$A,$A25,MayA),SUMIF('Monthly Plan'!$A:$A,$A25,MayP))</f>
        <v>0</v>
      </c>
      <c r="X25" s="222"/>
      <c r="Y25" s="222">
        <f>IF(Y$9="Actual",SUMIF('Monthly Detail'!$A:$A,$A25,JunA),SUMIF('Monthly Plan'!$A:$A,$A25,JunP))</f>
        <v>0</v>
      </c>
      <c r="Z25" s="222"/>
      <c r="AA25" s="222">
        <f>IF(AA$9="Actual",SUMIF('Monthly Detail'!$A:$A,$A25,JulA),SUMIF('Monthly Plan'!$A:$A,$A25,JulP))</f>
        <v>0</v>
      </c>
      <c r="AB25" s="222"/>
      <c r="AC25" s="222">
        <f>IF(AC$9="Actual",SUMIF('Monthly Detail'!$A:$A,$A25,AugA),SUMIF('Monthly Plan'!$A:$A,$A25,AugP))</f>
        <v>0</v>
      </c>
      <c r="AD25" s="222"/>
      <c r="AE25" s="222">
        <f>IF(AE$9="Actual",SUMIF('Monthly Detail'!$A:$A,$A25,SepA),SUMIF('Monthly Plan'!$A:$A,$A25,SepP))</f>
        <v>0</v>
      </c>
      <c r="AF25" s="222"/>
      <c r="AG25" s="222">
        <f>IF(AG$9="Actual",SUMIF('Monthly Detail'!$A:$A,$A25,OctA),SUMIF('Monthly Plan'!$A:$A,$A25,OctP))</f>
        <v>0</v>
      </c>
      <c r="AH25" s="222"/>
      <c r="AI25" s="222">
        <f>IF(AI$9="Actual",SUMIF('Monthly Detail'!$A:$A,$A25,NovA),SUMIF('Monthly Plan'!$A:$A,$A25,NovP))</f>
        <v>0</v>
      </c>
      <c r="AJ25" s="222"/>
      <c r="AK25" s="222">
        <f>IF(AK$9="Actual",SUMIF('Monthly Detail'!$A:$A,$A25,DecA),SUMIF('Monthly Plan'!$A:$A,$A25,DecP))</f>
        <v>0</v>
      </c>
      <c r="AL25" s="222"/>
      <c r="AM25" s="232">
        <f t="shared" si="3"/>
        <v>0</v>
      </c>
      <c r="AN25" s="222"/>
      <c r="AO25" s="233">
        <f>SUMIF('Monthly Plan'!$A:$A,$A25,totalplan)</f>
        <v>0</v>
      </c>
      <c r="AP25" s="222"/>
      <c r="AQ25" s="233"/>
    </row>
    <row r="26" spans="1:43" ht="12" customHeight="1" x14ac:dyDescent="0.2">
      <c r="A26" s="95" t="s">
        <v>175</v>
      </c>
      <c r="B26" s="222">
        <f>SUMIF('Monthly Detail'!$A:$A,$A26,CHOOSE(Month,JanA,FebA,MarA,AprA,MayA,JunA,JulA,AugA,SepA,OctA,NovA,DecA))</f>
        <v>0</v>
      </c>
      <c r="C26" s="222"/>
      <c r="D26" s="222">
        <f>SUMIF('Monthly Plan'!$A:$A,$A26,CHOOSE(Month,JanP,FebP,MarP,AprP,MayP,JunP,JulP,AugP,SepP,OctP,NovP,DecP))</f>
        <v>0</v>
      </c>
      <c r="E26" s="222"/>
      <c r="F26" s="222">
        <f t="shared" si="0"/>
        <v>0</v>
      </c>
      <c r="G26" s="222"/>
      <c r="H26" s="223">
        <f>SUMIF('Monthly Detail'!$A:$A,$A26,AYTD)</f>
        <v>0</v>
      </c>
      <c r="I26" s="222"/>
      <c r="J26" s="222">
        <f>SUMIF('Monthly Plan'!$A:$A,$A26,PYTD)</f>
        <v>0</v>
      </c>
      <c r="K26" s="222"/>
      <c r="L26" s="222">
        <f t="shared" si="1"/>
        <v>0</v>
      </c>
      <c r="N26" s="95" t="str">
        <f t="shared" si="2"/>
        <v>Charitable Contributions</v>
      </c>
      <c r="O26" s="222">
        <f>IF(O$9="Actual",SUMIF('Monthly Detail'!$A:$A,$A26,JanA),SUMIF('Monthly Plan'!$A:$A,$A26,JanP))</f>
        <v>0</v>
      </c>
      <c r="P26" s="222"/>
      <c r="Q26" s="222">
        <f>IF(Q$9="Actual",SUMIF('Monthly Detail'!$A:$A,$A26,FebA),SUMIF('Monthly Plan'!$A:$A,$A26,FebP))</f>
        <v>0</v>
      </c>
      <c r="R26" s="222"/>
      <c r="S26" s="222">
        <f>IF(S$9="Actual",SUMIF('Monthly Detail'!$A:$A,$A26,MarA),SUMIF('Monthly Plan'!$A:$A,$A26,MarP))</f>
        <v>0</v>
      </c>
      <c r="T26" s="222"/>
      <c r="U26" s="222">
        <f>IF(U$9="Actual",SUMIF('Monthly Detail'!$A:$A,$A26,AprA),SUMIF('Monthly Plan'!$A:$A,$A26,AprP))</f>
        <v>0</v>
      </c>
      <c r="V26" s="222"/>
      <c r="W26" s="222">
        <f>IF(W$9="Actual",SUMIF('Monthly Detail'!$A:$A,$A26,MayA),SUMIF('Monthly Plan'!$A:$A,$A26,MayP))</f>
        <v>0</v>
      </c>
      <c r="X26" s="222"/>
      <c r="Y26" s="222">
        <f>IF(Y$9="Actual",SUMIF('Monthly Detail'!$A:$A,$A26,JunA),SUMIF('Monthly Plan'!$A:$A,$A26,JunP))</f>
        <v>0</v>
      </c>
      <c r="Z26" s="222"/>
      <c r="AA26" s="222">
        <f>IF(AA$9="Actual",SUMIF('Monthly Detail'!$A:$A,$A26,JulA),SUMIF('Monthly Plan'!$A:$A,$A26,JulP))</f>
        <v>0</v>
      </c>
      <c r="AB26" s="222"/>
      <c r="AC26" s="222">
        <f>IF(AC$9="Actual",SUMIF('Monthly Detail'!$A:$A,$A26,AugA),SUMIF('Monthly Plan'!$A:$A,$A26,AugP))</f>
        <v>0</v>
      </c>
      <c r="AD26" s="222"/>
      <c r="AE26" s="222">
        <f>IF(AE$9="Actual",SUMIF('Monthly Detail'!$A:$A,$A26,SepA),SUMIF('Monthly Plan'!$A:$A,$A26,SepP))</f>
        <v>0</v>
      </c>
      <c r="AF26" s="222"/>
      <c r="AG26" s="222">
        <f>IF(AG$9="Actual",SUMIF('Monthly Detail'!$A:$A,$A26,OctA),SUMIF('Monthly Plan'!$A:$A,$A26,OctP))</f>
        <v>0</v>
      </c>
      <c r="AH26" s="222"/>
      <c r="AI26" s="222">
        <f>IF(AI$9="Actual",SUMIF('Monthly Detail'!$A:$A,$A26,NovA),SUMIF('Monthly Plan'!$A:$A,$A26,NovP))</f>
        <v>0</v>
      </c>
      <c r="AJ26" s="222"/>
      <c r="AK26" s="222">
        <f>IF(AK$9="Actual",SUMIF('Monthly Detail'!$A:$A,$A26,DecA),SUMIF('Monthly Plan'!$A:$A,$A26,DecP))</f>
        <v>0</v>
      </c>
      <c r="AL26" s="222"/>
      <c r="AM26" s="232">
        <f t="shared" si="3"/>
        <v>0</v>
      </c>
      <c r="AN26" s="222"/>
      <c r="AO26" s="233">
        <f>SUMIF('Monthly Plan'!$A:$A,$A26,totalplan)</f>
        <v>0</v>
      </c>
      <c r="AP26" s="222"/>
      <c r="AQ26" s="233"/>
    </row>
    <row r="27" spans="1:43" ht="12" customHeight="1" x14ac:dyDescent="0.2">
      <c r="A27" s="95" t="s">
        <v>176</v>
      </c>
      <c r="B27" s="222">
        <f>SUMIF('Monthly Detail'!$A:$A,$A27,CHOOSE(Month,JanA,FebA,MarA,AprA,MayA,JunA,JulA,AugA,SepA,OctA,NovA,DecA))</f>
        <v>0</v>
      </c>
      <c r="C27" s="222"/>
      <c r="D27" s="222">
        <f>SUMIF('Monthly Plan'!$A:$A,$A27,CHOOSE(Month,JanP,FebP,MarP,AprP,MayP,JunP,JulP,AugP,SepP,OctP,NovP,DecP))</f>
        <v>0</v>
      </c>
      <c r="E27" s="222"/>
      <c r="F27" s="222">
        <f t="shared" si="0"/>
        <v>0</v>
      </c>
      <c r="G27" s="222"/>
      <c r="H27" s="223">
        <f>SUMIF('Monthly Detail'!$A:$A,$A27,AYTD)</f>
        <v>0</v>
      </c>
      <c r="I27" s="222"/>
      <c r="J27" s="222">
        <f>SUMIF('Monthly Plan'!$A:$A,$A27,PYTD)</f>
        <v>0</v>
      </c>
      <c r="K27" s="222"/>
      <c r="L27" s="222">
        <f t="shared" si="1"/>
        <v>0</v>
      </c>
      <c r="N27" s="95" t="str">
        <f t="shared" si="2"/>
        <v>Rent (3rd Party)</v>
      </c>
      <c r="O27" s="222">
        <f>IF(O$9="Actual",SUMIF('Monthly Detail'!$A:$A,$A27,JanA),SUMIF('Monthly Plan'!$A:$A,$A27,JanP))</f>
        <v>0</v>
      </c>
      <c r="P27" s="222"/>
      <c r="Q27" s="222">
        <f>IF(Q$9="Actual",SUMIF('Monthly Detail'!$A:$A,$A27,FebA),SUMIF('Monthly Plan'!$A:$A,$A27,FebP))</f>
        <v>0</v>
      </c>
      <c r="R27" s="222"/>
      <c r="S27" s="222">
        <f>IF(S$9="Actual",SUMIF('Monthly Detail'!$A:$A,$A27,MarA),SUMIF('Monthly Plan'!$A:$A,$A27,MarP))</f>
        <v>0</v>
      </c>
      <c r="T27" s="222"/>
      <c r="U27" s="222">
        <f>IF(U$9="Actual",SUMIF('Monthly Detail'!$A:$A,$A27,AprA),SUMIF('Monthly Plan'!$A:$A,$A27,AprP))</f>
        <v>0</v>
      </c>
      <c r="V27" s="222"/>
      <c r="W27" s="222">
        <f>IF(W$9="Actual",SUMIF('Monthly Detail'!$A:$A,$A27,MayA),SUMIF('Monthly Plan'!$A:$A,$A27,MayP))</f>
        <v>0</v>
      </c>
      <c r="X27" s="222"/>
      <c r="Y27" s="222">
        <f>IF(Y$9="Actual",SUMIF('Monthly Detail'!$A:$A,$A27,JunA),SUMIF('Monthly Plan'!$A:$A,$A27,JunP))</f>
        <v>0</v>
      </c>
      <c r="Z27" s="222"/>
      <c r="AA27" s="222">
        <f>IF(AA$9="Actual",SUMIF('Monthly Detail'!$A:$A,$A27,JulA),SUMIF('Monthly Plan'!$A:$A,$A27,JulP))</f>
        <v>0</v>
      </c>
      <c r="AB27" s="222"/>
      <c r="AC27" s="222">
        <f>IF(AC$9="Actual",SUMIF('Monthly Detail'!$A:$A,$A27,AugA),SUMIF('Monthly Plan'!$A:$A,$A27,AugP))</f>
        <v>0</v>
      </c>
      <c r="AD27" s="222"/>
      <c r="AE27" s="222">
        <f>IF(AE$9="Actual",SUMIF('Monthly Detail'!$A:$A,$A27,SepA),SUMIF('Monthly Plan'!$A:$A,$A27,SepP))</f>
        <v>0</v>
      </c>
      <c r="AF27" s="222"/>
      <c r="AG27" s="222">
        <f>IF(AG$9="Actual",SUMIF('Monthly Detail'!$A:$A,$A27,OctA),SUMIF('Monthly Plan'!$A:$A,$A27,OctP))</f>
        <v>0</v>
      </c>
      <c r="AH27" s="222"/>
      <c r="AI27" s="222">
        <f>IF(AI$9="Actual",SUMIF('Monthly Detail'!$A:$A,$A27,NovA),SUMIF('Monthly Plan'!$A:$A,$A27,NovP))</f>
        <v>0</v>
      </c>
      <c r="AJ27" s="222"/>
      <c r="AK27" s="222">
        <f>IF(AK$9="Actual",SUMIF('Monthly Detail'!$A:$A,$A27,DecA),SUMIF('Monthly Plan'!$A:$A,$A27,DecP))</f>
        <v>0</v>
      </c>
      <c r="AL27" s="222"/>
      <c r="AM27" s="232">
        <f t="shared" si="3"/>
        <v>0</v>
      </c>
      <c r="AN27" s="222"/>
      <c r="AO27" s="233">
        <f>SUMIF('Monthly Plan'!$A:$A,$A27,totalplan)</f>
        <v>0</v>
      </c>
      <c r="AP27" s="222"/>
      <c r="AQ27" s="233"/>
    </row>
    <row r="28" spans="1:43" ht="12" customHeight="1" x14ac:dyDescent="0.2">
      <c r="A28" s="95" t="s">
        <v>177</v>
      </c>
      <c r="B28" s="222">
        <f>SUMIF('Monthly Detail'!$A:$A,$A28,CHOOSE(Month,JanA,FebA,MarA,AprA,MayA,JunA,JulA,AugA,SepA,OctA,NovA,DecA))</f>
        <v>0</v>
      </c>
      <c r="C28" s="222"/>
      <c r="D28" s="222">
        <f>SUMIF('Monthly Plan'!$A:$A,$A28,CHOOSE(Month,JanP,FebP,MarP,AprP,MayP,JunP,JulP,AugP,SepP,OctP,NovP,DecP))</f>
        <v>0</v>
      </c>
      <c r="E28" s="222"/>
      <c r="F28" s="222">
        <f t="shared" si="0"/>
        <v>0</v>
      </c>
      <c r="G28" s="222"/>
      <c r="H28" s="223">
        <f>SUMIF('Monthly Detail'!$A:$A,$A28,AYTD)</f>
        <v>0</v>
      </c>
      <c r="I28" s="222"/>
      <c r="J28" s="222">
        <f>SUMIF('Monthly Plan'!$A:$A,$A28,PYTD)</f>
        <v>0</v>
      </c>
      <c r="K28" s="222"/>
      <c r="L28" s="222">
        <f t="shared" si="1"/>
        <v>0</v>
      </c>
      <c r="N28" s="95" t="str">
        <f t="shared" si="2"/>
        <v>Technology</v>
      </c>
      <c r="O28" s="222">
        <f>IF(O$9="Actual",SUMIF('Monthly Detail'!$A:$A,$A28,JanA),SUMIF('Monthly Plan'!$A:$A,$A28,JanP))</f>
        <v>0</v>
      </c>
      <c r="P28" s="222"/>
      <c r="Q28" s="222">
        <f>IF(Q$9="Actual",SUMIF('Monthly Detail'!$A:$A,$A28,FebA),SUMIF('Monthly Plan'!$A:$A,$A28,FebP))</f>
        <v>0</v>
      </c>
      <c r="R28" s="222"/>
      <c r="S28" s="222">
        <f>IF(S$9="Actual",SUMIF('Monthly Detail'!$A:$A,$A28,MarA),SUMIF('Monthly Plan'!$A:$A,$A28,MarP))</f>
        <v>0</v>
      </c>
      <c r="T28" s="222"/>
      <c r="U28" s="222">
        <f>IF(U$9="Actual",SUMIF('Monthly Detail'!$A:$A,$A28,AprA),SUMIF('Monthly Plan'!$A:$A,$A28,AprP))</f>
        <v>0</v>
      </c>
      <c r="V28" s="222"/>
      <c r="W28" s="222">
        <f>IF(W$9="Actual",SUMIF('Monthly Detail'!$A:$A,$A28,MayA),SUMIF('Monthly Plan'!$A:$A,$A28,MayP))</f>
        <v>0</v>
      </c>
      <c r="X28" s="222"/>
      <c r="Y28" s="222">
        <f>IF(Y$9="Actual",SUMIF('Monthly Detail'!$A:$A,$A28,JunA),SUMIF('Monthly Plan'!$A:$A,$A28,JunP))</f>
        <v>0</v>
      </c>
      <c r="Z28" s="222"/>
      <c r="AA28" s="222">
        <f>IF(AA$9="Actual",SUMIF('Monthly Detail'!$A:$A,$A28,JulA),SUMIF('Monthly Plan'!$A:$A,$A28,JulP))</f>
        <v>0</v>
      </c>
      <c r="AB28" s="222"/>
      <c r="AC28" s="222">
        <f>IF(AC$9="Actual",SUMIF('Monthly Detail'!$A:$A,$A28,AugA),SUMIF('Monthly Plan'!$A:$A,$A28,AugP))</f>
        <v>0</v>
      </c>
      <c r="AD28" s="222"/>
      <c r="AE28" s="222">
        <f>IF(AE$9="Actual",SUMIF('Monthly Detail'!$A:$A,$A28,SepA),SUMIF('Monthly Plan'!$A:$A,$A28,SepP))</f>
        <v>0</v>
      </c>
      <c r="AF28" s="222"/>
      <c r="AG28" s="222">
        <f>IF(AG$9="Actual",SUMIF('Monthly Detail'!$A:$A,$A28,OctA),SUMIF('Monthly Plan'!$A:$A,$A28,OctP))</f>
        <v>0</v>
      </c>
      <c r="AH28" s="222"/>
      <c r="AI28" s="222">
        <f>IF(AI$9="Actual",SUMIF('Monthly Detail'!$A:$A,$A28,NovA),SUMIF('Monthly Plan'!$A:$A,$A28,NovP))</f>
        <v>0</v>
      </c>
      <c r="AJ28" s="222"/>
      <c r="AK28" s="222">
        <f>IF(AK$9="Actual",SUMIF('Monthly Detail'!$A:$A,$A28,DecA),SUMIF('Monthly Plan'!$A:$A,$A28,DecP))</f>
        <v>0</v>
      </c>
      <c r="AL28" s="222"/>
      <c r="AM28" s="232">
        <f t="shared" si="3"/>
        <v>0</v>
      </c>
      <c r="AN28" s="222"/>
      <c r="AO28" s="233">
        <f>SUMIF('Monthly Plan'!$A:$A,$A28,totalplan)</f>
        <v>0</v>
      </c>
      <c r="AP28" s="222"/>
      <c r="AQ28" s="233"/>
    </row>
    <row r="29" spans="1:43" ht="12" customHeight="1" x14ac:dyDescent="0.2">
      <c r="A29" s="95" t="s">
        <v>207</v>
      </c>
      <c r="B29" s="222">
        <f>SUMIF('Monthly Detail'!$A:$A,$A29,CHOOSE(Month,JanA,FebA,MarA,AprA,MayA,JunA,JulA,AugA,SepA,OctA,NovA,DecA))</f>
        <v>36.090000000000003</v>
      </c>
      <c r="C29" s="222"/>
      <c r="D29" s="222">
        <f>SUMIF('Monthly Plan'!$A:$A,$A29,CHOOSE(Month,JanP,FebP,MarP,AprP,MayP,JunP,JulP,AugP,SepP,OctP,NovP,DecP))</f>
        <v>870</v>
      </c>
      <c r="E29" s="222"/>
      <c r="F29" s="222">
        <f t="shared" si="0"/>
        <v>833.91</v>
      </c>
      <c r="G29" s="222"/>
      <c r="H29" s="223">
        <f>SUMIF('Monthly Detail'!$A:$A,$A29,AYTD)</f>
        <v>1134.23</v>
      </c>
      <c r="I29" s="222"/>
      <c r="J29" s="222">
        <f>SUMIF('Monthly Plan'!$A:$A,$A29,PYTD)</f>
        <v>5220</v>
      </c>
      <c r="K29" s="222"/>
      <c r="L29" s="222">
        <f t="shared" si="1"/>
        <v>4085.77</v>
      </c>
      <c r="N29" s="95" t="str">
        <f t="shared" si="2"/>
        <v>Comm &amp; Market Data Alloc</v>
      </c>
      <c r="O29" s="222">
        <f>IF(O$9="Actual",SUMIF('Monthly Detail'!$A:$A,$A29,JanA),SUMIF('Monthly Plan'!$A:$A,$A29,JanP))</f>
        <v>0</v>
      </c>
      <c r="P29" s="222"/>
      <c r="Q29" s="222">
        <f>IF(Q$9="Actual",SUMIF('Monthly Detail'!$A:$A,$A29,FebA),SUMIF('Monthly Plan'!$A:$A,$A29,FebP))</f>
        <v>-199.26</v>
      </c>
      <c r="R29" s="222"/>
      <c r="S29" s="222">
        <f>IF(S$9="Actual",SUMIF('Monthly Detail'!$A:$A,$A29,MarA),SUMIF('Monthly Plan'!$A:$A,$A29,MarP))</f>
        <v>4.75</v>
      </c>
      <c r="T29" s="222"/>
      <c r="U29" s="222">
        <f>IF(U$9="Actual",SUMIF('Monthly Detail'!$A:$A,$A29,AprA),SUMIF('Monthly Plan'!$A:$A,$A29,AprP))</f>
        <v>751.67</v>
      </c>
      <c r="V29" s="222"/>
      <c r="W29" s="222">
        <f>IF(W$9="Actual",SUMIF('Monthly Detail'!$A:$A,$A29,MayA),SUMIF('Monthly Plan'!$A:$A,$A29,MayP))</f>
        <v>540.98</v>
      </c>
      <c r="X29" s="222"/>
      <c r="Y29" s="222">
        <f>IF(Y$9="Actual",SUMIF('Monthly Detail'!$A:$A,$A29,JunA),SUMIF('Monthly Plan'!$A:$A,$A29,JunP))</f>
        <v>36.090000000000003</v>
      </c>
      <c r="Z29" s="222"/>
      <c r="AA29" s="222">
        <f>IF(AA$9="Actual",SUMIF('Monthly Detail'!$A:$A,$A29,JulA),SUMIF('Monthly Plan'!$A:$A,$A29,JulP))</f>
        <v>870</v>
      </c>
      <c r="AB29" s="222"/>
      <c r="AC29" s="222">
        <f>IF(AC$9="Actual",SUMIF('Monthly Detail'!$A:$A,$A29,AugA),SUMIF('Monthly Plan'!$A:$A,$A29,AugP))</f>
        <v>870</v>
      </c>
      <c r="AD29" s="222"/>
      <c r="AE29" s="222">
        <f>IF(AE$9="Actual",SUMIF('Monthly Detail'!$A:$A,$A29,SepA),SUMIF('Monthly Plan'!$A:$A,$A29,SepP))</f>
        <v>870</v>
      </c>
      <c r="AF29" s="222"/>
      <c r="AG29" s="222">
        <f>IF(AG$9="Actual",SUMIF('Monthly Detail'!$A:$A,$A29,OctA),SUMIF('Monthly Plan'!$A:$A,$A29,OctP))</f>
        <v>870</v>
      </c>
      <c r="AH29" s="222"/>
      <c r="AI29" s="222">
        <f>IF(AI$9="Actual",SUMIF('Monthly Detail'!$A:$A,$A29,NovA),SUMIF('Monthly Plan'!$A:$A,$A29,NovP))</f>
        <v>870</v>
      </c>
      <c r="AJ29" s="222"/>
      <c r="AK29" s="222">
        <f>IF(AK$9="Actual",SUMIF('Monthly Detail'!$A:$A,$A29,DecA),SUMIF('Monthly Plan'!$A:$A,$A29,DecP))</f>
        <v>870</v>
      </c>
      <c r="AL29" s="222"/>
      <c r="AM29" s="232">
        <f t="shared" si="3"/>
        <v>6354.23</v>
      </c>
      <c r="AN29" s="222"/>
      <c r="AO29" s="233">
        <f>SUMIF('Monthly Plan'!$A:$A,$A29,totalplan)</f>
        <v>10440</v>
      </c>
      <c r="AP29" s="222"/>
      <c r="AQ29" s="233"/>
    </row>
    <row r="30" spans="1:43" ht="12" customHeight="1" x14ac:dyDescent="0.2">
      <c r="A30" s="95" t="s">
        <v>205</v>
      </c>
      <c r="B30" s="222">
        <f>SUMIF('Monthly Detail'!$A:$A,$A30,CHOOSE(Month,JanA,FebA,MarA,AprA,MayA,JunA,JulA,AugA,SepA,OctA,NovA,DecA))</f>
        <v>1299.28</v>
      </c>
      <c r="C30" s="222"/>
      <c r="D30" s="222">
        <f>SUMIF('Monthly Plan'!$A:$A,$A30,CHOOSE(Month,JanP,FebP,MarP,AprP,MayP,JunP,JulP,AugP,SepP,OctP,NovP,DecP))</f>
        <v>1650</v>
      </c>
      <c r="E30" s="222"/>
      <c r="F30" s="222">
        <f t="shared" si="0"/>
        <v>350.72</v>
      </c>
      <c r="G30" s="222"/>
      <c r="H30" s="223">
        <f>SUMIF('Monthly Detail'!$A:$A,$A30,AYTD)</f>
        <v>4661.84</v>
      </c>
      <c r="I30" s="222"/>
      <c r="J30" s="222">
        <f>SUMIF('Monthly Plan'!$A:$A,$A30,PYTD)</f>
        <v>9900</v>
      </c>
      <c r="K30" s="222"/>
      <c r="L30" s="222">
        <f t="shared" si="1"/>
        <v>5238.16</v>
      </c>
      <c r="N30" s="95" t="str">
        <f t="shared" si="2"/>
        <v>EPSC Allocation</v>
      </c>
      <c r="O30" s="222">
        <f>IF(O$9="Actual",SUMIF('Monthly Detail'!$A:$A,$A30,JanA),SUMIF('Monthly Plan'!$A:$A,$A30,JanP))</f>
        <v>210.79000000000002</v>
      </c>
      <c r="P30" s="222"/>
      <c r="Q30" s="222">
        <f>IF(Q$9="Actual",SUMIF('Monthly Detail'!$A:$A,$A30,FebA),SUMIF('Monthly Plan'!$A:$A,$A30,FebP))</f>
        <v>-423.85</v>
      </c>
      <c r="R30" s="222"/>
      <c r="S30" s="222">
        <f>IF(S$9="Actual",SUMIF('Monthly Detail'!$A:$A,$A30,MarA),SUMIF('Monthly Plan'!$A:$A,$A30,MarP))</f>
        <v>386.83</v>
      </c>
      <c r="T30" s="222"/>
      <c r="U30" s="222">
        <f>IF(U$9="Actual",SUMIF('Monthly Detail'!$A:$A,$A30,AprA),SUMIF('Monthly Plan'!$A:$A,$A30,AprP))</f>
        <v>1558.4299999999998</v>
      </c>
      <c r="V30" s="222"/>
      <c r="W30" s="222">
        <f>IF(W$9="Actual",SUMIF('Monthly Detail'!$A:$A,$A30,MayA),SUMIF('Monthly Plan'!$A:$A,$A30,MayP))</f>
        <v>1630.36</v>
      </c>
      <c r="X30" s="222"/>
      <c r="Y30" s="222">
        <f>IF(Y$9="Actual",SUMIF('Monthly Detail'!$A:$A,$A30,JunA),SUMIF('Monthly Plan'!$A:$A,$A30,JunP))</f>
        <v>1299.28</v>
      </c>
      <c r="Z30" s="222"/>
      <c r="AA30" s="222">
        <f>IF(AA$9="Actual",SUMIF('Monthly Detail'!$A:$A,$A30,JulA),SUMIF('Monthly Plan'!$A:$A,$A30,JulP))</f>
        <v>1650</v>
      </c>
      <c r="AB30" s="222"/>
      <c r="AC30" s="222">
        <f>IF(AC$9="Actual",SUMIF('Monthly Detail'!$A:$A,$A30,AugA),SUMIF('Monthly Plan'!$A:$A,$A30,AugP))</f>
        <v>1650</v>
      </c>
      <c r="AD30" s="222"/>
      <c r="AE30" s="222">
        <f>IF(AE$9="Actual",SUMIF('Monthly Detail'!$A:$A,$A30,SepA),SUMIF('Monthly Plan'!$A:$A,$A30,SepP))</f>
        <v>1650</v>
      </c>
      <c r="AF30" s="222"/>
      <c r="AG30" s="222">
        <f>IF(AG$9="Actual",SUMIF('Monthly Detail'!$A:$A,$A30,OctA),SUMIF('Monthly Plan'!$A:$A,$A30,OctP))</f>
        <v>1650</v>
      </c>
      <c r="AH30" s="222"/>
      <c r="AI30" s="222">
        <f>IF(AI$9="Actual",SUMIF('Monthly Detail'!$A:$A,$A30,NovA),SUMIF('Monthly Plan'!$A:$A,$A30,NovP))</f>
        <v>1650</v>
      </c>
      <c r="AJ30" s="222"/>
      <c r="AK30" s="222">
        <f>IF(AK$9="Actual",SUMIF('Monthly Detail'!$A:$A,$A30,DecA),SUMIF('Monthly Plan'!$A:$A,$A30,DecP))</f>
        <v>1650</v>
      </c>
      <c r="AL30" s="222"/>
      <c r="AM30" s="232">
        <f t="shared" si="3"/>
        <v>14561.84</v>
      </c>
      <c r="AN30" s="222"/>
      <c r="AO30" s="233">
        <f>SUMIF('Monthly Plan'!$A:$A,$A30,totalplan)</f>
        <v>19800</v>
      </c>
      <c r="AP30" s="222"/>
      <c r="AQ30" s="233"/>
    </row>
    <row r="31" spans="1:43" ht="12" customHeight="1" x14ac:dyDescent="0.2">
      <c r="A31" s="95" t="s">
        <v>209</v>
      </c>
      <c r="B31" s="222">
        <f>SUMIF('Monthly Detail'!$A:$A,$A31,CHOOSE(Month,JanA,FebA,MarA,AprA,MayA,JunA,JulA,AugA,SepA,OctA,NovA,DecA))</f>
        <v>0</v>
      </c>
      <c r="C31" s="222"/>
      <c r="D31" s="222">
        <f>SUMIF('Monthly Plan'!$A:$A,$A31,CHOOSE(Month,JanP,FebP,MarP,AprP,MayP,JunP,JulP,AugP,SepP,OctP,NovP,DecP))</f>
        <v>0</v>
      </c>
      <c r="E31" s="222"/>
      <c r="F31" s="222">
        <f>D31-B31</f>
        <v>0</v>
      </c>
      <c r="G31" s="222"/>
      <c r="H31" s="223">
        <f>SUMIF('Monthly Detail'!$A:$A,$A31,AYTD)</f>
        <v>0</v>
      </c>
      <c r="I31" s="222"/>
      <c r="J31" s="222">
        <f>SUMIF('Monthly Plan'!$A:$A,$A31,PYTD)</f>
        <v>0</v>
      </c>
      <c r="K31" s="222"/>
      <c r="L31" s="222">
        <f>J31-H31</f>
        <v>0</v>
      </c>
      <c r="N31" s="95" t="str">
        <f>A31</f>
        <v>Management Overview</v>
      </c>
      <c r="O31" s="222">
        <f>IF(O$9="Actual",SUMIF('Monthly Detail'!$A:$A,$A31,JanA),SUMIF('Monthly Plan'!$A:$A,$A31,JanP))</f>
        <v>0</v>
      </c>
      <c r="P31" s="222"/>
      <c r="Q31" s="222">
        <f>IF(Q$9="Actual",SUMIF('Monthly Detail'!$A:$A,$A31,FebA),SUMIF('Monthly Plan'!$A:$A,$A31,FebP))</f>
        <v>0</v>
      </c>
      <c r="R31" s="222"/>
      <c r="S31" s="222">
        <f>IF(S$9="Actual",SUMIF('Monthly Detail'!$A:$A,$A31,MarA),SUMIF('Monthly Plan'!$A:$A,$A31,MarP))</f>
        <v>0</v>
      </c>
      <c r="T31" s="222"/>
      <c r="U31" s="222">
        <f>IF(U$9="Actual",SUMIF('Monthly Detail'!$A:$A,$A31,AprA),SUMIF('Monthly Plan'!$A:$A,$A31,AprP))</f>
        <v>0</v>
      </c>
      <c r="V31" s="222"/>
      <c r="W31" s="222">
        <f>IF(W$9="Actual",SUMIF('Monthly Detail'!$A:$A,$A31,MayA),SUMIF('Monthly Plan'!$A:$A,$A31,MayP))</f>
        <v>0</v>
      </c>
      <c r="X31" s="222"/>
      <c r="Y31" s="222">
        <f>IF(Y$9="Actual",SUMIF('Monthly Detail'!$A:$A,$A31,JunA),SUMIF('Monthly Plan'!$A:$A,$A31,JunP))</f>
        <v>0</v>
      </c>
      <c r="Z31" s="222"/>
      <c r="AA31" s="222">
        <f>IF(AA$9="Actual",SUMIF('Monthly Detail'!$A:$A,$A31,JulA),SUMIF('Monthly Plan'!$A:$A,$A31,JulP))</f>
        <v>0</v>
      </c>
      <c r="AB31" s="222"/>
      <c r="AC31" s="222">
        <f>IF(AC$9="Actual",SUMIF('Monthly Detail'!$A:$A,$A31,AugA),SUMIF('Monthly Plan'!$A:$A,$A31,AugP))</f>
        <v>0</v>
      </c>
      <c r="AD31" s="222"/>
      <c r="AE31" s="222">
        <f>IF(AE$9="Actual",SUMIF('Monthly Detail'!$A:$A,$A31,SepA),SUMIF('Monthly Plan'!$A:$A,$A31,SepP))</f>
        <v>0</v>
      </c>
      <c r="AF31" s="222"/>
      <c r="AG31" s="222">
        <f>IF(AG$9="Actual",SUMIF('Monthly Detail'!$A:$A,$A31,OctA),SUMIF('Monthly Plan'!$A:$A,$A31,OctP))</f>
        <v>0</v>
      </c>
      <c r="AH31" s="222"/>
      <c r="AI31" s="222">
        <f>IF(AI$9="Actual",SUMIF('Monthly Detail'!$A:$A,$A31,NovA),SUMIF('Monthly Plan'!$A:$A,$A31,NovP))</f>
        <v>0</v>
      </c>
      <c r="AJ31" s="222"/>
      <c r="AK31" s="222">
        <f>IF(AK$9="Actual",SUMIF('Monthly Detail'!$A:$A,$A31,DecA),SUMIF('Monthly Plan'!$A:$A,$A31,DecP))</f>
        <v>0</v>
      </c>
      <c r="AL31" s="222"/>
      <c r="AM31" s="232">
        <f>SUM(O31:AK31)</f>
        <v>0</v>
      </c>
      <c r="AN31" s="222"/>
      <c r="AO31" s="233">
        <f>SUMIF('Monthly Plan'!$A:$A,$A31,totalplan)</f>
        <v>0</v>
      </c>
      <c r="AP31" s="222"/>
      <c r="AQ31" s="233"/>
    </row>
    <row r="32" spans="1:43" ht="12" customHeight="1" x14ac:dyDescent="0.2">
      <c r="A32" s="95" t="s">
        <v>178</v>
      </c>
      <c r="B32" s="222">
        <f>SUMIF('Monthly Detail'!$A:$A,$A32,CHOOSE(Month,JanA,FebA,MarA,AprA,MayA,JunA,JulA,AugA,SepA,OctA,NovA,DecA))</f>
        <v>0</v>
      </c>
      <c r="C32" s="222"/>
      <c r="D32" s="222">
        <f>SUMIF('Monthly Plan'!$A:$A,$A32,CHOOSE(Month,JanP,FebP,MarP,AprP,MayP,JunP,JulP,AugP,SepP,OctP,NovP,DecP))</f>
        <v>0</v>
      </c>
      <c r="E32" s="222"/>
      <c r="F32" s="222">
        <f t="shared" si="0"/>
        <v>0</v>
      </c>
      <c r="G32" s="222"/>
      <c r="H32" s="223">
        <f>SUMIF('Monthly Detail'!$A:$A,$A32,AYTD)</f>
        <v>31200</v>
      </c>
      <c r="I32" s="222"/>
      <c r="J32" s="222">
        <f>SUMIF('Monthly Plan'!$A:$A,$A32,PYTD)</f>
        <v>0</v>
      </c>
      <c r="K32" s="222"/>
      <c r="L32" s="222">
        <f t="shared" si="1"/>
        <v>-31200</v>
      </c>
      <c r="N32" s="95" t="str">
        <f t="shared" si="2"/>
        <v>A&amp;A Allocation</v>
      </c>
      <c r="O32" s="222">
        <f>IF(O$9="Actual",SUMIF('Monthly Detail'!$A:$A,$A32,JanA),SUMIF('Monthly Plan'!$A:$A,$A32,JanP))</f>
        <v>0</v>
      </c>
      <c r="P32" s="222"/>
      <c r="Q32" s="222">
        <f>IF(Q$9="Actual",SUMIF('Monthly Detail'!$A:$A,$A32,FebA),SUMIF('Monthly Plan'!$A:$A,$A32,FebP))</f>
        <v>0</v>
      </c>
      <c r="R32" s="222"/>
      <c r="S32" s="222">
        <f>IF(S$9="Actual",SUMIF('Monthly Detail'!$A:$A,$A32,MarA),SUMIF('Monthly Plan'!$A:$A,$A32,MarP))</f>
        <v>0</v>
      </c>
      <c r="T32" s="222"/>
      <c r="U32" s="222">
        <f>IF(U$9="Actual",SUMIF('Monthly Detail'!$A:$A,$A32,AprA),SUMIF('Monthly Plan'!$A:$A,$A32,AprP))</f>
        <v>20800</v>
      </c>
      <c r="V32" s="222"/>
      <c r="W32" s="222">
        <f>IF(W$9="Actual",SUMIF('Monthly Detail'!$A:$A,$A32,MayA),SUMIF('Monthly Plan'!$A:$A,$A32,MayP))</f>
        <v>10400</v>
      </c>
      <c r="X32" s="222"/>
      <c r="Y32" s="222">
        <f>IF(Y$9="Actual",SUMIF('Monthly Detail'!$A:$A,$A32,JunA),SUMIF('Monthly Plan'!$A:$A,$A32,JunP))</f>
        <v>0</v>
      </c>
      <c r="Z32" s="222"/>
      <c r="AA32" s="222">
        <f>IF(AA$9="Actual",SUMIF('Monthly Detail'!$A:$A,$A32,JulA),SUMIF('Monthly Plan'!$A:$A,$A32,JulP))</f>
        <v>0</v>
      </c>
      <c r="AB32" s="222"/>
      <c r="AC32" s="222">
        <f>IF(AC$9="Actual",SUMIF('Monthly Detail'!$A:$A,$A32,AugA),SUMIF('Monthly Plan'!$A:$A,$A32,AugP))</f>
        <v>0</v>
      </c>
      <c r="AD32" s="222"/>
      <c r="AE32" s="222">
        <f>IF(AE$9="Actual",SUMIF('Monthly Detail'!$A:$A,$A32,SepA),SUMIF('Monthly Plan'!$A:$A,$A32,SepP))</f>
        <v>0</v>
      </c>
      <c r="AF32" s="222"/>
      <c r="AG32" s="222">
        <f>IF(AG$9="Actual",SUMIF('Monthly Detail'!$A:$A,$A32,OctA),SUMIF('Monthly Plan'!$A:$A,$A32,OctP))</f>
        <v>0</v>
      </c>
      <c r="AH32" s="222"/>
      <c r="AI32" s="222">
        <f>IF(AI$9="Actual",SUMIF('Monthly Detail'!$A:$A,$A32,NovA),SUMIF('Monthly Plan'!$A:$A,$A32,NovP))</f>
        <v>0</v>
      </c>
      <c r="AJ32" s="222"/>
      <c r="AK32" s="222">
        <f>IF(AK$9="Actual",SUMIF('Monthly Detail'!$A:$A,$A32,DecA),SUMIF('Monthly Plan'!$A:$A,$A32,DecP))</f>
        <v>0</v>
      </c>
      <c r="AL32" s="222"/>
      <c r="AM32" s="232">
        <f t="shared" si="3"/>
        <v>31200</v>
      </c>
      <c r="AN32" s="222"/>
      <c r="AO32" s="233">
        <f>SUMIF('Monthly Plan'!$A:$A,$A32,totalplan)</f>
        <v>0</v>
      </c>
      <c r="AP32" s="222"/>
      <c r="AQ32" s="233"/>
    </row>
    <row r="33" spans="1:43" ht="12" customHeight="1" x14ac:dyDescent="0.2">
      <c r="A33" s="95" t="s">
        <v>179</v>
      </c>
      <c r="B33" s="222">
        <f>SUMIF('Monthly Detail'!$A:$A,$A33,CHOOSE(Month,JanA,FebA,MarA,AprA,MayA,JunA,JulA,AugA,SepA,OctA,NovA,DecA))</f>
        <v>0</v>
      </c>
      <c r="C33" s="222"/>
      <c r="D33" s="222">
        <f>SUMIF('Monthly Plan'!$A:$A,$A33,CHOOSE(Month,JanP,FebP,MarP,AprP,MayP,JunP,JulP,AugP,SepP,OctP,NovP,DecP))</f>
        <v>0</v>
      </c>
      <c r="E33" s="222"/>
      <c r="F33" s="222">
        <f t="shared" si="0"/>
        <v>0</v>
      </c>
      <c r="G33" s="222"/>
      <c r="H33" s="223">
        <f>SUMIF('Monthly Detail'!$A:$A,$A33,AYTD)</f>
        <v>0</v>
      </c>
      <c r="I33" s="222"/>
      <c r="J33" s="222">
        <f>SUMIF('Monthly Plan'!$A:$A,$A33,PYTD)</f>
        <v>0</v>
      </c>
      <c r="K33" s="222"/>
      <c r="L33" s="222">
        <f t="shared" si="1"/>
        <v>0</v>
      </c>
      <c r="N33" s="95" t="str">
        <f t="shared" si="2"/>
        <v>Other Expenses</v>
      </c>
      <c r="O33" s="222">
        <f>IF(O$9="Actual",SUMIF('Monthly Detail'!$A:$A,$A33,JanA),SUMIF('Monthly Plan'!$A:$A,$A33,JanP))</f>
        <v>0</v>
      </c>
      <c r="P33" s="222"/>
      <c r="Q33" s="222">
        <f>IF(Q$9="Actual",SUMIF('Monthly Detail'!$A:$A,$A33,FebA),SUMIF('Monthly Plan'!$A:$A,$A33,FebP))</f>
        <v>0</v>
      </c>
      <c r="R33" s="222"/>
      <c r="S33" s="222">
        <f>IF(S$9="Actual",SUMIF('Monthly Detail'!$A:$A,$A33,MarA),SUMIF('Monthly Plan'!$A:$A,$A33,MarP))</f>
        <v>0</v>
      </c>
      <c r="T33" s="222"/>
      <c r="U33" s="222">
        <f>IF(U$9="Actual",SUMIF('Monthly Detail'!$A:$A,$A33,AprA),SUMIF('Monthly Plan'!$A:$A,$A33,AprP))</f>
        <v>0</v>
      </c>
      <c r="V33" s="222"/>
      <c r="W33" s="222">
        <f>IF(W$9="Actual",SUMIF('Monthly Detail'!$A:$A,$A33,MayA),SUMIF('Monthly Plan'!$A:$A,$A33,MayP))</f>
        <v>0</v>
      </c>
      <c r="X33" s="222"/>
      <c r="Y33" s="222">
        <f>IF(Y$9="Actual",SUMIF('Monthly Detail'!$A:$A,$A33,JunA),SUMIF('Monthly Plan'!$A:$A,$A33,JunP))</f>
        <v>0</v>
      </c>
      <c r="Z33" s="222"/>
      <c r="AA33" s="222">
        <f>IF(AA$9="Actual",SUMIF('Monthly Detail'!$A:$A,$A33,JulA),SUMIF('Monthly Plan'!$A:$A,$A33,JulP))</f>
        <v>0</v>
      </c>
      <c r="AB33" s="222"/>
      <c r="AC33" s="222">
        <f>IF(AC$9="Actual",SUMIF('Monthly Detail'!$A:$A,$A33,AugA),SUMIF('Monthly Plan'!$A:$A,$A33,AugP))</f>
        <v>0</v>
      </c>
      <c r="AD33" s="222"/>
      <c r="AE33" s="222">
        <f>IF(AE$9="Actual",SUMIF('Monthly Detail'!$A:$A,$A33,SepA),SUMIF('Monthly Plan'!$A:$A,$A33,SepP))</f>
        <v>0</v>
      </c>
      <c r="AF33" s="222"/>
      <c r="AG33" s="222">
        <f>IF(AG$9="Actual",SUMIF('Monthly Detail'!$A:$A,$A33,OctA),SUMIF('Monthly Plan'!$A:$A,$A33,OctP))</f>
        <v>0</v>
      </c>
      <c r="AH33" s="222"/>
      <c r="AI33" s="222">
        <f>IF(AI$9="Actual",SUMIF('Monthly Detail'!$A:$A,$A33,NovA),SUMIF('Monthly Plan'!$A:$A,$A33,NovP))</f>
        <v>0</v>
      </c>
      <c r="AJ33" s="222"/>
      <c r="AK33" s="222">
        <f>IF(AK$9="Actual",SUMIF('Monthly Detail'!$A:$A,$A33,DecA),SUMIF('Monthly Plan'!$A:$A,$A33,DecP))</f>
        <v>0</v>
      </c>
      <c r="AL33" s="222"/>
      <c r="AM33" s="232">
        <f t="shared" si="3"/>
        <v>0</v>
      </c>
      <c r="AN33" s="222"/>
      <c r="AO33" s="233">
        <f>SUMIF('Monthly Plan'!$A:$A,$A33,totalplan)</f>
        <v>0</v>
      </c>
      <c r="AP33" s="222"/>
      <c r="AQ33" s="233"/>
    </row>
    <row r="34" spans="1:43" ht="12" customHeight="1" x14ac:dyDescent="0.2">
      <c r="A34" s="95" t="s">
        <v>180</v>
      </c>
      <c r="B34" s="222">
        <f>SUMIF('Monthly Detail'!$A:$A,$A34,CHOOSE(Month,JanA,FebA,MarA,AprA,MayA,JunA,JulA,AugA,SepA,OctA,NovA,DecA))</f>
        <v>0</v>
      </c>
      <c r="C34" s="222"/>
      <c r="D34" s="222">
        <f>SUMIF('Monthly Plan'!$A:$A,$A34,CHOOSE(Month,JanP,FebP,MarP,AprP,MayP,JunP,JulP,AugP,SepP,OctP,NovP,DecP))</f>
        <v>0</v>
      </c>
      <c r="E34" s="222"/>
      <c r="F34" s="222">
        <f t="shared" si="0"/>
        <v>0</v>
      </c>
      <c r="G34" s="222"/>
      <c r="H34" s="223">
        <f>SUMIF('Monthly Detail'!$A:$A,$A34,AYTD)</f>
        <v>0</v>
      </c>
      <c r="I34" s="222"/>
      <c r="J34" s="222">
        <f>SUMIF('Monthly Plan'!$A:$A,$A34,PYTD)</f>
        <v>0</v>
      </c>
      <c r="K34" s="222"/>
      <c r="L34" s="222">
        <f t="shared" si="1"/>
        <v>0</v>
      </c>
      <c r="N34" s="95" t="str">
        <f t="shared" si="2"/>
        <v>Taxes Other Than Income</v>
      </c>
      <c r="O34" s="222">
        <f>IF(O$9="Actual",SUMIF('Monthly Detail'!$A:$A,$A34,JanA),SUMIF('Monthly Plan'!$A:$A,$A34,JanP))</f>
        <v>0</v>
      </c>
      <c r="P34" s="222"/>
      <c r="Q34" s="222">
        <f>IF(Q$9="Actual",SUMIF('Monthly Detail'!$A:$A,$A34,FebA),SUMIF('Monthly Plan'!$A:$A,$A34,FebP))</f>
        <v>0</v>
      </c>
      <c r="R34" s="222"/>
      <c r="S34" s="222">
        <f>IF(S$9="Actual",SUMIF('Monthly Detail'!$A:$A,$A34,MarA),SUMIF('Monthly Plan'!$A:$A,$A34,MarP))</f>
        <v>0</v>
      </c>
      <c r="T34" s="222"/>
      <c r="U34" s="222">
        <f>IF(U$9="Actual",SUMIF('Monthly Detail'!$A:$A,$A34,AprA),SUMIF('Monthly Plan'!$A:$A,$A34,AprP))</f>
        <v>0</v>
      </c>
      <c r="V34" s="222"/>
      <c r="W34" s="222">
        <f>IF(W$9="Actual",SUMIF('Monthly Detail'!$A:$A,$A34,MayA),SUMIF('Monthly Plan'!$A:$A,$A34,MayP))</f>
        <v>0</v>
      </c>
      <c r="X34" s="222"/>
      <c r="Y34" s="222">
        <f>IF(Y$9="Actual",SUMIF('Monthly Detail'!$A:$A,$A34,JunA),SUMIF('Monthly Plan'!$A:$A,$A34,JunP))</f>
        <v>0</v>
      </c>
      <c r="Z34" s="222"/>
      <c r="AA34" s="222">
        <f>IF(AA$9="Actual",SUMIF('Monthly Detail'!$A:$A,$A34,JulA),SUMIF('Monthly Plan'!$A:$A,$A34,JulP))</f>
        <v>0</v>
      </c>
      <c r="AB34" s="222"/>
      <c r="AC34" s="222">
        <f>IF(AC$9="Actual",SUMIF('Monthly Detail'!$A:$A,$A34,AugA),SUMIF('Monthly Plan'!$A:$A,$A34,AugP))</f>
        <v>0</v>
      </c>
      <c r="AD34" s="222"/>
      <c r="AE34" s="222">
        <f>IF(AE$9="Actual",SUMIF('Monthly Detail'!$A:$A,$A34,SepA),SUMIF('Monthly Plan'!$A:$A,$A34,SepP))</f>
        <v>0</v>
      </c>
      <c r="AF34" s="222"/>
      <c r="AG34" s="222">
        <f>IF(AG$9="Actual",SUMIF('Monthly Detail'!$A:$A,$A34,OctA),SUMIF('Monthly Plan'!$A:$A,$A34,OctP))</f>
        <v>0</v>
      </c>
      <c r="AH34" s="222"/>
      <c r="AI34" s="222">
        <f>IF(AI$9="Actual",SUMIF('Monthly Detail'!$A:$A,$A34,NovA),SUMIF('Monthly Plan'!$A:$A,$A34,NovP))</f>
        <v>0</v>
      </c>
      <c r="AJ34" s="222"/>
      <c r="AK34" s="222">
        <f>IF(AK$9="Actual",SUMIF('Monthly Detail'!$A:$A,$A34,DecA),SUMIF('Monthly Plan'!$A:$A,$A34,DecP))</f>
        <v>0</v>
      </c>
      <c r="AL34" s="222"/>
      <c r="AM34" s="232">
        <f t="shared" si="3"/>
        <v>0</v>
      </c>
      <c r="AN34" s="222"/>
      <c r="AO34" s="233">
        <f>SUMIF('Monthly Plan'!$A:$A,$A34,totalplan)</f>
        <v>0</v>
      </c>
      <c r="AP34" s="222"/>
      <c r="AQ34" s="233"/>
    </row>
    <row r="35" spans="1:43" ht="12" customHeight="1" x14ac:dyDescent="0.2">
      <c r="A35" s="95" t="s">
        <v>181</v>
      </c>
      <c r="B35" s="222">
        <f>SUMIF('Monthly Detail'!$A:$A,$A35,CHOOSE(Month,JanA,FebA,MarA,AprA,MayA,JunA,JulA,AugA,SepA,OctA,NovA,DecA))</f>
        <v>0</v>
      </c>
      <c r="C35" s="222"/>
      <c r="D35" s="222">
        <f>SUMIF('Monthly Plan'!$A:$A,$A35,CHOOSE(Month,JanP,FebP,MarP,AprP,MayP,JunP,JulP,AugP,SepP,OctP,NovP,DecP))</f>
        <v>0</v>
      </c>
      <c r="E35" s="222"/>
      <c r="F35" s="222">
        <f t="shared" si="0"/>
        <v>0</v>
      </c>
      <c r="G35" s="222"/>
      <c r="H35" s="223">
        <f>SUMIF('Monthly Detail'!$A:$A,$A35,AYTD)</f>
        <v>0</v>
      </c>
      <c r="I35" s="222"/>
      <c r="J35" s="222">
        <f>SUMIF('Monthly Plan'!$A:$A,$A35,PYTD)</f>
        <v>0</v>
      </c>
      <c r="K35" s="222"/>
      <c r="L35" s="222">
        <f t="shared" si="1"/>
        <v>0</v>
      </c>
      <c r="N35" s="95" t="str">
        <f t="shared" si="2"/>
        <v>Depreciation &amp; Amortization</v>
      </c>
      <c r="O35" s="222">
        <f>IF(O$9="Actual",SUMIF('Monthly Detail'!$A:$A,$A35,JanA),SUMIF('Monthly Plan'!$A:$A,$A35,JanP))</f>
        <v>0</v>
      </c>
      <c r="P35" s="222"/>
      <c r="Q35" s="222">
        <f>IF(Q$9="Actual",SUMIF('Monthly Detail'!$A:$A,$A35,FebA),SUMIF('Monthly Plan'!$A:$A,$A35,FebP))</f>
        <v>0</v>
      </c>
      <c r="R35" s="222"/>
      <c r="S35" s="222">
        <f>IF(S$9="Actual",SUMIF('Monthly Detail'!$A:$A,$A35,MarA),SUMIF('Monthly Plan'!$A:$A,$A35,MarP))</f>
        <v>0</v>
      </c>
      <c r="T35" s="222"/>
      <c r="U35" s="222">
        <f>IF(U$9="Actual",SUMIF('Monthly Detail'!$A:$A,$A35,AprA),SUMIF('Monthly Plan'!$A:$A,$A35,AprP))</f>
        <v>0</v>
      </c>
      <c r="V35" s="222"/>
      <c r="W35" s="222">
        <f>IF(W$9="Actual",SUMIF('Monthly Detail'!$A:$A,$A35,MayA),SUMIF('Monthly Plan'!$A:$A,$A35,MayP))</f>
        <v>0</v>
      </c>
      <c r="X35" s="222"/>
      <c r="Y35" s="222">
        <f>IF(Y$9="Actual",SUMIF('Monthly Detail'!$A:$A,$A35,JunA),SUMIF('Monthly Plan'!$A:$A,$A35,JunP))</f>
        <v>0</v>
      </c>
      <c r="Z35" s="222"/>
      <c r="AA35" s="222">
        <f>IF(AA$9="Actual",SUMIF('Monthly Detail'!$A:$A,$A35,JulA),SUMIF('Monthly Plan'!$A:$A,$A35,JulP))</f>
        <v>0</v>
      </c>
      <c r="AB35" s="222"/>
      <c r="AC35" s="222">
        <f>IF(AC$9="Actual",SUMIF('Monthly Detail'!$A:$A,$A35,AugA),SUMIF('Monthly Plan'!$A:$A,$A35,AugP))</f>
        <v>0</v>
      </c>
      <c r="AD35" s="222"/>
      <c r="AE35" s="222">
        <f>IF(AE$9="Actual",SUMIF('Monthly Detail'!$A:$A,$A35,SepA),SUMIF('Monthly Plan'!$A:$A,$A35,SepP))</f>
        <v>0</v>
      </c>
      <c r="AF35" s="222"/>
      <c r="AG35" s="222">
        <f>IF(AG$9="Actual",SUMIF('Monthly Detail'!$A:$A,$A35,OctA),SUMIF('Monthly Plan'!$A:$A,$A35,OctP))</f>
        <v>0</v>
      </c>
      <c r="AH35" s="222"/>
      <c r="AI35" s="222">
        <f>IF(AI$9="Actual",SUMIF('Monthly Detail'!$A:$A,$A35,NovA),SUMIF('Monthly Plan'!$A:$A,$A35,NovP))</f>
        <v>0</v>
      </c>
      <c r="AJ35" s="222"/>
      <c r="AK35" s="222">
        <f>IF(AK$9="Actual",SUMIF('Monthly Detail'!$A:$A,$A35,DecA),SUMIF('Monthly Plan'!$A:$A,$A35,DecP))</f>
        <v>0</v>
      </c>
      <c r="AL35" s="222"/>
      <c r="AM35" s="232">
        <f t="shared" si="3"/>
        <v>0</v>
      </c>
      <c r="AN35" s="222"/>
      <c r="AO35" s="233">
        <f>SUMIF('Monthly Plan'!$A:$A,$A35,totalplan)</f>
        <v>0</v>
      </c>
      <c r="AP35" s="222"/>
      <c r="AQ35" s="233"/>
    </row>
    <row r="36" spans="1:43" ht="12" customHeight="1" x14ac:dyDescent="0.2">
      <c r="A36" s="95"/>
      <c r="B36" s="224"/>
      <c r="C36" s="222"/>
      <c r="D36" s="224"/>
      <c r="E36" s="222"/>
      <c r="F36" s="224"/>
      <c r="G36" s="222"/>
      <c r="H36" s="224"/>
      <c r="I36" s="222"/>
      <c r="J36" s="224"/>
      <c r="K36" s="222"/>
      <c r="L36" s="224"/>
      <c r="N36" s="95"/>
      <c r="O36" s="224"/>
      <c r="P36" s="222"/>
      <c r="Q36" s="224"/>
      <c r="R36" s="222"/>
      <c r="S36" s="224"/>
      <c r="T36" s="222"/>
      <c r="U36" s="224"/>
      <c r="V36" s="222"/>
      <c r="W36" s="224"/>
      <c r="X36" s="222"/>
      <c r="Y36" s="224"/>
      <c r="Z36" s="222"/>
      <c r="AA36" s="224"/>
      <c r="AB36" s="222"/>
      <c r="AC36" s="224"/>
      <c r="AD36" s="222"/>
      <c r="AE36" s="224"/>
      <c r="AF36" s="222"/>
      <c r="AG36" s="224"/>
      <c r="AH36" s="222"/>
      <c r="AI36" s="224"/>
      <c r="AJ36" s="222"/>
      <c r="AK36" s="224"/>
      <c r="AL36" s="222"/>
      <c r="AM36" s="234"/>
      <c r="AN36" s="222"/>
      <c r="AO36" s="235"/>
      <c r="AP36" s="222"/>
      <c r="AQ36" s="235"/>
    </row>
    <row r="37" spans="1:43" ht="12" customHeight="1" x14ac:dyDescent="0.2">
      <c r="A37" s="96" t="s">
        <v>11</v>
      </c>
      <c r="B37" s="222">
        <f>SUM(B16:B36)</f>
        <v>33126.080000000002</v>
      </c>
      <c r="C37" s="222"/>
      <c r="D37" s="222">
        <f>SUM(D16:D36)</f>
        <v>25508</v>
      </c>
      <c r="E37" s="222"/>
      <c r="F37" s="222">
        <f>D37-B37</f>
        <v>-7618.0800000000017</v>
      </c>
      <c r="G37" s="222"/>
      <c r="H37" s="222">
        <f>SUM(H16:H36)</f>
        <v>154354.32</v>
      </c>
      <c r="I37" s="222"/>
      <c r="J37" s="222">
        <f>SUM(J16:J36)</f>
        <v>152662</v>
      </c>
      <c r="K37" s="222"/>
      <c r="L37" s="222">
        <f>J37-H37</f>
        <v>-1692.320000000007</v>
      </c>
      <c r="N37" s="96" t="s">
        <v>11</v>
      </c>
      <c r="O37" s="222">
        <f>SUM(O16:O36)</f>
        <v>20837.710000000003</v>
      </c>
      <c r="P37" s="225"/>
      <c r="Q37" s="222">
        <f>SUM(Q16:Q36)</f>
        <v>21015.960000000003</v>
      </c>
      <c r="R37" s="225"/>
      <c r="S37" s="222">
        <f>SUM(S16:S36)</f>
        <v>12708.389999999998</v>
      </c>
      <c r="T37" s="225"/>
      <c r="U37" s="222">
        <f>SUM(U16:U36)</f>
        <v>40739.689999999995</v>
      </c>
      <c r="V37" s="225"/>
      <c r="W37" s="222">
        <f>SUM(W16:W36)</f>
        <v>25926.489999999998</v>
      </c>
      <c r="X37" s="225"/>
      <c r="Y37" s="222">
        <f>SUM(Y16:Y36)</f>
        <v>33126.080000000002</v>
      </c>
      <c r="Z37" s="225"/>
      <c r="AA37" s="222">
        <f>SUM(AA16:AA36)</f>
        <v>25858</v>
      </c>
      <c r="AB37" s="225"/>
      <c r="AC37" s="222">
        <f>SUM(AC16:AC36)</f>
        <v>25058</v>
      </c>
      <c r="AD37" s="225"/>
      <c r="AE37" s="222">
        <f>SUM(AE16:AE36)</f>
        <v>25508</v>
      </c>
      <c r="AF37" s="225"/>
      <c r="AG37" s="222">
        <f>SUM(AG16:AG36)</f>
        <v>25058</v>
      </c>
      <c r="AH37" s="225"/>
      <c r="AI37" s="222">
        <f>SUM(AI16:AI36)</f>
        <v>25058</v>
      </c>
      <c r="AJ37" s="225"/>
      <c r="AK37" s="222">
        <f>SUM(AK16:AK36)</f>
        <v>25478</v>
      </c>
      <c r="AL37" s="225"/>
      <c r="AM37" s="232">
        <f>SUM(AM16:AM36)</f>
        <v>306372.32</v>
      </c>
      <c r="AN37" s="222"/>
      <c r="AO37" s="233">
        <f>SUM(AO16:AO36)</f>
        <v>304680</v>
      </c>
      <c r="AP37" s="222"/>
      <c r="AQ37" s="233">
        <f>SUM(AQ16:AQ36)</f>
        <v>0</v>
      </c>
    </row>
    <row r="38" spans="1:43" ht="12" customHeight="1" x14ac:dyDescent="0.2">
      <c r="A38" s="96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N38" s="96"/>
      <c r="O38" s="222"/>
      <c r="P38" s="225"/>
      <c r="Q38" s="222"/>
      <c r="R38" s="225"/>
      <c r="S38" s="222"/>
      <c r="T38" s="225"/>
      <c r="U38" s="222"/>
      <c r="V38" s="225"/>
      <c r="W38" s="222"/>
      <c r="X38" s="225"/>
      <c r="Y38" s="222"/>
      <c r="Z38" s="225"/>
      <c r="AA38" s="222"/>
      <c r="AB38" s="225"/>
      <c r="AC38" s="222"/>
      <c r="AD38" s="225"/>
      <c r="AE38" s="222"/>
      <c r="AF38" s="225"/>
      <c r="AG38" s="222"/>
      <c r="AH38" s="225"/>
      <c r="AI38" s="222"/>
      <c r="AJ38" s="225"/>
      <c r="AK38" s="222"/>
      <c r="AL38" s="225"/>
      <c r="AM38" s="232"/>
      <c r="AN38" s="222"/>
      <c r="AO38" s="233"/>
      <c r="AP38" s="222"/>
      <c r="AQ38" s="233"/>
    </row>
    <row r="39" spans="1:43" ht="12" customHeight="1" x14ac:dyDescent="0.2">
      <c r="A39" s="41" t="s">
        <v>182</v>
      </c>
      <c r="B39" s="222"/>
      <c r="C39" s="225"/>
      <c r="D39" s="222"/>
      <c r="E39" s="222"/>
      <c r="F39" s="225"/>
      <c r="G39" s="225"/>
      <c r="H39" s="222"/>
      <c r="I39" s="222"/>
      <c r="J39" s="222"/>
      <c r="K39" s="222"/>
      <c r="L39" s="222"/>
      <c r="N39" s="4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32"/>
      <c r="AN39" s="222"/>
      <c r="AO39" s="233"/>
      <c r="AP39" s="222"/>
      <c r="AQ39" s="233"/>
    </row>
    <row r="40" spans="1:43" ht="12" customHeight="1" x14ac:dyDescent="0.2">
      <c r="A40" s="95" t="s">
        <v>183</v>
      </c>
      <c r="B40" s="223">
        <f>SUMIF('Monthly Detail'!$A:$A,$A40,CHOOSE(Month,JanA,FebA,MarA,AprA,MayA,JunA,JulA,AugA,SepA,OctA,NovA,DecA))</f>
        <v>0</v>
      </c>
      <c r="C40" s="222"/>
      <c r="D40" s="223">
        <f>SUMIF('Monthly Plan'!$A:$A,$A40,CHOOSE(Month,JanP,FebP,MarP,AprP,MayP,JunP,JulP,AugP,SepP,OctP,NovP,DecP))</f>
        <v>0</v>
      </c>
      <c r="E40" s="222"/>
      <c r="F40" s="223">
        <f>D40-B40</f>
        <v>0</v>
      </c>
      <c r="G40" s="222"/>
      <c r="H40" s="223">
        <f>SUMIF('Monthly Detail'!$A:$A,$A40,AYTD)</f>
        <v>0</v>
      </c>
      <c r="I40" s="222"/>
      <c r="J40" s="223">
        <f>SUMIF('Monthly Plan'!$A:$A,$A40,PYTD)</f>
        <v>0</v>
      </c>
      <c r="K40" s="222"/>
      <c r="L40" s="223">
        <f>J40-H40</f>
        <v>0</v>
      </c>
      <c r="N40" s="95" t="str">
        <f t="shared" ref="N40:N56" si="4">A40</f>
        <v>ENW Accounting</v>
      </c>
      <c r="O40" s="223">
        <f>IF(O$9="Actual",SUMIF('Monthly Detail'!$A:$A,$A40,JanA),SUMIF('Monthly Plan'!$A:$A,$A40,JanP))</f>
        <v>0</v>
      </c>
      <c r="P40" s="223"/>
      <c r="Q40" s="223">
        <f>IF(Q$9="Actual",SUMIF('Monthly Detail'!$A:$A,$A40,FebA),SUMIF('Monthly Plan'!$A:$A,$A40,FebP))</f>
        <v>0</v>
      </c>
      <c r="R40" s="223"/>
      <c r="S40" s="223">
        <f>IF(S$9="Actual",SUMIF('Monthly Detail'!$A:$A,$A40,MarA),SUMIF('Monthly Plan'!$A:$A,$A40,MarP))</f>
        <v>0</v>
      </c>
      <c r="T40" s="223"/>
      <c r="U40" s="223">
        <f>IF(U$9="Actual",SUMIF('Monthly Detail'!$A:$A,$A40,AprA),SUMIF('Monthly Plan'!$A:$A,$A40,AprP))</f>
        <v>0</v>
      </c>
      <c r="V40" s="223"/>
      <c r="W40" s="223">
        <f>IF(W$9="Actual",SUMIF('Monthly Detail'!$A:$A,$A40,MayA),SUMIF('Monthly Plan'!$A:$A,$A40,MayP))</f>
        <v>0</v>
      </c>
      <c r="X40" s="223"/>
      <c r="Y40" s="223">
        <f>IF(Y$9="Actual",SUMIF('Monthly Detail'!$A:$A,$A40,JunA),SUMIF('Monthly Plan'!$A:$A,$A40,JunP))</f>
        <v>0</v>
      </c>
      <c r="Z40" s="223"/>
      <c r="AA40" s="223">
        <f>IF(AA$9="Actual",SUMIF('Monthly Detail'!$A:$A,$A40,JulA),SUMIF('Monthly Plan'!$A:$A,$A40,JulP))</f>
        <v>0</v>
      </c>
      <c r="AB40" s="223"/>
      <c r="AC40" s="223">
        <f>IF(AC$9="Actual",SUMIF('Monthly Detail'!$A:$A,$A40,AugA),SUMIF('Monthly Plan'!$A:$A,$A40,AugP))</f>
        <v>0</v>
      </c>
      <c r="AD40" s="223"/>
      <c r="AE40" s="223">
        <f>IF(AE$9="Actual",SUMIF('Monthly Detail'!$A:$A,$A40,SepA),SUMIF('Monthly Plan'!$A:$A,$A40,SepP))</f>
        <v>0</v>
      </c>
      <c r="AF40" s="223"/>
      <c r="AG40" s="223">
        <f>IF(AG$9="Actual",SUMIF('Monthly Detail'!$A:$A,$A40,OctA),SUMIF('Monthly Plan'!$A:$A,$A40,OctP))</f>
        <v>0</v>
      </c>
      <c r="AH40" s="223"/>
      <c r="AI40" s="223">
        <f>IF(AI$9="Actual",SUMIF('Monthly Detail'!$A:$A,$A40,NovA),SUMIF('Monthly Plan'!$A:$A,$A40,NovP))</f>
        <v>0</v>
      </c>
      <c r="AJ40" s="223"/>
      <c r="AK40" s="223">
        <f>IF(AK$9="Actual",SUMIF('Monthly Detail'!$A:$A,$A40,DecA),SUMIF('Monthly Plan'!$A:$A,$A40,DecP))</f>
        <v>0</v>
      </c>
      <c r="AL40" s="223"/>
      <c r="AM40" s="236">
        <f>SUM(O40:AK40)</f>
        <v>0</v>
      </c>
      <c r="AN40" s="222"/>
      <c r="AO40" s="237">
        <f>SUMIF('Monthly Plan'!$A:$A,$A40,totalplan)</f>
        <v>0</v>
      </c>
      <c r="AP40" s="222"/>
      <c r="AQ40" s="233"/>
    </row>
    <row r="41" spans="1:43" ht="12" customHeight="1" x14ac:dyDescent="0.2">
      <c r="A41" s="95" t="s">
        <v>184</v>
      </c>
      <c r="B41" s="223">
        <f>SUMIF('Monthly Detail'!$A:$A,$A41,CHOOSE(Month,JanA,FebA,MarA,AprA,MayA,JunA,JulA,AugA,SepA,OctA,NovA,DecA))</f>
        <v>0</v>
      </c>
      <c r="C41" s="222"/>
      <c r="D41" s="223">
        <f>SUMIF('Monthly Plan'!$A:$A,$A41,CHOOSE(Month,JanP,FebP,MarP,AprP,MayP,JunP,JulP,AugP,SepP,OctP,NovP,DecP))</f>
        <v>0</v>
      </c>
      <c r="E41" s="222"/>
      <c r="F41" s="223">
        <f t="shared" ref="F41:F56" si="5">D41-B41</f>
        <v>0</v>
      </c>
      <c r="G41" s="222"/>
      <c r="H41" s="223">
        <f>SUMIF('Monthly Detail'!$A:$A,$A41,AYTD)</f>
        <v>0</v>
      </c>
      <c r="I41" s="222"/>
      <c r="J41" s="223">
        <f>SUMIF('Monthly Plan'!$A:$A,$A41,PYTD)</f>
        <v>0</v>
      </c>
      <c r="K41" s="222"/>
      <c r="L41" s="223">
        <f t="shared" ref="L41:L56" si="6">J41-H41</f>
        <v>0</v>
      </c>
      <c r="N41" s="95" t="str">
        <f t="shared" si="4"/>
        <v>ENW HR</v>
      </c>
      <c r="O41" s="223">
        <f>IF(O$9="Actual",SUMIF('Monthly Detail'!$A:$A,$A41,JanA),SUMIF('Monthly Plan'!$A:$A,$A41,JanP))</f>
        <v>0</v>
      </c>
      <c r="P41" s="223"/>
      <c r="Q41" s="223">
        <f>IF(Q$9="Actual",SUMIF('Monthly Detail'!$A:$A,$A41,FebA),SUMIF('Monthly Plan'!$A:$A,$A41,FebP))</f>
        <v>0</v>
      </c>
      <c r="R41" s="223"/>
      <c r="S41" s="223">
        <f>IF(S$9="Actual",SUMIF('Monthly Detail'!$A:$A,$A41,MarA),SUMIF('Monthly Plan'!$A:$A,$A41,MarP))</f>
        <v>0</v>
      </c>
      <c r="T41" s="223"/>
      <c r="U41" s="223">
        <f>IF(U$9="Actual",SUMIF('Monthly Detail'!$A:$A,$A41,AprA),SUMIF('Monthly Plan'!$A:$A,$A41,AprP))</f>
        <v>0</v>
      </c>
      <c r="V41" s="223"/>
      <c r="W41" s="223">
        <f>IF(W$9="Actual",SUMIF('Monthly Detail'!$A:$A,$A41,MayA),SUMIF('Monthly Plan'!$A:$A,$A41,MayP))</f>
        <v>0</v>
      </c>
      <c r="X41" s="223"/>
      <c r="Y41" s="223">
        <f>IF(Y$9="Actual",SUMIF('Monthly Detail'!$A:$A,$A41,JunA),SUMIF('Monthly Plan'!$A:$A,$A41,JunP))</f>
        <v>0</v>
      </c>
      <c r="Z41" s="223"/>
      <c r="AA41" s="223">
        <f>IF(AA$9="Actual",SUMIF('Monthly Detail'!$A:$A,$A41,JulA),SUMIF('Monthly Plan'!$A:$A,$A41,JulP))</f>
        <v>0</v>
      </c>
      <c r="AB41" s="223"/>
      <c r="AC41" s="223">
        <f>IF(AC$9="Actual",SUMIF('Monthly Detail'!$A:$A,$A41,AugA),SUMIF('Monthly Plan'!$A:$A,$A41,AugP))</f>
        <v>0</v>
      </c>
      <c r="AD41" s="223"/>
      <c r="AE41" s="223">
        <f>IF(AE$9="Actual",SUMIF('Monthly Detail'!$A:$A,$A41,SepA),SUMIF('Monthly Plan'!$A:$A,$A41,SepP))</f>
        <v>0</v>
      </c>
      <c r="AF41" s="223"/>
      <c r="AG41" s="223">
        <f>IF(AG$9="Actual",SUMIF('Monthly Detail'!$A:$A,$A41,OctA),SUMIF('Monthly Plan'!$A:$A,$A41,OctP))</f>
        <v>0</v>
      </c>
      <c r="AH41" s="223"/>
      <c r="AI41" s="223">
        <f>IF(AI$9="Actual",SUMIF('Monthly Detail'!$A:$A,$A41,NovA),SUMIF('Monthly Plan'!$A:$A,$A41,NovP))</f>
        <v>0</v>
      </c>
      <c r="AJ41" s="223"/>
      <c r="AK41" s="223">
        <f>IF(AK$9="Actual",SUMIF('Monthly Detail'!$A:$A,$A41,DecA),SUMIF('Monthly Plan'!$A:$A,$A41,DecP))</f>
        <v>0</v>
      </c>
      <c r="AL41" s="223"/>
      <c r="AM41" s="236">
        <f t="shared" ref="AM41:AM56" si="7">SUM(O41:AK41)</f>
        <v>0</v>
      </c>
      <c r="AN41" s="222"/>
      <c r="AO41" s="237">
        <f>SUMIF('Monthly Plan'!$A:$A,$A41,totalplan)</f>
        <v>0</v>
      </c>
      <c r="AP41" s="222"/>
      <c r="AQ41" s="233"/>
    </row>
    <row r="42" spans="1:43" ht="12" customHeight="1" x14ac:dyDescent="0.2">
      <c r="A42" s="95" t="s">
        <v>204</v>
      </c>
      <c r="B42" s="223">
        <f>SUMIF('Monthly Detail'!$A:$A,$A42,CHOOSE(Month,JanA,FebA,MarA,AprA,MayA,JunA,JulA,AugA,SepA,OctA,NovA,DecA))</f>
        <v>0</v>
      </c>
      <c r="C42" s="222"/>
      <c r="D42" s="223">
        <f>SUMIF('Monthly Plan'!$A:$A,$A42,CHOOSE(Month,JanP,FebP,MarP,AprP,MayP,JunP,JulP,AugP,SepP,OctP,NovP,DecP))</f>
        <v>0</v>
      </c>
      <c r="E42" s="222"/>
      <c r="F42" s="223">
        <f>D42-B42</f>
        <v>0</v>
      </c>
      <c r="G42" s="222"/>
      <c r="H42" s="223">
        <f>SUMIF('Monthly Detail'!$A:$A,$A42,AYTD)</f>
        <v>0</v>
      </c>
      <c r="I42" s="222"/>
      <c r="J42" s="223">
        <f>SUMIF('Monthly Plan'!$A:$A,$A42,PYTD)</f>
        <v>0</v>
      </c>
      <c r="K42" s="222"/>
      <c r="L42" s="223">
        <f>J42-H42</f>
        <v>0</v>
      </c>
      <c r="N42" s="95" t="str">
        <f>A42</f>
        <v>GTT Allocation</v>
      </c>
      <c r="O42" s="223">
        <f>IF(O$9="Actual",SUMIF('Monthly Detail'!$A:$A,$A42,JanA),SUMIF('Monthly Plan'!$A:$A,$A42,JanP))</f>
        <v>0</v>
      </c>
      <c r="P42" s="223"/>
      <c r="Q42" s="223">
        <f>IF(Q$9="Actual",SUMIF('Monthly Detail'!$A:$A,$A42,FebA),SUMIF('Monthly Plan'!$A:$A,$A42,FebP))</f>
        <v>0</v>
      </c>
      <c r="R42" s="223"/>
      <c r="S42" s="223">
        <f>IF(S$9="Actual",SUMIF('Monthly Detail'!$A:$A,$A42,MarA),SUMIF('Monthly Plan'!$A:$A,$A42,MarP))</f>
        <v>0</v>
      </c>
      <c r="T42" s="223"/>
      <c r="U42" s="223">
        <f>IF(U$9="Actual",SUMIF('Monthly Detail'!$A:$A,$A42,AprA),SUMIF('Monthly Plan'!$A:$A,$A42,AprP))</f>
        <v>0</v>
      </c>
      <c r="V42" s="223"/>
      <c r="W42" s="223">
        <f>IF(W$9="Actual",SUMIF('Monthly Detail'!$A:$A,$A42,MayA),SUMIF('Monthly Plan'!$A:$A,$A42,MayP))</f>
        <v>0</v>
      </c>
      <c r="X42" s="223"/>
      <c r="Y42" s="223">
        <f>IF(Y$9="Actual",SUMIF('Monthly Detail'!$A:$A,$A42,JunA),SUMIF('Monthly Plan'!$A:$A,$A42,JunP))</f>
        <v>0</v>
      </c>
      <c r="Z42" s="223"/>
      <c r="AA42" s="223">
        <f>IF(AA$9="Actual",SUMIF('Monthly Detail'!$A:$A,$A42,JulA),SUMIF('Monthly Plan'!$A:$A,$A42,JulP))</f>
        <v>0</v>
      </c>
      <c r="AB42" s="223"/>
      <c r="AC42" s="223">
        <f>IF(AC$9="Actual",SUMIF('Monthly Detail'!$A:$A,$A42,AugA),SUMIF('Monthly Plan'!$A:$A,$A42,AugP))</f>
        <v>0</v>
      </c>
      <c r="AD42" s="223"/>
      <c r="AE42" s="223">
        <f>IF(AE$9="Actual",SUMIF('Monthly Detail'!$A:$A,$A42,SepA),SUMIF('Monthly Plan'!$A:$A,$A42,SepP))</f>
        <v>0</v>
      </c>
      <c r="AF42" s="223"/>
      <c r="AG42" s="223">
        <f>IF(AG$9="Actual",SUMIF('Monthly Detail'!$A:$A,$A42,OctA),SUMIF('Monthly Plan'!$A:$A,$A42,OctP))</f>
        <v>0</v>
      </c>
      <c r="AH42" s="223"/>
      <c r="AI42" s="223">
        <f>IF(AI$9="Actual",SUMIF('Monthly Detail'!$A:$A,$A42,NovA),SUMIF('Monthly Plan'!$A:$A,$A42,NovP))</f>
        <v>0</v>
      </c>
      <c r="AJ42" s="223"/>
      <c r="AK42" s="223">
        <f>IF(AK$9="Actual",SUMIF('Monthly Detail'!$A:$A,$A42,DecA),SUMIF('Monthly Plan'!$A:$A,$A42,DecP))</f>
        <v>0</v>
      </c>
      <c r="AL42" s="223"/>
      <c r="AM42" s="236">
        <f>SUM(O42:AK42)</f>
        <v>0</v>
      </c>
      <c r="AN42" s="222"/>
      <c r="AO42" s="237">
        <f>SUMIF('Monthly Plan'!$A:$A,$A42,totalplan)</f>
        <v>0</v>
      </c>
      <c r="AP42" s="222"/>
      <c r="AQ42" s="233"/>
    </row>
    <row r="43" spans="1:43" ht="12" customHeight="1" x14ac:dyDescent="0.2">
      <c r="A43" s="95" t="s">
        <v>210</v>
      </c>
      <c r="B43" s="223">
        <f>SUMIF('Monthly Detail'!$A:$A,$A43,CHOOSE(Month,JanA,FebA,MarA,AprA,MayA,JunA,JulA,AugA,SepA,OctA,NovA,DecA))</f>
        <v>0</v>
      </c>
      <c r="C43" s="222"/>
      <c r="D43" s="223">
        <f>SUMIF('Monthly Plan'!$A:$A,$A43,CHOOSE(Month,JanP,FebP,MarP,AprP,MayP,JunP,JulP,AugP,SepP,OctP,NovP,DecP))</f>
        <v>0</v>
      </c>
      <c r="E43" s="222"/>
      <c r="F43" s="223">
        <f>D43-B43</f>
        <v>0</v>
      </c>
      <c r="G43" s="222"/>
      <c r="H43" s="223">
        <f>SUMIF('Monthly Detail'!$A:$A,$A43,AYTD)</f>
        <v>0</v>
      </c>
      <c r="I43" s="222"/>
      <c r="J43" s="223">
        <f>SUMIF('Monthly Plan'!$A:$A,$A43,PYTD)</f>
        <v>0</v>
      </c>
      <c r="K43" s="222"/>
      <c r="L43" s="223">
        <f>J43-H43</f>
        <v>0</v>
      </c>
      <c r="N43" s="95" t="str">
        <f>A43</f>
        <v>Finance Allocation</v>
      </c>
      <c r="O43" s="223">
        <f>IF(O$9="Actual",SUMIF('Monthly Detail'!$A:$A,$A43,JanA),SUMIF('Monthly Plan'!$A:$A,$A43,JanP))</f>
        <v>0</v>
      </c>
      <c r="P43" s="223"/>
      <c r="Q43" s="223">
        <f>IF(Q$9="Actual",SUMIF('Monthly Detail'!$A:$A,$A43,FebA),SUMIF('Monthly Plan'!$A:$A,$A43,FebP))</f>
        <v>0</v>
      </c>
      <c r="R43" s="223"/>
      <c r="S43" s="223">
        <f>IF(S$9="Actual",SUMIF('Monthly Detail'!$A:$A,$A43,MarA),SUMIF('Monthly Plan'!$A:$A,$A43,MarP))</f>
        <v>0</v>
      </c>
      <c r="T43" s="223"/>
      <c r="U43" s="223">
        <f>IF(U$9="Actual",SUMIF('Monthly Detail'!$A:$A,$A43,AprA),SUMIF('Monthly Plan'!$A:$A,$A43,AprP))</f>
        <v>0</v>
      </c>
      <c r="V43" s="223"/>
      <c r="W43" s="223">
        <f>IF(W$9="Actual",SUMIF('Monthly Detail'!$A:$A,$A43,MayA),SUMIF('Monthly Plan'!$A:$A,$A43,MayP))</f>
        <v>0</v>
      </c>
      <c r="X43" s="223"/>
      <c r="Y43" s="223">
        <f>IF(Y$9="Actual",SUMIF('Monthly Detail'!$A:$A,$A43,JunA),SUMIF('Monthly Plan'!$A:$A,$A43,JunP))</f>
        <v>0</v>
      </c>
      <c r="Z43" s="223"/>
      <c r="AA43" s="223">
        <f>IF(AA$9="Actual",SUMIF('Monthly Detail'!$A:$A,$A43,JulA),SUMIF('Monthly Plan'!$A:$A,$A43,JulP))</f>
        <v>0</v>
      </c>
      <c r="AB43" s="223"/>
      <c r="AC43" s="223">
        <f>IF(AC$9="Actual",SUMIF('Monthly Detail'!$A:$A,$A43,AugA),SUMIF('Monthly Plan'!$A:$A,$A43,AugP))</f>
        <v>0</v>
      </c>
      <c r="AD43" s="223"/>
      <c r="AE43" s="223">
        <f>IF(AE$9="Actual",SUMIF('Monthly Detail'!$A:$A,$A43,SepA),SUMIF('Monthly Plan'!$A:$A,$A43,SepP))</f>
        <v>0</v>
      </c>
      <c r="AF43" s="223"/>
      <c r="AG43" s="223">
        <f>IF(AG$9="Actual",SUMIF('Monthly Detail'!$A:$A,$A43,OctA),SUMIF('Monthly Plan'!$A:$A,$A43,OctP))</f>
        <v>0</v>
      </c>
      <c r="AH43" s="223"/>
      <c r="AI43" s="223">
        <f>IF(AI$9="Actual",SUMIF('Monthly Detail'!$A:$A,$A43,NovA),SUMIF('Monthly Plan'!$A:$A,$A43,NovP))</f>
        <v>0</v>
      </c>
      <c r="AJ43" s="223"/>
      <c r="AK43" s="223">
        <f>IF(AK$9="Actual",SUMIF('Monthly Detail'!$A:$A,$A43,DecA),SUMIF('Monthly Plan'!$A:$A,$A43,DecP))</f>
        <v>0</v>
      </c>
      <c r="AL43" s="223"/>
      <c r="AM43" s="236">
        <f>SUM(O43:AK43)</f>
        <v>0</v>
      </c>
      <c r="AN43" s="222"/>
      <c r="AO43" s="237">
        <f>SUMIF('Monthly Plan'!$A:$A,$A43,totalplan)</f>
        <v>0</v>
      </c>
      <c r="AP43" s="222"/>
      <c r="AQ43" s="233"/>
    </row>
    <row r="44" spans="1:43" ht="12" customHeight="1" x14ac:dyDescent="0.2">
      <c r="A44" s="95" t="s">
        <v>185</v>
      </c>
      <c r="B44" s="223">
        <f>SUMIF('Monthly Detail'!$A:$A,$A44,CHOOSE(Month,JanA,FebA,MarA,AprA,MayA,JunA,JulA,AugA,SepA,OctA,NovA,DecA))</f>
        <v>0</v>
      </c>
      <c r="C44" s="222"/>
      <c r="D44" s="223">
        <f>SUMIF('Monthly Plan'!$A:$A,$A44,CHOOSE(Month,JanP,FebP,MarP,AprP,MayP,JunP,JulP,AugP,SepP,OctP,NovP,DecP))</f>
        <v>0</v>
      </c>
      <c r="E44" s="222"/>
      <c r="F44" s="223">
        <f t="shared" si="5"/>
        <v>0</v>
      </c>
      <c r="G44" s="222"/>
      <c r="H44" s="223">
        <f>SUMIF('Monthly Detail'!$A:$A,$A44,AYTD)</f>
        <v>0</v>
      </c>
      <c r="I44" s="222"/>
      <c r="J44" s="223">
        <f>SUMIF('Monthly Plan'!$A:$A,$A44,PYTD)</f>
        <v>0</v>
      </c>
      <c r="K44" s="222"/>
      <c r="L44" s="223">
        <f t="shared" si="6"/>
        <v>0</v>
      </c>
      <c r="N44" s="95" t="str">
        <f t="shared" si="4"/>
        <v>ENW Graphics Productions</v>
      </c>
      <c r="O44" s="223">
        <f>IF(O$9="Actual",SUMIF('Monthly Detail'!$A:$A,$A44,JanA),SUMIF('Monthly Plan'!$A:$A,$A44,JanP))</f>
        <v>0</v>
      </c>
      <c r="P44" s="223"/>
      <c r="Q44" s="223">
        <f>IF(Q$9="Actual",SUMIF('Monthly Detail'!$A:$A,$A44,FebA),SUMIF('Monthly Plan'!$A:$A,$A44,FebP))</f>
        <v>0</v>
      </c>
      <c r="R44" s="223"/>
      <c r="S44" s="223">
        <f>IF(S$9="Actual",SUMIF('Monthly Detail'!$A:$A,$A44,MarA),SUMIF('Monthly Plan'!$A:$A,$A44,MarP))</f>
        <v>0</v>
      </c>
      <c r="T44" s="223"/>
      <c r="U44" s="223">
        <f>IF(U$9="Actual",SUMIF('Monthly Detail'!$A:$A,$A44,AprA),SUMIF('Monthly Plan'!$A:$A,$A44,AprP))</f>
        <v>0</v>
      </c>
      <c r="V44" s="223"/>
      <c r="W44" s="223">
        <f>IF(W$9="Actual",SUMIF('Monthly Detail'!$A:$A,$A44,MayA),SUMIF('Monthly Plan'!$A:$A,$A44,MayP))</f>
        <v>0</v>
      </c>
      <c r="X44" s="223"/>
      <c r="Y44" s="223">
        <f>IF(Y$9="Actual",SUMIF('Monthly Detail'!$A:$A,$A44,JunA),SUMIF('Monthly Plan'!$A:$A,$A44,JunP))</f>
        <v>0</v>
      </c>
      <c r="Z44" s="223"/>
      <c r="AA44" s="223">
        <f>IF(AA$9="Actual",SUMIF('Monthly Detail'!$A:$A,$A44,JulA),SUMIF('Monthly Plan'!$A:$A,$A44,JulP))</f>
        <v>0</v>
      </c>
      <c r="AB44" s="223"/>
      <c r="AC44" s="223">
        <f>IF(AC$9="Actual",SUMIF('Monthly Detail'!$A:$A,$A44,AugA),SUMIF('Monthly Plan'!$A:$A,$A44,AugP))</f>
        <v>0</v>
      </c>
      <c r="AD44" s="223"/>
      <c r="AE44" s="223">
        <f>IF(AE$9="Actual",SUMIF('Monthly Detail'!$A:$A,$A44,SepA),SUMIF('Monthly Plan'!$A:$A,$A44,SepP))</f>
        <v>0</v>
      </c>
      <c r="AF44" s="223"/>
      <c r="AG44" s="223">
        <f>IF(AG$9="Actual",SUMIF('Monthly Detail'!$A:$A,$A44,OctA),SUMIF('Monthly Plan'!$A:$A,$A44,OctP))</f>
        <v>0</v>
      </c>
      <c r="AH44" s="223"/>
      <c r="AI44" s="223">
        <f>IF(AI$9="Actual",SUMIF('Monthly Detail'!$A:$A,$A44,NovA),SUMIF('Monthly Plan'!$A:$A,$A44,NovP))</f>
        <v>0</v>
      </c>
      <c r="AJ44" s="223"/>
      <c r="AK44" s="223">
        <f>IF(AK$9="Actual",SUMIF('Monthly Detail'!$A:$A,$A44,DecA),SUMIF('Monthly Plan'!$A:$A,$A44,DecP))</f>
        <v>0</v>
      </c>
      <c r="AL44" s="223"/>
      <c r="AM44" s="236">
        <f t="shared" si="7"/>
        <v>0</v>
      </c>
      <c r="AN44" s="222"/>
      <c r="AO44" s="237">
        <f>SUMIF('Monthly Plan'!$A:$A,$A44,totalplan)</f>
        <v>0</v>
      </c>
      <c r="AP44" s="222"/>
      <c r="AQ44" s="233"/>
    </row>
    <row r="45" spans="1:43" ht="12" customHeight="1" x14ac:dyDescent="0.2">
      <c r="A45" s="95" t="s">
        <v>186</v>
      </c>
      <c r="B45" s="223">
        <f>SUMIF('Monthly Detail'!$A:$A,$A45,CHOOSE(Month,JanA,FebA,MarA,AprA,MayA,JunA,JulA,AugA,SepA,OctA,NovA,DecA))</f>
        <v>0</v>
      </c>
      <c r="C45" s="222"/>
      <c r="D45" s="223">
        <f>SUMIF('Monthly Plan'!$A:$A,$A45,CHOOSE(Month,JanP,FebP,MarP,AprP,MayP,JunP,JulP,AugP,SepP,OctP,NovP,DecP))</f>
        <v>0</v>
      </c>
      <c r="E45" s="222"/>
      <c r="F45" s="223">
        <f t="shared" si="5"/>
        <v>0</v>
      </c>
      <c r="G45" s="222"/>
      <c r="H45" s="223">
        <f>SUMIF('Monthly Detail'!$A:$A,$A45,AYTD)</f>
        <v>0</v>
      </c>
      <c r="I45" s="222"/>
      <c r="J45" s="223">
        <f>SUMIF('Monthly Plan'!$A:$A,$A45,PYTD)</f>
        <v>0</v>
      </c>
      <c r="K45" s="222"/>
      <c r="L45" s="223">
        <f t="shared" si="6"/>
        <v>0</v>
      </c>
      <c r="N45" s="95" t="str">
        <f t="shared" si="4"/>
        <v>Energy Ops</v>
      </c>
      <c r="O45" s="223">
        <f>IF(O$9="Actual",SUMIF('Monthly Detail'!$A:$A,$A45,JanA),SUMIF('Monthly Plan'!$A:$A,$A45,JanP))</f>
        <v>0</v>
      </c>
      <c r="P45" s="223"/>
      <c r="Q45" s="223">
        <f>IF(Q$9="Actual",SUMIF('Monthly Detail'!$A:$A,$A45,FebA),SUMIF('Monthly Plan'!$A:$A,$A45,FebP))</f>
        <v>0</v>
      </c>
      <c r="R45" s="223"/>
      <c r="S45" s="223">
        <f>IF(S$9="Actual",SUMIF('Monthly Detail'!$A:$A,$A45,MarA),SUMIF('Monthly Plan'!$A:$A,$A45,MarP))</f>
        <v>0</v>
      </c>
      <c r="T45" s="223"/>
      <c r="U45" s="223">
        <f>IF(U$9="Actual",SUMIF('Monthly Detail'!$A:$A,$A45,AprA),SUMIF('Monthly Plan'!$A:$A,$A45,AprP))</f>
        <v>0</v>
      </c>
      <c r="V45" s="223"/>
      <c r="W45" s="223">
        <f>IF(W$9="Actual",SUMIF('Monthly Detail'!$A:$A,$A45,MayA),SUMIF('Monthly Plan'!$A:$A,$A45,MayP))</f>
        <v>0</v>
      </c>
      <c r="X45" s="223"/>
      <c r="Y45" s="223">
        <f>IF(Y$9="Actual",SUMIF('Monthly Detail'!$A:$A,$A45,JunA),SUMIF('Monthly Plan'!$A:$A,$A45,JunP))</f>
        <v>0</v>
      </c>
      <c r="Z45" s="223"/>
      <c r="AA45" s="223">
        <f>IF(AA$9="Actual",SUMIF('Monthly Detail'!$A:$A,$A45,JulA),SUMIF('Monthly Plan'!$A:$A,$A45,JulP))</f>
        <v>0</v>
      </c>
      <c r="AB45" s="223"/>
      <c r="AC45" s="223">
        <f>IF(AC$9="Actual",SUMIF('Monthly Detail'!$A:$A,$A45,AugA),SUMIF('Monthly Plan'!$A:$A,$A45,AugP))</f>
        <v>0</v>
      </c>
      <c r="AD45" s="223"/>
      <c r="AE45" s="223">
        <f>IF(AE$9="Actual",SUMIF('Monthly Detail'!$A:$A,$A45,SepA),SUMIF('Monthly Plan'!$A:$A,$A45,SepP))</f>
        <v>0</v>
      </c>
      <c r="AF45" s="223"/>
      <c r="AG45" s="223">
        <f>IF(AG$9="Actual",SUMIF('Monthly Detail'!$A:$A,$A45,OctA),SUMIF('Monthly Plan'!$A:$A,$A45,OctP))</f>
        <v>0</v>
      </c>
      <c r="AH45" s="223"/>
      <c r="AI45" s="223">
        <f>IF(AI$9="Actual",SUMIF('Monthly Detail'!$A:$A,$A45,NovA),SUMIF('Monthly Plan'!$A:$A,$A45,NovP))</f>
        <v>0</v>
      </c>
      <c r="AJ45" s="223"/>
      <c r="AK45" s="223">
        <f>IF(AK$9="Actual",SUMIF('Monthly Detail'!$A:$A,$A45,DecA),SUMIF('Monthly Plan'!$A:$A,$A45,DecP))</f>
        <v>0</v>
      </c>
      <c r="AL45" s="223"/>
      <c r="AM45" s="236">
        <f t="shared" si="7"/>
        <v>0</v>
      </c>
      <c r="AN45" s="222"/>
      <c r="AO45" s="237">
        <f>SUMIF('Monthly Plan'!$A:$A,$A45,totalplan)</f>
        <v>0</v>
      </c>
      <c r="AP45" s="222"/>
      <c r="AQ45" s="233"/>
    </row>
    <row r="46" spans="1:43" ht="12" customHeight="1" x14ac:dyDescent="0.2">
      <c r="A46" s="95" t="s">
        <v>187</v>
      </c>
      <c r="B46" s="223">
        <f>SUMIF('Monthly Detail'!$A:$A,$A46,CHOOSE(Month,JanA,FebA,MarA,AprA,MayA,JunA,JulA,AugA,SepA,OctA,NovA,DecA))</f>
        <v>0</v>
      </c>
      <c r="C46" s="222"/>
      <c r="D46" s="223">
        <f>SUMIF('Monthly Plan'!$A:$A,$A46,CHOOSE(Month,JanP,FebP,MarP,AprP,MayP,JunP,JulP,AugP,SepP,OctP,NovP,DecP))</f>
        <v>0</v>
      </c>
      <c r="E46" s="222"/>
      <c r="F46" s="223">
        <f t="shared" si="5"/>
        <v>0</v>
      </c>
      <c r="G46" s="222"/>
      <c r="H46" s="223">
        <f>SUMIF('Monthly Detail'!$A:$A,$A46,AYTD)</f>
        <v>0</v>
      </c>
      <c r="I46" s="222"/>
      <c r="J46" s="223">
        <f>SUMIF('Monthly Plan'!$A:$A,$A46,PYTD)</f>
        <v>0</v>
      </c>
      <c r="K46" s="222"/>
      <c r="L46" s="223">
        <f t="shared" si="6"/>
        <v>0</v>
      </c>
      <c r="N46" s="95" t="str">
        <f t="shared" si="4"/>
        <v>ENA Tax</v>
      </c>
      <c r="O46" s="223">
        <f>IF(O$9="Actual",SUMIF('Monthly Detail'!$A:$A,$A46,JanA),SUMIF('Monthly Plan'!$A:$A,$A46,JanP))</f>
        <v>0</v>
      </c>
      <c r="P46" s="223"/>
      <c r="Q46" s="223">
        <f>IF(Q$9="Actual",SUMIF('Monthly Detail'!$A:$A,$A46,FebA),SUMIF('Monthly Plan'!$A:$A,$A46,FebP))</f>
        <v>0</v>
      </c>
      <c r="R46" s="223"/>
      <c r="S46" s="223">
        <f>IF(S$9="Actual",SUMIF('Monthly Detail'!$A:$A,$A46,MarA),SUMIF('Monthly Plan'!$A:$A,$A46,MarP))</f>
        <v>0</v>
      </c>
      <c r="T46" s="223"/>
      <c r="U46" s="223">
        <f>IF(U$9="Actual",SUMIF('Monthly Detail'!$A:$A,$A46,AprA),SUMIF('Monthly Plan'!$A:$A,$A46,AprP))</f>
        <v>0</v>
      </c>
      <c r="V46" s="223"/>
      <c r="W46" s="223">
        <f>IF(W$9="Actual",SUMIF('Monthly Detail'!$A:$A,$A46,MayA),SUMIF('Monthly Plan'!$A:$A,$A46,MayP))</f>
        <v>0</v>
      </c>
      <c r="X46" s="223"/>
      <c r="Y46" s="223">
        <f>IF(Y$9="Actual",SUMIF('Monthly Detail'!$A:$A,$A46,JunA),SUMIF('Monthly Plan'!$A:$A,$A46,JunP))</f>
        <v>0</v>
      </c>
      <c r="Z46" s="223"/>
      <c r="AA46" s="223">
        <f>IF(AA$9="Actual",SUMIF('Monthly Detail'!$A:$A,$A46,JulA),SUMIF('Monthly Plan'!$A:$A,$A46,JulP))</f>
        <v>0</v>
      </c>
      <c r="AB46" s="223"/>
      <c r="AC46" s="223">
        <f>IF(AC$9="Actual",SUMIF('Monthly Detail'!$A:$A,$A46,AugA),SUMIF('Monthly Plan'!$A:$A,$A46,AugP))</f>
        <v>0</v>
      </c>
      <c r="AD46" s="223"/>
      <c r="AE46" s="223">
        <f>IF(AE$9="Actual",SUMIF('Monthly Detail'!$A:$A,$A46,SepA),SUMIF('Monthly Plan'!$A:$A,$A46,SepP))</f>
        <v>0</v>
      </c>
      <c r="AF46" s="223"/>
      <c r="AG46" s="223">
        <f>IF(AG$9="Actual",SUMIF('Monthly Detail'!$A:$A,$A46,OctA),SUMIF('Monthly Plan'!$A:$A,$A46,OctP))</f>
        <v>0</v>
      </c>
      <c r="AH46" s="223"/>
      <c r="AI46" s="223">
        <f>IF(AI$9="Actual",SUMIF('Monthly Detail'!$A:$A,$A46,NovA),SUMIF('Monthly Plan'!$A:$A,$A46,NovP))</f>
        <v>0</v>
      </c>
      <c r="AJ46" s="223"/>
      <c r="AK46" s="223">
        <f>IF(AK$9="Actual",SUMIF('Monthly Detail'!$A:$A,$A46,DecA),SUMIF('Monthly Plan'!$A:$A,$A46,DecP))</f>
        <v>0</v>
      </c>
      <c r="AL46" s="223"/>
      <c r="AM46" s="236">
        <f t="shared" si="7"/>
        <v>0</v>
      </c>
      <c r="AN46" s="222"/>
      <c r="AO46" s="237">
        <f>SUMIF('Monthly Plan'!$A:$A,$A46,totalplan)</f>
        <v>0</v>
      </c>
      <c r="AP46" s="222"/>
      <c r="AQ46" s="233"/>
    </row>
    <row r="47" spans="1:43" ht="12" customHeight="1" x14ac:dyDescent="0.2">
      <c r="A47" s="95" t="s">
        <v>188</v>
      </c>
      <c r="B47" s="223">
        <f>SUMIF('Monthly Detail'!$A:$A,$A47,CHOOSE(Month,JanA,FebA,MarA,AprA,MayA,JunA,JulA,AugA,SepA,OctA,NovA,DecA))</f>
        <v>0</v>
      </c>
      <c r="C47" s="222"/>
      <c r="D47" s="223">
        <f>SUMIF('Monthly Plan'!$A:$A,$A47,CHOOSE(Month,JanP,FebP,MarP,AprP,MayP,JunP,JulP,AugP,SepP,OctP,NovP,DecP))</f>
        <v>0</v>
      </c>
      <c r="E47" s="222"/>
      <c r="F47" s="223">
        <f t="shared" si="5"/>
        <v>0</v>
      </c>
      <c r="G47" s="222"/>
      <c r="H47" s="223">
        <f>SUMIF('Monthly Detail'!$A:$A,$A47,AYTD)</f>
        <v>0</v>
      </c>
      <c r="I47" s="222"/>
      <c r="J47" s="223">
        <f>SUMIF('Monthly Plan'!$A:$A,$A47,PYTD)</f>
        <v>0</v>
      </c>
      <c r="K47" s="222"/>
      <c r="L47" s="223">
        <f t="shared" si="6"/>
        <v>0</v>
      </c>
      <c r="N47" s="95" t="str">
        <f t="shared" si="4"/>
        <v>ENA Legal</v>
      </c>
      <c r="O47" s="223">
        <f>IF(O$9="Actual",SUMIF('Monthly Detail'!$A:$A,$A47,JanA),SUMIF('Monthly Plan'!$A:$A,$A47,JanP))</f>
        <v>0</v>
      </c>
      <c r="P47" s="223"/>
      <c r="Q47" s="223">
        <f>IF(Q$9="Actual",SUMIF('Monthly Detail'!$A:$A,$A47,FebA),SUMIF('Monthly Plan'!$A:$A,$A47,FebP))</f>
        <v>0</v>
      </c>
      <c r="R47" s="223"/>
      <c r="S47" s="223">
        <f>IF(S$9="Actual",SUMIF('Monthly Detail'!$A:$A,$A47,MarA),SUMIF('Monthly Plan'!$A:$A,$A47,MarP))</f>
        <v>0</v>
      </c>
      <c r="T47" s="223"/>
      <c r="U47" s="223">
        <f>IF(U$9="Actual",SUMIF('Monthly Detail'!$A:$A,$A47,AprA),SUMIF('Monthly Plan'!$A:$A,$A47,AprP))</f>
        <v>0</v>
      </c>
      <c r="V47" s="223"/>
      <c r="W47" s="223">
        <f>IF(W$9="Actual",SUMIF('Monthly Detail'!$A:$A,$A47,MayA),SUMIF('Monthly Plan'!$A:$A,$A47,MayP))</f>
        <v>0</v>
      </c>
      <c r="X47" s="223"/>
      <c r="Y47" s="223">
        <f>IF(Y$9="Actual",SUMIF('Monthly Detail'!$A:$A,$A47,JunA),SUMIF('Monthly Plan'!$A:$A,$A47,JunP))</f>
        <v>0</v>
      </c>
      <c r="Z47" s="223"/>
      <c r="AA47" s="223">
        <f>IF(AA$9="Actual",SUMIF('Monthly Detail'!$A:$A,$A47,JulA),SUMIF('Monthly Plan'!$A:$A,$A47,JulP))</f>
        <v>0</v>
      </c>
      <c r="AB47" s="223"/>
      <c r="AC47" s="223">
        <f>IF(AC$9="Actual",SUMIF('Monthly Detail'!$A:$A,$A47,AugA),SUMIF('Monthly Plan'!$A:$A,$A47,AugP))</f>
        <v>0</v>
      </c>
      <c r="AD47" s="223"/>
      <c r="AE47" s="223">
        <f>IF(AE$9="Actual",SUMIF('Monthly Detail'!$A:$A,$A47,SepA),SUMIF('Monthly Plan'!$A:$A,$A47,SepP))</f>
        <v>0</v>
      </c>
      <c r="AF47" s="223"/>
      <c r="AG47" s="223">
        <f>IF(AG$9="Actual",SUMIF('Monthly Detail'!$A:$A,$A47,OctA),SUMIF('Monthly Plan'!$A:$A,$A47,OctP))</f>
        <v>0</v>
      </c>
      <c r="AH47" s="223"/>
      <c r="AI47" s="223">
        <f>IF(AI$9="Actual",SUMIF('Monthly Detail'!$A:$A,$A47,NovA),SUMIF('Monthly Plan'!$A:$A,$A47,NovP))</f>
        <v>0</v>
      </c>
      <c r="AJ47" s="223"/>
      <c r="AK47" s="223">
        <f>IF(AK$9="Actual",SUMIF('Monthly Detail'!$A:$A,$A47,DecA),SUMIF('Monthly Plan'!$A:$A,$A47,DecP))</f>
        <v>0</v>
      </c>
      <c r="AL47" s="223"/>
      <c r="AM47" s="236">
        <f t="shared" si="7"/>
        <v>0</v>
      </c>
      <c r="AN47" s="222"/>
      <c r="AO47" s="237">
        <f>SUMIF('Monthly Plan'!$A:$A,$A47,totalplan)</f>
        <v>0</v>
      </c>
      <c r="AP47" s="222"/>
      <c r="AQ47" s="233"/>
    </row>
    <row r="48" spans="1:43" ht="12" customHeight="1" x14ac:dyDescent="0.2">
      <c r="A48" s="95" t="s">
        <v>189</v>
      </c>
      <c r="B48" s="223">
        <f>SUMIF('Monthly Detail'!$A:$A,$A48,CHOOSE(Month,JanA,FebA,MarA,AprA,MayA,JunA,JulA,AugA,SepA,OctA,NovA,DecA))</f>
        <v>0</v>
      </c>
      <c r="C48" s="222"/>
      <c r="D48" s="223">
        <f>SUMIF('Monthly Plan'!$A:$A,$A48,CHOOSE(Month,JanP,FebP,MarP,AprP,MayP,JunP,JulP,AugP,SepP,OctP,NovP,DecP))</f>
        <v>0</v>
      </c>
      <c r="E48" s="222"/>
      <c r="F48" s="223">
        <f t="shared" si="5"/>
        <v>0</v>
      </c>
      <c r="G48" s="222"/>
      <c r="H48" s="223">
        <f>SUMIF('Monthly Detail'!$A:$A,$A48,AYTD)</f>
        <v>0</v>
      </c>
      <c r="I48" s="222"/>
      <c r="J48" s="223">
        <f>SUMIF('Monthly Plan'!$A:$A,$A48,PYTD)</f>
        <v>0</v>
      </c>
      <c r="K48" s="222"/>
      <c r="L48" s="223">
        <f t="shared" si="6"/>
        <v>0</v>
      </c>
      <c r="N48" s="95" t="str">
        <f t="shared" si="4"/>
        <v>ENA HR</v>
      </c>
      <c r="O48" s="223">
        <f>IF(O$9="Actual",SUMIF('Monthly Detail'!$A:$A,$A48,JanA),SUMIF('Monthly Plan'!$A:$A,$A48,JanP))</f>
        <v>0</v>
      </c>
      <c r="P48" s="223"/>
      <c r="Q48" s="223">
        <f>IF(Q$9="Actual",SUMIF('Monthly Detail'!$A:$A,$A48,FebA),SUMIF('Monthly Plan'!$A:$A,$A48,FebP))</f>
        <v>0</v>
      </c>
      <c r="R48" s="223"/>
      <c r="S48" s="223">
        <f>IF(S$9="Actual",SUMIF('Monthly Detail'!$A:$A,$A48,MarA),SUMIF('Monthly Plan'!$A:$A,$A48,MarP))</f>
        <v>0</v>
      </c>
      <c r="T48" s="223"/>
      <c r="U48" s="223">
        <f>IF(U$9="Actual",SUMIF('Monthly Detail'!$A:$A,$A48,AprA),SUMIF('Monthly Plan'!$A:$A,$A48,AprP))</f>
        <v>0</v>
      </c>
      <c r="V48" s="223"/>
      <c r="W48" s="223">
        <f>IF(W$9="Actual",SUMIF('Monthly Detail'!$A:$A,$A48,MayA),SUMIF('Monthly Plan'!$A:$A,$A48,MayP))</f>
        <v>0</v>
      </c>
      <c r="X48" s="223"/>
      <c r="Y48" s="223">
        <f>IF(Y$9="Actual",SUMIF('Monthly Detail'!$A:$A,$A48,JunA),SUMIF('Monthly Plan'!$A:$A,$A48,JunP))</f>
        <v>0</v>
      </c>
      <c r="Z48" s="223"/>
      <c r="AA48" s="223">
        <f>IF(AA$9="Actual",SUMIF('Monthly Detail'!$A:$A,$A48,JulA),SUMIF('Monthly Plan'!$A:$A,$A48,JulP))</f>
        <v>0</v>
      </c>
      <c r="AB48" s="223"/>
      <c r="AC48" s="223">
        <f>IF(AC$9="Actual",SUMIF('Monthly Detail'!$A:$A,$A48,AugA),SUMIF('Monthly Plan'!$A:$A,$A48,AugP))</f>
        <v>0</v>
      </c>
      <c r="AD48" s="223"/>
      <c r="AE48" s="223">
        <f>IF(AE$9="Actual",SUMIF('Monthly Detail'!$A:$A,$A48,SepA),SUMIF('Monthly Plan'!$A:$A,$A48,SepP))</f>
        <v>0</v>
      </c>
      <c r="AF48" s="223"/>
      <c r="AG48" s="223">
        <f>IF(AG$9="Actual",SUMIF('Monthly Detail'!$A:$A,$A48,OctA),SUMIF('Monthly Plan'!$A:$A,$A48,OctP))</f>
        <v>0</v>
      </c>
      <c r="AH48" s="223"/>
      <c r="AI48" s="223">
        <f>IF(AI$9="Actual",SUMIF('Monthly Detail'!$A:$A,$A48,NovA),SUMIF('Monthly Plan'!$A:$A,$A48,NovP))</f>
        <v>0</v>
      </c>
      <c r="AJ48" s="223"/>
      <c r="AK48" s="223">
        <f>IF(AK$9="Actual",SUMIF('Monthly Detail'!$A:$A,$A48,DecA),SUMIF('Monthly Plan'!$A:$A,$A48,DecP))</f>
        <v>0</v>
      </c>
      <c r="AL48" s="223"/>
      <c r="AM48" s="236">
        <f t="shared" si="7"/>
        <v>0</v>
      </c>
      <c r="AN48" s="222"/>
      <c r="AO48" s="237">
        <f>SUMIF('Monthly Plan'!$A:$A,$A48,totalplan)</f>
        <v>0</v>
      </c>
      <c r="AP48" s="222"/>
      <c r="AQ48" s="233"/>
    </row>
    <row r="49" spans="1:45" ht="12" customHeight="1" x14ac:dyDescent="0.2">
      <c r="A49" s="95" t="s">
        <v>190</v>
      </c>
      <c r="B49" s="223">
        <f>SUMIF('Monthly Detail'!$A:$A,$A49,CHOOSE(Month,JanA,FebA,MarA,AprA,MayA,JunA,JulA,AugA,SepA,OctA,NovA,DecA))</f>
        <v>0</v>
      </c>
      <c r="C49" s="222"/>
      <c r="D49" s="223">
        <f>SUMIF('Monthly Plan'!$A:$A,$A49,CHOOSE(Month,JanP,FebP,MarP,AprP,MayP,JunP,JulP,AugP,SepP,OctP,NovP,DecP))</f>
        <v>0</v>
      </c>
      <c r="E49" s="222"/>
      <c r="F49" s="223">
        <f t="shared" si="5"/>
        <v>0</v>
      </c>
      <c r="G49" s="222"/>
      <c r="H49" s="223">
        <f>SUMIF('Monthly Detail'!$A:$A,$A49,AYTD)</f>
        <v>0</v>
      </c>
      <c r="I49" s="222"/>
      <c r="J49" s="223">
        <f>SUMIF('Monthly Plan'!$A:$A,$A49,PYTD)</f>
        <v>0</v>
      </c>
      <c r="K49" s="222"/>
      <c r="L49" s="223">
        <f t="shared" si="6"/>
        <v>0</v>
      </c>
      <c r="N49" s="95" t="str">
        <f t="shared" si="4"/>
        <v>ENA E-Source</v>
      </c>
      <c r="O49" s="223">
        <f>IF(O$9="Actual",SUMIF('Monthly Detail'!$A:$A,$A49,JanA),SUMIF('Monthly Plan'!$A:$A,$A49,JanP))</f>
        <v>0</v>
      </c>
      <c r="P49" s="223"/>
      <c r="Q49" s="223">
        <f>IF(Q$9="Actual",SUMIF('Monthly Detail'!$A:$A,$A49,FebA),SUMIF('Monthly Plan'!$A:$A,$A49,FebP))</f>
        <v>0</v>
      </c>
      <c r="R49" s="223"/>
      <c r="S49" s="223">
        <f>IF(S$9="Actual",SUMIF('Monthly Detail'!$A:$A,$A49,MarA),SUMIF('Monthly Plan'!$A:$A,$A49,MarP))</f>
        <v>0</v>
      </c>
      <c r="T49" s="223"/>
      <c r="U49" s="223">
        <f>IF(U$9="Actual",SUMIF('Monthly Detail'!$A:$A,$A49,AprA),SUMIF('Monthly Plan'!$A:$A,$A49,AprP))</f>
        <v>0</v>
      </c>
      <c r="V49" s="223"/>
      <c r="W49" s="223">
        <f>IF(W$9="Actual",SUMIF('Monthly Detail'!$A:$A,$A49,MayA),SUMIF('Monthly Plan'!$A:$A,$A49,MayP))</f>
        <v>0</v>
      </c>
      <c r="X49" s="223"/>
      <c r="Y49" s="223">
        <f>IF(Y$9="Actual",SUMIF('Monthly Detail'!$A:$A,$A49,JunA),SUMIF('Monthly Plan'!$A:$A,$A49,JunP))</f>
        <v>0</v>
      </c>
      <c r="Z49" s="223"/>
      <c r="AA49" s="223">
        <f>IF(AA$9="Actual",SUMIF('Monthly Detail'!$A:$A,$A49,JulA),SUMIF('Monthly Plan'!$A:$A,$A49,JulP))</f>
        <v>0</v>
      </c>
      <c r="AB49" s="223"/>
      <c r="AC49" s="223">
        <f>IF(AC$9="Actual",SUMIF('Monthly Detail'!$A:$A,$A49,AugA),SUMIF('Monthly Plan'!$A:$A,$A49,AugP))</f>
        <v>0</v>
      </c>
      <c r="AD49" s="223"/>
      <c r="AE49" s="223">
        <f>IF(AE$9="Actual",SUMIF('Monthly Detail'!$A:$A,$A49,SepA),SUMIF('Monthly Plan'!$A:$A,$A49,SepP))</f>
        <v>0</v>
      </c>
      <c r="AF49" s="223"/>
      <c r="AG49" s="223">
        <f>IF(AG$9="Actual",SUMIF('Monthly Detail'!$A:$A,$A49,OctA),SUMIF('Monthly Plan'!$A:$A,$A49,OctP))</f>
        <v>0</v>
      </c>
      <c r="AH49" s="223"/>
      <c r="AI49" s="223">
        <f>IF(AI$9="Actual",SUMIF('Monthly Detail'!$A:$A,$A49,NovA),SUMIF('Monthly Plan'!$A:$A,$A49,NovP))</f>
        <v>0</v>
      </c>
      <c r="AJ49" s="223"/>
      <c r="AK49" s="223">
        <f>IF(AK$9="Actual",SUMIF('Monthly Detail'!$A:$A,$A49,DecA),SUMIF('Monthly Plan'!$A:$A,$A49,DecP))</f>
        <v>0</v>
      </c>
      <c r="AL49" s="223"/>
      <c r="AM49" s="236">
        <f t="shared" si="7"/>
        <v>0</v>
      </c>
      <c r="AN49" s="222"/>
      <c r="AO49" s="237">
        <f>SUMIF('Monthly Plan'!$A:$A,$A49,totalplan)</f>
        <v>0</v>
      </c>
      <c r="AP49" s="222"/>
      <c r="AQ49" s="233"/>
    </row>
    <row r="50" spans="1:45" ht="12" customHeight="1" x14ac:dyDescent="0.2">
      <c r="A50" s="88" t="s">
        <v>208</v>
      </c>
      <c r="B50" s="223">
        <f>SUMIF('Monthly Detail'!$A:$A,$A50,CHOOSE(Month,JanA,FebA,MarA,AprA,MayA,JunA,JulA,AugA,SepA,OctA,NovA,DecA))</f>
        <v>0</v>
      </c>
      <c r="C50" s="222"/>
      <c r="D50" s="223">
        <f>SUMIF('Monthly Plan'!$A:$A,$A50,CHOOSE(Month,JanP,FebP,MarP,AprP,MayP,JunP,JulP,AugP,SepP,OctP,NovP,DecP))</f>
        <v>0</v>
      </c>
      <c r="E50" s="222"/>
      <c r="F50" s="223">
        <f>D50-B50</f>
        <v>0</v>
      </c>
      <c r="G50" s="222"/>
      <c r="H50" s="223">
        <f>SUMIF('Monthly Detail'!$A:$A,$A50,AYTD)</f>
        <v>0</v>
      </c>
      <c r="I50" s="222"/>
      <c r="J50" s="223">
        <f>SUMIF('Monthly Plan'!$A:$A,$A50,PYTD)</f>
        <v>0</v>
      </c>
      <c r="K50" s="222"/>
      <c r="L50" s="223">
        <f>J50-H50</f>
        <v>0</v>
      </c>
      <c r="N50" s="95" t="str">
        <f>A50</f>
        <v>ENW EOL Allocation</v>
      </c>
      <c r="O50" s="223">
        <f>IF(O$9="Actual",SUMIF('Monthly Detail'!$A:$A,$A50,JanA),SUMIF('Monthly Plan'!$A:$A,$A50,JanP))</f>
        <v>0</v>
      </c>
      <c r="P50" s="223"/>
      <c r="Q50" s="223">
        <f>IF(Q$9="Actual",SUMIF('Monthly Detail'!$A:$A,$A50,FebA),SUMIF('Monthly Plan'!$A:$A,$A50,FebP))</f>
        <v>0</v>
      </c>
      <c r="R50" s="223"/>
      <c r="S50" s="223">
        <f>IF(S$9="Actual",SUMIF('Monthly Detail'!$A:$A,$A50,MarA),SUMIF('Monthly Plan'!$A:$A,$A50,MarP))</f>
        <v>0</v>
      </c>
      <c r="T50" s="223"/>
      <c r="U50" s="223">
        <f>IF(U$9="Actual",SUMIF('Monthly Detail'!$A:$A,$A50,AprA),SUMIF('Monthly Plan'!$A:$A,$A50,AprP))</f>
        <v>0</v>
      </c>
      <c r="V50" s="223"/>
      <c r="W50" s="223">
        <f>IF(W$9="Actual",SUMIF('Monthly Detail'!$A:$A,$A50,MayA),SUMIF('Monthly Plan'!$A:$A,$A50,MayP))</f>
        <v>0</v>
      </c>
      <c r="X50" s="223"/>
      <c r="Y50" s="223">
        <f>IF(Y$9="Actual",SUMIF('Monthly Detail'!$A:$A,$A50,JunA),SUMIF('Monthly Plan'!$A:$A,$A50,JunP))</f>
        <v>0</v>
      </c>
      <c r="Z50" s="223"/>
      <c r="AA50" s="223">
        <f>IF(AA$9="Actual",SUMIF('Monthly Detail'!$A:$A,$A50,JulA),SUMIF('Monthly Plan'!$A:$A,$A50,JulP))</f>
        <v>0</v>
      </c>
      <c r="AB50" s="223"/>
      <c r="AC50" s="223">
        <f>IF(AC$9="Actual",SUMIF('Monthly Detail'!$A:$A,$A50,AugA),SUMIF('Monthly Plan'!$A:$A,$A50,AugP))</f>
        <v>0</v>
      </c>
      <c r="AD50" s="223"/>
      <c r="AE50" s="223">
        <f>IF(AE$9="Actual",SUMIF('Monthly Detail'!$A:$A,$A50,SepA),SUMIF('Monthly Plan'!$A:$A,$A50,SepP))</f>
        <v>0</v>
      </c>
      <c r="AF50" s="223"/>
      <c r="AG50" s="223">
        <f>IF(AG$9="Actual",SUMIF('Monthly Detail'!$A:$A,$A50,OctA),SUMIF('Monthly Plan'!$A:$A,$A50,OctP))</f>
        <v>0</v>
      </c>
      <c r="AH50" s="223"/>
      <c r="AI50" s="223">
        <f>IF(AI$9="Actual",SUMIF('Monthly Detail'!$A:$A,$A50,NovA),SUMIF('Monthly Plan'!$A:$A,$A50,NovP))</f>
        <v>0</v>
      </c>
      <c r="AJ50" s="223"/>
      <c r="AK50" s="223">
        <f>IF(AK$9="Actual",SUMIF('Monthly Detail'!$A:$A,$A50,DecA),SUMIF('Monthly Plan'!$A:$A,$A50,DecP))</f>
        <v>0</v>
      </c>
      <c r="AL50" s="223"/>
      <c r="AM50" s="236">
        <f>SUM(O50:AK50)</f>
        <v>0</v>
      </c>
      <c r="AN50" s="222"/>
      <c r="AO50" s="237">
        <f>SUMIF('Monthly Plan'!$A:$A,$A50,totalplan)</f>
        <v>0</v>
      </c>
      <c r="AP50" s="222"/>
      <c r="AQ50" s="233"/>
    </row>
    <row r="51" spans="1:45" ht="12" customHeight="1" x14ac:dyDescent="0.2">
      <c r="A51" s="95" t="s">
        <v>191</v>
      </c>
      <c r="B51" s="223">
        <f>SUMIF('Monthly Detail'!$A:$A,$A51,CHOOSE(Month,JanA,FebA,MarA,AprA,MayA,JunA,JulA,AugA,SepA,OctA,NovA,DecA))</f>
        <v>0</v>
      </c>
      <c r="C51" s="222"/>
      <c r="D51" s="223">
        <f>SUMIF('Monthly Plan'!$A:$A,$A51,CHOOSE(Month,JanP,FebP,MarP,AprP,MayP,JunP,JulP,AugP,SepP,OctP,NovP,DecP))</f>
        <v>0</v>
      </c>
      <c r="E51" s="222"/>
      <c r="F51" s="223">
        <f t="shared" si="5"/>
        <v>0</v>
      </c>
      <c r="G51" s="222"/>
      <c r="H51" s="223">
        <f>SUMIF('Monthly Detail'!$A:$A,$A51,AYTD)</f>
        <v>0</v>
      </c>
      <c r="I51" s="222"/>
      <c r="J51" s="223">
        <f>SUMIF('Monthly Plan'!$A:$A,$A51,PYTD)</f>
        <v>0</v>
      </c>
      <c r="K51" s="222"/>
      <c r="L51" s="223">
        <f t="shared" si="6"/>
        <v>0</v>
      </c>
      <c r="N51" s="95" t="str">
        <f t="shared" si="4"/>
        <v>IT e-Commerce</v>
      </c>
      <c r="O51" s="223">
        <f>IF(O$9="Actual",SUMIF('Monthly Detail'!$A:$A,$A51,JanA),SUMIF('Monthly Plan'!$A:$A,$A51,JanP))</f>
        <v>0</v>
      </c>
      <c r="P51" s="223"/>
      <c r="Q51" s="223">
        <f>IF(Q$9="Actual",SUMIF('Monthly Detail'!$A:$A,$A51,FebA),SUMIF('Monthly Plan'!$A:$A,$A51,FebP))</f>
        <v>0</v>
      </c>
      <c r="R51" s="223"/>
      <c r="S51" s="223">
        <f>IF(S$9="Actual",SUMIF('Monthly Detail'!$A:$A,$A51,MarA),SUMIF('Monthly Plan'!$A:$A,$A51,MarP))</f>
        <v>0</v>
      </c>
      <c r="T51" s="223"/>
      <c r="U51" s="223">
        <f>IF(U$9="Actual",SUMIF('Monthly Detail'!$A:$A,$A51,AprA),SUMIF('Monthly Plan'!$A:$A,$A51,AprP))</f>
        <v>0</v>
      </c>
      <c r="V51" s="223"/>
      <c r="W51" s="223">
        <f>IF(W$9="Actual",SUMIF('Monthly Detail'!$A:$A,$A51,MayA),SUMIF('Monthly Plan'!$A:$A,$A51,MayP))</f>
        <v>0</v>
      </c>
      <c r="X51" s="223"/>
      <c r="Y51" s="223">
        <f>IF(Y$9="Actual",SUMIF('Monthly Detail'!$A:$A,$A51,JunA),SUMIF('Monthly Plan'!$A:$A,$A51,JunP))</f>
        <v>0</v>
      </c>
      <c r="Z51" s="223"/>
      <c r="AA51" s="223">
        <f>IF(AA$9="Actual",SUMIF('Monthly Detail'!$A:$A,$A51,JulA),SUMIF('Monthly Plan'!$A:$A,$A51,JulP))</f>
        <v>0</v>
      </c>
      <c r="AB51" s="223"/>
      <c r="AC51" s="223">
        <f>IF(AC$9="Actual",SUMIF('Monthly Detail'!$A:$A,$A51,AugA),SUMIF('Monthly Plan'!$A:$A,$A51,AugP))</f>
        <v>0</v>
      </c>
      <c r="AD51" s="223"/>
      <c r="AE51" s="223">
        <f>IF(AE$9="Actual",SUMIF('Monthly Detail'!$A:$A,$A51,SepA),SUMIF('Monthly Plan'!$A:$A,$A51,SepP))</f>
        <v>0</v>
      </c>
      <c r="AF51" s="223"/>
      <c r="AG51" s="223">
        <f>IF(AG$9="Actual",SUMIF('Monthly Detail'!$A:$A,$A51,OctA),SUMIF('Monthly Plan'!$A:$A,$A51,OctP))</f>
        <v>0</v>
      </c>
      <c r="AH51" s="223"/>
      <c r="AI51" s="223">
        <f>IF(AI$9="Actual",SUMIF('Monthly Detail'!$A:$A,$A51,NovA),SUMIF('Monthly Plan'!$A:$A,$A51,NovP))</f>
        <v>0</v>
      </c>
      <c r="AJ51" s="223"/>
      <c r="AK51" s="223">
        <f>IF(AK$9="Actual",SUMIF('Monthly Detail'!$A:$A,$A51,DecA),SUMIF('Monthly Plan'!$A:$A,$A51,DecP))</f>
        <v>0</v>
      </c>
      <c r="AL51" s="223"/>
      <c r="AM51" s="236">
        <f t="shared" si="7"/>
        <v>0</v>
      </c>
      <c r="AN51" s="222"/>
      <c r="AO51" s="237">
        <f>SUMIF('Monthly Plan'!$A:$A,$A51,totalplan)</f>
        <v>0</v>
      </c>
      <c r="AP51" s="222"/>
      <c r="AQ51" s="233"/>
    </row>
    <row r="52" spans="1:45" ht="12" customHeight="1" x14ac:dyDescent="0.2">
      <c r="A52" s="88" t="s">
        <v>198</v>
      </c>
      <c r="B52" s="223">
        <f>SUMIF('Monthly Detail'!$A:$A,$A52,CHOOSE(Month,JanA,FebA,MarA,AprA,MayA,JunA,JulA,AugA,SepA,OctA,NovA,DecA))</f>
        <v>0</v>
      </c>
      <c r="C52" s="222"/>
      <c r="D52" s="223">
        <f>SUMIF('Monthly Plan'!$A:$A,$A52,CHOOSE(Month,JanP,FebP,MarP,AprP,MayP,JunP,JulP,AugP,SepP,OctP,NovP,DecP))</f>
        <v>0</v>
      </c>
      <c r="E52" s="222"/>
      <c r="F52" s="223">
        <f t="shared" si="5"/>
        <v>0</v>
      </c>
      <c r="G52" s="222"/>
      <c r="H52" s="223">
        <f>SUMIF('Monthly Detail'!$A:$A,$A52,AYTD)</f>
        <v>0</v>
      </c>
      <c r="I52" s="222"/>
      <c r="J52" s="223">
        <f>SUMIF('Monthly Plan'!$A:$A,$A52,PYTD)</f>
        <v>0</v>
      </c>
      <c r="K52" s="222"/>
      <c r="L52" s="223">
        <f t="shared" si="6"/>
        <v>0</v>
      </c>
      <c r="N52" s="95" t="str">
        <f t="shared" si="4"/>
        <v>IT Infrastructure</v>
      </c>
      <c r="O52" s="223">
        <f>IF(O$9="Actual",SUMIF('Monthly Detail'!$A:$A,$A52,JanA),SUMIF('Monthly Plan'!$A:$A,$A52,JanP))</f>
        <v>0</v>
      </c>
      <c r="P52" s="223"/>
      <c r="Q52" s="223">
        <f>IF(Q$9="Actual",SUMIF('Monthly Detail'!$A:$A,$A52,FebA),SUMIF('Monthly Plan'!$A:$A,$A52,FebP))</f>
        <v>0</v>
      </c>
      <c r="R52" s="223"/>
      <c r="S52" s="223">
        <f>IF(S$9="Actual",SUMIF('Monthly Detail'!$A:$A,$A52,MarA),SUMIF('Monthly Plan'!$A:$A,$A52,MarP))</f>
        <v>0</v>
      </c>
      <c r="T52" s="223"/>
      <c r="U52" s="223">
        <f>IF(U$9="Actual",SUMIF('Monthly Detail'!$A:$A,$A52,AprA),SUMIF('Monthly Plan'!$A:$A,$A52,AprP))</f>
        <v>0</v>
      </c>
      <c r="V52" s="223"/>
      <c r="W52" s="223">
        <f>IF(W$9="Actual",SUMIF('Monthly Detail'!$A:$A,$A52,MayA),SUMIF('Monthly Plan'!$A:$A,$A52,MayP))</f>
        <v>0</v>
      </c>
      <c r="X52" s="223"/>
      <c r="Y52" s="223">
        <f>IF(Y$9="Actual",SUMIF('Monthly Detail'!$A:$A,$A52,JunA),SUMIF('Monthly Plan'!$A:$A,$A52,JunP))</f>
        <v>0</v>
      </c>
      <c r="Z52" s="223"/>
      <c r="AA52" s="223">
        <f>IF(AA$9="Actual",SUMIF('Monthly Detail'!$A:$A,$A52,JulA),SUMIF('Monthly Plan'!$A:$A,$A52,JulP))</f>
        <v>0</v>
      </c>
      <c r="AB52" s="223"/>
      <c r="AC52" s="223">
        <f>IF(AC$9="Actual",SUMIF('Monthly Detail'!$A:$A,$A52,AugA),SUMIF('Monthly Plan'!$A:$A,$A52,AugP))</f>
        <v>0</v>
      </c>
      <c r="AD52" s="223"/>
      <c r="AE52" s="223">
        <f>IF(AE$9="Actual",SUMIF('Monthly Detail'!$A:$A,$A52,SepA),SUMIF('Monthly Plan'!$A:$A,$A52,SepP))</f>
        <v>0</v>
      </c>
      <c r="AF52" s="223"/>
      <c r="AG52" s="223">
        <f>IF(AG$9="Actual",SUMIF('Monthly Detail'!$A:$A,$A52,OctA),SUMIF('Monthly Plan'!$A:$A,$A52,OctP))</f>
        <v>0</v>
      </c>
      <c r="AH52" s="223"/>
      <c r="AI52" s="223">
        <f>IF(AI$9="Actual",SUMIF('Monthly Detail'!$A:$A,$A52,NovA),SUMIF('Monthly Plan'!$A:$A,$A52,NovP))</f>
        <v>0</v>
      </c>
      <c r="AJ52" s="223"/>
      <c r="AK52" s="223">
        <f>IF(AK$9="Actual",SUMIF('Monthly Detail'!$A:$A,$A52,DecA),SUMIF('Monthly Plan'!$A:$A,$A52,DecP))</f>
        <v>0</v>
      </c>
      <c r="AL52" s="223"/>
      <c r="AM52" s="236">
        <f t="shared" si="7"/>
        <v>0</v>
      </c>
      <c r="AN52" s="222"/>
      <c r="AO52" s="237">
        <f>SUMIF('Monthly Plan'!$A:$A,$A52,totalplan)</f>
        <v>0</v>
      </c>
      <c r="AP52" s="222"/>
      <c r="AQ52" s="233"/>
    </row>
    <row r="53" spans="1:45" ht="12" customHeight="1" x14ac:dyDescent="0.2">
      <c r="A53" s="95" t="s">
        <v>202</v>
      </c>
      <c r="B53" s="223">
        <f>SUMIF('Monthly Detail'!$A:$A,$A53,CHOOSE(Month,JanA,FebA,MarA,AprA,MayA,JunA,JulA,AugA,SepA,OctA,NovA,DecA))</f>
        <v>0</v>
      </c>
      <c r="C53" s="222"/>
      <c r="D53" s="223">
        <f>SUMIF('Monthly Plan'!$A:$A,$A53,CHOOSE(Month,JanP,FebP,MarP,AprP,MayP,JunP,JulP,AugP,SepP,OctP,NovP,DecP))</f>
        <v>0</v>
      </c>
      <c r="E53" s="222"/>
      <c r="F53" s="223">
        <f t="shared" si="5"/>
        <v>0</v>
      </c>
      <c r="G53" s="222"/>
      <c r="H53" s="223">
        <f>SUMIF('Monthly Detail'!$A:$A,$A53,AYTD)</f>
        <v>0</v>
      </c>
      <c r="I53" s="222"/>
      <c r="J53" s="223">
        <f>SUMIF('Monthly Plan'!$A:$A,$A53,PYTD)</f>
        <v>0</v>
      </c>
      <c r="K53" s="222"/>
      <c r="L53" s="223">
        <f t="shared" si="6"/>
        <v>0</v>
      </c>
      <c r="N53" s="95" t="str">
        <f t="shared" si="4"/>
        <v>ENW Corporate</v>
      </c>
      <c r="O53" s="223">
        <f>IF(O$9="Actual",SUMIF('Monthly Detail'!$A:$A,$A53,JanA),SUMIF('Monthly Plan'!$A:$A,$A53,JanP))</f>
        <v>0</v>
      </c>
      <c r="P53" s="223"/>
      <c r="Q53" s="223">
        <f>IF(Q$9="Actual",SUMIF('Monthly Detail'!$A:$A,$A53,FebA),SUMIF('Monthly Plan'!$A:$A,$A53,FebP))</f>
        <v>0</v>
      </c>
      <c r="R53" s="223"/>
      <c r="S53" s="223">
        <f>IF(S$9="Actual",SUMIF('Monthly Detail'!$A:$A,$A53,MarA),SUMIF('Monthly Plan'!$A:$A,$A53,MarP))</f>
        <v>0</v>
      </c>
      <c r="T53" s="223"/>
      <c r="U53" s="223">
        <f>IF(U$9="Actual",SUMIF('Monthly Detail'!$A:$A,$A53,AprA),SUMIF('Monthly Plan'!$A:$A,$A53,AprP))</f>
        <v>0</v>
      </c>
      <c r="V53" s="223"/>
      <c r="W53" s="223">
        <f>IF(W$9="Actual",SUMIF('Monthly Detail'!$A:$A,$A53,MayA),SUMIF('Monthly Plan'!$A:$A,$A53,MayP))</f>
        <v>0</v>
      </c>
      <c r="X53" s="223"/>
      <c r="Y53" s="223">
        <f>IF(Y$9="Actual",SUMIF('Monthly Detail'!$A:$A,$A53,JunA),SUMIF('Monthly Plan'!$A:$A,$A53,JunP))</f>
        <v>0</v>
      </c>
      <c r="Z53" s="223"/>
      <c r="AA53" s="223">
        <f>IF(AA$9="Actual",SUMIF('Monthly Detail'!$A:$A,$A53,JulA),SUMIF('Monthly Plan'!$A:$A,$A53,JulP))</f>
        <v>0</v>
      </c>
      <c r="AB53" s="223"/>
      <c r="AC53" s="223">
        <f>IF(AC$9="Actual",SUMIF('Monthly Detail'!$A:$A,$A53,AugA),SUMIF('Monthly Plan'!$A:$A,$A53,AugP))</f>
        <v>0</v>
      </c>
      <c r="AD53" s="223"/>
      <c r="AE53" s="223">
        <f>IF(AE$9="Actual",SUMIF('Monthly Detail'!$A:$A,$A53,SepA),SUMIF('Monthly Plan'!$A:$A,$A53,SepP))</f>
        <v>0</v>
      </c>
      <c r="AF53" s="223"/>
      <c r="AG53" s="223">
        <f>IF(AG$9="Actual",SUMIF('Monthly Detail'!$A:$A,$A53,OctA),SUMIF('Monthly Plan'!$A:$A,$A53,OctP))</f>
        <v>0</v>
      </c>
      <c r="AH53" s="223"/>
      <c r="AI53" s="223">
        <f>IF(AI$9="Actual",SUMIF('Monthly Detail'!$A:$A,$A53,NovA),SUMIF('Monthly Plan'!$A:$A,$A53,NovP))</f>
        <v>0</v>
      </c>
      <c r="AJ53" s="223"/>
      <c r="AK53" s="223">
        <f>IF(AK$9="Actual",SUMIF('Monthly Detail'!$A:$A,$A53,DecA),SUMIF('Monthly Plan'!$A:$A,$A53,DecP))</f>
        <v>0</v>
      </c>
      <c r="AL53" s="223"/>
      <c r="AM53" s="236">
        <f t="shared" si="7"/>
        <v>0</v>
      </c>
      <c r="AN53" s="222"/>
      <c r="AO53" s="237">
        <f>SUMIF('Monthly Plan'!$A:$A,$A53,totalplan)</f>
        <v>0</v>
      </c>
      <c r="AP53" s="222"/>
      <c r="AQ53" s="233"/>
    </row>
    <row r="54" spans="1:45" ht="12" customHeight="1" x14ac:dyDescent="0.2">
      <c r="A54" s="95" t="s">
        <v>192</v>
      </c>
      <c r="B54" s="223">
        <f>SUMIF('Monthly Detail'!$A:$A,$A54,CHOOSE(Month,JanA,FebA,MarA,AprA,MayA,JunA,JulA,AugA,SepA,OctA,NovA,DecA))</f>
        <v>0</v>
      </c>
      <c r="C54" s="222"/>
      <c r="D54" s="223">
        <f>SUMIF('Monthly Plan'!$A:$A,$A54,CHOOSE(Month,JanP,FebP,MarP,AprP,MayP,JunP,JulP,AugP,SepP,OctP,NovP,DecP))</f>
        <v>0</v>
      </c>
      <c r="E54" s="222"/>
      <c r="F54" s="223">
        <f t="shared" si="5"/>
        <v>0</v>
      </c>
      <c r="G54" s="222"/>
      <c r="H54" s="223">
        <f>SUMIF('Monthly Detail'!$A:$A,$A54,AYTD)</f>
        <v>0</v>
      </c>
      <c r="I54" s="222"/>
      <c r="J54" s="223">
        <f>SUMIF('Monthly Plan'!$A:$A,$A54,PYTD)</f>
        <v>0</v>
      </c>
      <c r="K54" s="222"/>
      <c r="L54" s="223">
        <f t="shared" si="6"/>
        <v>0</v>
      </c>
      <c r="N54" s="95" t="str">
        <f t="shared" si="4"/>
        <v>ENA Transaction Support</v>
      </c>
      <c r="O54" s="223">
        <f>IF(O$9="Actual",SUMIF('Monthly Detail'!$A:$A,$A54,JanA),SUMIF('Monthly Plan'!$A:$A,$A54,JanP))</f>
        <v>0</v>
      </c>
      <c r="P54" s="223"/>
      <c r="Q54" s="223">
        <f>IF(Q$9="Actual",SUMIF('Monthly Detail'!$A:$A,$A54,FebA),SUMIF('Monthly Plan'!$A:$A,$A54,FebP))</f>
        <v>0</v>
      </c>
      <c r="R54" s="223"/>
      <c r="S54" s="223">
        <f>IF(S$9="Actual",SUMIF('Monthly Detail'!$A:$A,$A54,MarA),SUMIF('Monthly Plan'!$A:$A,$A54,MarP))</f>
        <v>0</v>
      </c>
      <c r="T54" s="223"/>
      <c r="U54" s="223">
        <f>IF(U$9="Actual",SUMIF('Monthly Detail'!$A:$A,$A54,AprA),SUMIF('Monthly Plan'!$A:$A,$A54,AprP))</f>
        <v>0</v>
      </c>
      <c r="V54" s="223"/>
      <c r="W54" s="223">
        <f>IF(W$9="Actual",SUMIF('Monthly Detail'!$A:$A,$A54,MayA),SUMIF('Monthly Plan'!$A:$A,$A54,MayP))</f>
        <v>0</v>
      </c>
      <c r="X54" s="223"/>
      <c r="Y54" s="223">
        <f>IF(Y$9="Actual",SUMIF('Monthly Detail'!$A:$A,$A54,JunA),SUMIF('Monthly Plan'!$A:$A,$A54,JunP))</f>
        <v>0</v>
      </c>
      <c r="Z54" s="223"/>
      <c r="AA54" s="223">
        <f>IF(AA$9="Actual",SUMIF('Monthly Detail'!$A:$A,$A54,JulA),SUMIF('Monthly Plan'!$A:$A,$A54,JulP))</f>
        <v>0</v>
      </c>
      <c r="AB54" s="223"/>
      <c r="AC54" s="223">
        <f>IF(AC$9="Actual",SUMIF('Monthly Detail'!$A:$A,$A54,AugA),SUMIF('Monthly Plan'!$A:$A,$A54,AugP))</f>
        <v>0</v>
      </c>
      <c r="AD54" s="223"/>
      <c r="AE54" s="223">
        <f>IF(AE$9="Actual",SUMIF('Monthly Detail'!$A:$A,$A54,SepA),SUMIF('Monthly Plan'!$A:$A,$A54,SepP))</f>
        <v>0</v>
      </c>
      <c r="AF54" s="223"/>
      <c r="AG54" s="223">
        <f>IF(AG$9="Actual",SUMIF('Monthly Detail'!$A:$A,$A54,OctA),SUMIF('Monthly Plan'!$A:$A,$A54,OctP))</f>
        <v>0</v>
      </c>
      <c r="AH54" s="223"/>
      <c r="AI54" s="223">
        <f>IF(AI$9="Actual",SUMIF('Monthly Detail'!$A:$A,$A54,NovA),SUMIF('Monthly Plan'!$A:$A,$A54,NovP))</f>
        <v>0</v>
      </c>
      <c r="AJ54" s="223"/>
      <c r="AK54" s="223">
        <f>IF(AK$9="Actual",SUMIF('Monthly Detail'!$A:$A,$A54,DecA),SUMIF('Monthly Plan'!$A:$A,$A54,DecP))</f>
        <v>0</v>
      </c>
      <c r="AL54" s="223"/>
      <c r="AM54" s="236">
        <f t="shared" si="7"/>
        <v>0</v>
      </c>
      <c r="AN54" s="222"/>
      <c r="AO54" s="237">
        <f>SUMIF('Monthly Plan'!$A:$A,$A54,totalplan)</f>
        <v>0</v>
      </c>
      <c r="AP54" s="222"/>
      <c r="AQ54" s="233"/>
    </row>
    <row r="55" spans="1:45" ht="12" customHeight="1" x14ac:dyDescent="0.2">
      <c r="A55" s="95" t="s">
        <v>193</v>
      </c>
      <c r="B55" s="223">
        <f>SUMIF('Monthly Detail'!$A:$A,$A55,CHOOSE(Month,JanA,FebA,MarA,AprA,MayA,JunA,JulA,AugA,SepA,OctA,NovA,DecA))</f>
        <v>0</v>
      </c>
      <c r="C55" s="222"/>
      <c r="D55" s="223">
        <f>SUMIF('Monthly Plan'!$A:$A,$A55,CHOOSE(Month,JanP,FebP,MarP,AprP,MayP,JunP,JulP,AugP,SepP,OctP,NovP,DecP))</f>
        <v>0</v>
      </c>
      <c r="E55" s="222"/>
      <c r="F55" s="223">
        <f t="shared" si="5"/>
        <v>0</v>
      </c>
      <c r="G55" s="222"/>
      <c r="H55" s="223">
        <f>SUMIF('Monthly Detail'!$A:$A,$A55,AYTD)</f>
        <v>0</v>
      </c>
      <c r="I55" s="222"/>
      <c r="J55" s="223">
        <f>SUMIF('Monthly Plan'!$A:$A,$A55,PYTD)</f>
        <v>0</v>
      </c>
      <c r="K55" s="222"/>
      <c r="L55" s="223">
        <f t="shared" si="6"/>
        <v>0</v>
      </c>
      <c r="N55" s="95" t="str">
        <f t="shared" si="4"/>
        <v>ENA PR</v>
      </c>
      <c r="O55" s="223">
        <f>IF(O$9="Actual",SUMIF('Monthly Detail'!$A:$A,$A55,JanA),SUMIF('Monthly Plan'!$A:$A,$A55,JanP))</f>
        <v>0</v>
      </c>
      <c r="P55" s="223"/>
      <c r="Q55" s="223">
        <f>IF(Q$9="Actual",SUMIF('Monthly Detail'!$A:$A,$A55,FebA),SUMIF('Monthly Plan'!$A:$A,$A55,FebP))</f>
        <v>0</v>
      </c>
      <c r="R55" s="223"/>
      <c r="S55" s="223">
        <f>IF(S$9="Actual",SUMIF('Monthly Detail'!$A:$A,$A55,MarA),SUMIF('Monthly Plan'!$A:$A,$A55,MarP))</f>
        <v>0</v>
      </c>
      <c r="T55" s="223"/>
      <c r="U55" s="223">
        <f>IF(U$9="Actual",SUMIF('Monthly Detail'!$A:$A,$A55,AprA),SUMIF('Monthly Plan'!$A:$A,$A55,AprP))</f>
        <v>0</v>
      </c>
      <c r="V55" s="223"/>
      <c r="W55" s="223">
        <f>IF(W$9="Actual",SUMIF('Monthly Detail'!$A:$A,$A55,MayA),SUMIF('Monthly Plan'!$A:$A,$A55,MayP))</f>
        <v>0</v>
      </c>
      <c r="X55" s="223"/>
      <c r="Y55" s="223">
        <f>IF(Y$9="Actual",SUMIF('Monthly Detail'!$A:$A,$A55,JunA),SUMIF('Monthly Plan'!$A:$A,$A55,JunP))</f>
        <v>0</v>
      </c>
      <c r="Z55" s="223"/>
      <c r="AA55" s="223">
        <f>IF(AA$9="Actual",SUMIF('Monthly Detail'!$A:$A,$A55,JulA),SUMIF('Monthly Plan'!$A:$A,$A55,JulP))</f>
        <v>0</v>
      </c>
      <c r="AB55" s="223"/>
      <c r="AC55" s="223">
        <f>IF(AC$9="Actual",SUMIF('Monthly Detail'!$A:$A,$A55,AugA),SUMIF('Monthly Plan'!$A:$A,$A55,AugP))</f>
        <v>0</v>
      </c>
      <c r="AD55" s="223"/>
      <c r="AE55" s="223">
        <f>IF(AE$9="Actual",SUMIF('Monthly Detail'!$A:$A,$A55,SepA),SUMIF('Monthly Plan'!$A:$A,$A55,SepP))</f>
        <v>0</v>
      </c>
      <c r="AF55" s="223"/>
      <c r="AG55" s="223">
        <f>IF(AG$9="Actual",SUMIF('Monthly Detail'!$A:$A,$A55,OctA),SUMIF('Monthly Plan'!$A:$A,$A55,OctP))</f>
        <v>0</v>
      </c>
      <c r="AH55" s="223"/>
      <c r="AI55" s="223">
        <f>IF(AI$9="Actual",SUMIF('Monthly Detail'!$A:$A,$A55,NovA),SUMIF('Monthly Plan'!$A:$A,$A55,NovP))</f>
        <v>0</v>
      </c>
      <c r="AJ55" s="223"/>
      <c r="AK55" s="223">
        <f>IF(AK$9="Actual",SUMIF('Monthly Detail'!$A:$A,$A55,DecA),SUMIF('Monthly Plan'!$A:$A,$A55,DecP))</f>
        <v>0</v>
      </c>
      <c r="AL55" s="223"/>
      <c r="AM55" s="236">
        <f t="shared" si="7"/>
        <v>0</v>
      </c>
      <c r="AN55" s="222"/>
      <c r="AO55" s="237">
        <f>SUMIF('Monthly Plan'!$A:$A,$A55,totalplan)</f>
        <v>0</v>
      </c>
      <c r="AP55" s="222"/>
      <c r="AQ55" s="233"/>
    </row>
    <row r="56" spans="1:45" ht="12" customHeight="1" x14ac:dyDescent="0.2">
      <c r="A56" s="95" t="s">
        <v>206</v>
      </c>
      <c r="B56" s="223">
        <f>SUMIF('Monthly Detail'!$A:$A,$A56,CHOOSE(Month,JanA,FebA,MarA,AprA,MayA,JunA,JulA,AugA,SepA,OctA,NovA,DecA))</f>
        <v>0</v>
      </c>
      <c r="C56" s="222"/>
      <c r="D56" s="223">
        <f>SUMIF('Monthly Plan'!$A:$A,$A56,CHOOSE(Month,JanP,FebP,MarP,AprP,MayP,JunP,JulP,AugP,SepP,OctP,NovP,DecP))</f>
        <v>0</v>
      </c>
      <c r="E56" s="222"/>
      <c r="F56" s="223">
        <f t="shared" si="5"/>
        <v>0</v>
      </c>
      <c r="G56" s="222"/>
      <c r="H56" s="223">
        <f>SUMIF('Monthly Detail'!$A:$A,$A56,AYTD)</f>
        <v>0</v>
      </c>
      <c r="I56" s="222"/>
      <c r="J56" s="223">
        <f>SUMIF('Monthly Plan'!$A:$A,$A56,PYTD)</f>
        <v>0</v>
      </c>
      <c r="K56" s="222"/>
      <c r="L56" s="223">
        <f t="shared" si="6"/>
        <v>0</v>
      </c>
      <c r="N56" s="95" t="str">
        <f t="shared" si="4"/>
        <v>ENA Internal Support</v>
      </c>
      <c r="O56" s="223">
        <f>IF(O$9="Actual",SUMIF('Monthly Detail'!$A:$A,$A56,JanA),SUMIF('Monthly Plan'!$A:$A,$A56,JanP))</f>
        <v>0</v>
      </c>
      <c r="P56" s="223"/>
      <c r="Q56" s="223">
        <f>IF(Q$9="Actual",SUMIF('Monthly Detail'!$A:$A,$A56,FebA),SUMIF('Monthly Plan'!$A:$A,$A56,FebP))</f>
        <v>0</v>
      </c>
      <c r="R56" s="223"/>
      <c r="S56" s="223">
        <f>IF(S$9="Actual",SUMIF('Monthly Detail'!$A:$A,$A56,MarA),SUMIF('Monthly Plan'!$A:$A,$A56,MarP))</f>
        <v>0</v>
      </c>
      <c r="T56" s="223"/>
      <c r="U56" s="223">
        <f>IF(U$9="Actual",SUMIF('Monthly Detail'!$A:$A,$A56,AprA),SUMIF('Monthly Plan'!$A:$A,$A56,AprP))</f>
        <v>0</v>
      </c>
      <c r="V56" s="223"/>
      <c r="W56" s="223">
        <f>IF(W$9="Actual",SUMIF('Monthly Detail'!$A:$A,$A56,MayA),SUMIF('Monthly Plan'!$A:$A,$A56,MayP))</f>
        <v>0</v>
      </c>
      <c r="X56" s="223"/>
      <c r="Y56" s="223">
        <f>IF(Y$9="Actual",SUMIF('Monthly Detail'!$A:$A,$A56,JunA),SUMIF('Monthly Plan'!$A:$A,$A56,JunP))</f>
        <v>0</v>
      </c>
      <c r="Z56" s="223"/>
      <c r="AA56" s="223">
        <f>IF(AA$9="Actual",SUMIF('Monthly Detail'!$A:$A,$A56,JulA),SUMIF('Monthly Plan'!$A:$A,$A56,JulP))</f>
        <v>0</v>
      </c>
      <c r="AB56" s="223"/>
      <c r="AC56" s="223">
        <f>IF(AC$9="Actual",SUMIF('Monthly Detail'!$A:$A,$A56,AugA),SUMIF('Monthly Plan'!$A:$A,$A56,AugP))</f>
        <v>0</v>
      </c>
      <c r="AD56" s="223"/>
      <c r="AE56" s="223">
        <f>IF(AE$9="Actual",SUMIF('Monthly Detail'!$A:$A,$A56,SepA),SUMIF('Monthly Plan'!$A:$A,$A56,SepP))</f>
        <v>0</v>
      </c>
      <c r="AF56" s="223"/>
      <c r="AG56" s="223">
        <f>IF(AG$9="Actual",SUMIF('Monthly Detail'!$A:$A,$A56,OctA),SUMIF('Monthly Plan'!$A:$A,$A56,OctP))</f>
        <v>0</v>
      </c>
      <c r="AH56" s="223"/>
      <c r="AI56" s="223">
        <f>IF(AI$9="Actual",SUMIF('Monthly Detail'!$A:$A,$A56,NovA),SUMIF('Monthly Plan'!$A:$A,$A56,NovP))</f>
        <v>0</v>
      </c>
      <c r="AJ56" s="223"/>
      <c r="AK56" s="223">
        <f>IF(AK$9="Actual",SUMIF('Monthly Detail'!$A:$A,$A56,DecA),SUMIF('Monthly Plan'!$A:$A,$A56,DecP))</f>
        <v>0</v>
      </c>
      <c r="AL56" s="223"/>
      <c r="AM56" s="236">
        <f t="shared" si="7"/>
        <v>0</v>
      </c>
      <c r="AN56" s="222"/>
      <c r="AO56" s="237">
        <f>SUMIF('Monthly Plan'!$A:$A,$A56,totalplan)</f>
        <v>0</v>
      </c>
      <c r="AP56" s="222"/>
      <c r="AQ56" s="233"/>
    </row>
    <row r="57" spans="1:45" ht="12" customHeight="1" x14ac:dyDescent="0.2">
      <c r="A57" s="95"/>
      <c r="B57" s="224"/>
      <c r="C57" s="222"/>
      <c r="D57" s="224"/>
      <c r="E57" s="222"/>
      <c r="F57" s="224"/>
      <c r="G57" s="222"/>
      <c r="H57" s="224"/>
      <c r="I57" s="222"/>
      <c r="J57" s="224"/>
      <c r="K57" s="222"/>
      <c r="L57" s="224"/>
      <c r="N57" s="95"/>
      <c r="O57" s="224"/>
      <c r="P57" s="222"/>
      <c r="Q57" s="224"/>
      <c r="R57" s="222"/>
      <c r="S57" s="224"/>
      <c r="T57" s="222"/>
      <c r="U57" s="224"/>
      <c r="V57" s="222"/>
      <c r="W57" s="224"/>
      <c r="X57" s="222"/>
      <c r="Y57" s="224"/>
      <c r="Z57" s="222"/>
      <c r="AA57" s="224"/>
      <c r="AB57" s="222"/>
      <c r="AC57" s="224"/>
      <c r="AD57" s="222"/>
      <c r="AE57" s="224"/>
      <c r="AF57" s="222"/>
      <c r="AG57" s="224"/>
      <c r="AH57" s="222"/>
      <c r="AI57" s="224"/>
      <c r="AJ57" s="222"/>
      <c r="AK57" s="224"/>
      <c r="AL57" s="222"/>
      <c r="AM57" s="234"/>
      <c r="AN57" s="222"/>
      <c r="AO57" s="235"/>
      <c r="AP57" s="222"/>
      <c r="AQ57" s="235"/>
    </row>
    <row r="58" spans="1:45" ht="12" customHeight="1" x14ac:dyDescent="0.2">
      <c r="A58" s="96" t="s">
        <v>194</v>
      </c>
      <c r="B58" s="222">
        <f>SUM(B38:B57)</f>
        <v>0</v>
      </c>
      <c r="C58" s="222"/>
      <c r="D58" s="222">
        <f>SUM(D38:D57)</f>
        <v>0</v>
      </c>
      <c r="E58" s="222"/>
      <c r="F58" s="222">
        <f>D58-B58</f>
        <v>0</v>
      </c>
      <c r="G58" s="222"/>
      <c r="H58" s="222">
        <f>SUM(H38:H57)</f>
        <v>0</v>
      </c>
      <c r="I58" s="222"/>
      <c r="J58" s="222">
        <f>SUM(J38:J57)</f>
        <v>0</v>
      </c>
      <c r="K58" s="222"/>
      <c r="L58" s="222">
        <f>J58-H58</f>
        <v>0</v>
      </c>
      <c r="N58" s="96" t="str">
        <f>+A58</f>
        <v xml:space="preserve">   Total Allocated Expenses</v>
      </c>
      <c r="O58" s="222">
        <f>SUM(O38:O57)</f>
        <v>0</v>
      </c>
      <c r="P58" s="225"/>
      <c r="Q58" s="222">
        <f>SUM(Q38:Q57)</f>
        <v>0</v>
      </c>
      <c r="R58" s="225"/>
      <c r="S58" s="222">
        <f>SUM(S38:S57)</f>
        <v>0</v>
      </c>
      <c r="T58" s="225"/>
      <c r="U58" s="222">
        <f>SUM(U38:U57)</f>
        <v>0</v>
      </c>
      <c r="V58" s="225"/>
      <c r="W58" s="222">
        <f>SUM(W38:W57)</f>
        <v>0</v>
      </c>
      <c r="X58" s="225"/>
      <c r="Y58" s="222">
        <f>SUM(Y38:Y57)</f>
        <v>0</v>
      </c>
      <c r="Z58" s="225"/>
      <c r="AA58" s="222">
        <f>SUM(AA38:AA57)</f>
        <v>0</v>
      </c>
      <c r="AB58" s="225"/>
      <c r="AC58" s="222">
        <f>SUM(AC38:AC57)</f>
        <v>0</v>
      </c>
      <c r="AD58" s="225"/>
      <c r="AE58" s="222">
        <f>SUM(AE38:AE57)</f>
        <v>0</v>
      </c>
      <c r="AF58" s="225"/>
      <c r="AG58" s="222">
        <f>SUM(AG38:AG57)</f>
        <v>0</v>
      </c>
      <c r="AH58" s="225"/>
      <c r="AI58" s="222">
        <f>SUM(AI38:AI57)</f>
        <v>0</v>
      </c>
      <c r="AJ58" s="225"/>
      <c r="AK58" s="222">
        <f>SUM(AK38:AK57)</f>
        <v>0</v>
      </c>
      <c r="AL58" s="225"/>
      <c r="AM58" s="232">
        <f>SUM(AM38:AM57)</f>
        <v>0</v>
      </c>
      <c r="AN58" s="222"/>
      <c r="AO58" s="233">
        <f>SUM(AO38:AO57)</f>
        <v>0</v>
      </c>
      <c r="AP58" s="222"/>
      <c r="AQ58" s="233">
        <f>SUM(AQ38:AQ57)</f>
        <v>0</v>
      </c>
      <c r="AR58" s="42"/>
      <c r="AS58" s="42"/>
    </row>
    <row r="59" spans="1:45" ht="12" customHeight="1" x14ac:dyDescent="0.2">
      <c r="B59" s="222"/>
      <c r="C59" s="225"/>
      <c r="D59" s="222"/>
      <c r="E59" s="222"/>
      <c r="F59" s="225"/>
      <c r="G59" s="225"/>
      <c r="H59" s="222"/>
      <c r="I59" s="222"/>
      <c r="J59" s="222"/>
      <c r="K59" s="222"/>
      <c r="L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32"/>
      <c r="AN59" s="222"/>
      <c r="AO59" s="233"/>
      <c r="AP59" s="222"/>
      <c r="AQ59" s="233"/>
    </row>
    <row r="60" spans="1:45" ht="12" customHeight="1" x14ac:dyDescent="0.2">
      <c r="A60" s="41" t="s">
        <v>195</v>
      </c>
      <c r="B60" s="222">
        <f>+B37+B58</f>
        <v>33126.080000000002</v>
      </c>
      <c r="C60" s="222"/>
      <c r="D60" s="222">
        <f>D37+D58</f>
        <v>25508</v>
      </c>
      <c r="E60" s="222"/>
      <c r="F60" s="222">
        <f>F37+F58</f>
        <v>-7618.0800000000017</v>
      </c>
      <c r="G60" s="222"/>
      <c r="H60" s="222">
        <f>H37+H58</f>
        <v>154354.32</v>
      </c>
      <c r="I60" s="222"/>
      <c r="J60" s="222">
        <f>J37+J58</f>
        <v>152662</v>
      </c>
      <c r="K60" s="222"/>
      <c r="L60" s="222">
        <f>L37+L58</f>
        <v>-1692.320000000007</v>
      </c>
      <c r="N60" s="96" t="str">
        <f>+A60</f>
        <v xml:space="preserve">    Expenses Subtotal</v>
      </c>
      <c r="O60" s="222">
        <f>O37+O58</f>
        <v>20837.710000000003</v>
      </c>
      <c r="P60" s="225"/>
      <c r="Q60" s="222">
        <f>Q37+Q58</f>
        <v>21015.960000000003</v>
      </c>
      <c r="R60" s="225"/>
      <c r="S60" s="222">
        <f>S37+S58</f>
        <v>12708.389999999998</v>
      </c>
      <c r="T60" s="225"/>
      <c r="U60" s="222">
        <f>U37+U58</f>
        <v>40739.689999999995</v>
      </c>
      <c r="V60" s="225"/>
      <c r="W60" s="222">
        <f>W37+W58</f>
        <v>25926.489999999998</v>
      </c>
      <c r="X60" s="225"/>
      <c r="Y60" s="222">
        <f>Y37+Y58</f>
        <v>33126.080000000002</v>
      </c>
      <c r="Z60" s="225"/>
      <c r="AA60" s="222">
        <f>AA37+AA58</f>
        <v>25858</v>
      </c>
      <c r="AB60" s="225"/>
      <c r="AC60" s="222">
        <f>AC37+AC58</f>
        <v>25058</v>
      </c>
      <c r="AD60" s="225"/>
      <c r="AE60" s="222">
        <f>AE37+AE58</f>
        <v>25508</v>
      </c>
      <c r="AF60" s="225"/>
      <c r="AG60" s="222">
        <f>AG37+AG58</f>
        <v>25058</v>
      </c>
      <c r="AH60" s="225"/>
      <c r="AI60" s="222">
        <f>AI37+AI58</f>
        <v>25058</v>
      </c>
      <c r="AJ60" s="225"/>
      <c r="AK60" s="222">
        <f>AK37+AK58</f>
        <v>25478</v>
      </c>
      <c r="AL60" s="225"/>
      <c r="AM60" s="236">
        <f>AM37+AM58</f>
        <v>306372.32</v>
      </c>
      <c r="AN60" s="222"/>
      <c r="AO60" s="237">
        <f>AO37+AO58</f>
        <v>304680</v>
      </c>
      <c r="AP60" s="222"/>
      <c r="AQ60" s="233">
        <f>AQ37+AQ40+AQ58</f>
        <v>0</v>
      </c>
    </row>
    <row r="61" spans="1:45" ht="12" customHeight="1" x14ac:dyDescent="0.2"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N61" s="41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2"/>
      <c r="AO61" s="225"/>
      <c r="AP61" s="222"/>
      <c r="AQ61" s="225"/>
    </row>
    <row r="62" spans="1:45" ht="12" customHeight="1" x14ac:dyDescent="0.2">
      <c r="A62" s="41" t="s">
        <v>196</v>
      </c>
      <c r="B62" s="223">
        <f>SUMIF('Monthly Detail'!$A:$A,$A62,CHOOSE(Month,JanA,FebA,MarA,AprA,MayA,JunA,JulA,AugA,SepA,OctA,NovA,DecA))</f>
        <v>-27938</v>
      </c>
      <c r="C62" s="222"/>
      <c r="D62" s="223">
        <f>SUMIF('Monthly Plan'!$A:$A,$A62,CHOOSE(Month,JanP,FebP,MarP,AprP,MayP,JunP,JulP,AugP,SepP,OctP,NovP,DecP))</f>
        <v>-25390</v>
      </c>
      <c r="E62" s="222"/>
      <c r="F62" s="223">
        <f>D62-B62</f>
        <v>2548</v>
      </c>
      <c r="G62" s="222"/>
      <c r="H62" s="223">
        <f>SUMIF('Monthly Detail'!$A:$A,$A62,AYTD)</f>
        <v>-154354</v>
      </c>
      <c r="I62" s="222"/>
      <c r="J62" s="223">
        <f>SUMIF('Monthly Plan'!$A:$A,$A62,PYTD)</f>
        <v>-152340</v>
      </c>
      <c r="K62" s="222"/>
      <c r="L62" s="223">
        <f>J62-H62</f>
        <v>2014</v>
      </c>
      <c r="N62" s="41" t="str">
        <f>+A62</f>
        <v xml:space="preserve">    Allocation to others</v>
      </c>
      <c r="O62" s="223">
        <f>IF(O$9="Actual",SUMIF('Monthly Detail'!$A:$A,$A62,JanA),SUMIF('Monthly Plan'!$A:$A,$A62,JanP))</f>
        <v>-25072</v>
      </c>
      <c r="P62" s="223"/>
      <c r="Q62" s="223">
        <f>IF(Q$9="Actual",SUMIF('Monthly Detail'!$A:$A,$A62,FebA),SUMIF('Monthly Plan'!$A:$A,$A62,FebP))</f>
        <v>-25057</v>
      </c>
      <c r="R62" s="223"/>
      <c r="S62" s="223">
        <f>IF(S$9="Actual",SUMIF('Monthly Detail'!$A:$A,$A62,MarA),SUMIF('Monthly Plan'!$A:$A,$A62,MarP))</f>
        <v>-25507</v>
      </c>
      <c r="T62" s="223"/>
      <c r="U62" s="223">
        <f>IF(U$9="Actual",SUMIF('Monthly Detail'!$A:$A,$A62,AprA),SUMIF('Monthly Plan'!$A:$A,$A62,AprP))</f>
        <v>-25390</v>
      </c>
      <c r="V62" s="223"/>
      <c r="W62" s="223">
        <f>IF(W$9="Actual",SUMIF('Monthly Detail'!$A:$A,$A62,MayA),SUMIF('Monthly Plan'!$A:$A,$A62,MayP))</f>
        <v>-25390</v>
      </c>
      <c r="X62" s="223"/>
      <c r="Y62" s="223">
        <f>IF(Y$9="Actual",SUMIF('Monthly Detail'!$A:$A,$A62,JunA),SUMIF('Monthly Plan'!$A:$A,$A62,JunP))</f>
        <v>-27938</v>
      </c>
      <c r="Z62" s="223"/>
      <c r="AA62" s="223">
        <f>IF(AA$9="Actual",SUMIF('Monthly Detail'!$A:$A,$A62,JulA),SUMIF('Monthly Plan'!$A:$A,$A62,JulP))</f>
        <v>-25390</v>
      </c>
      <c r="AB62" s="223"/>
      <c r="AC62" s="223">
        <f>IF(AC$9="Actual",SUMIF('Monthly Detail'!$A:$A,$A62,AugA),SUMIF('Monthly Plan'!$A:$A,$A62,AugP))</f>
        <v>-25390</v>
      </c>
      <c r="AD62" s="223"/>
      <c r="AE62" s="223">
        <f>IF(AE$9="Actual",SUMIF('Monthly Detail'!$A:$A,$A62,SepA),SUMIF('Monthly Plan'!$A:$A,$A62,SepP))</f>
        <v>-25390</v>
      </c>
      <c r="AF62" s="223"/>
      <c r="AG62" s="223">
        <f>IF(AG$9="Actual",SUMIF('Monthly Detail'!$A:$A,$A62,OctA),SUMIF('Monthly Plan'!$A:$A,$A62,OctP))</f>
        <v>-25390</v>
      </c>
      <c r="AH62" s="223"/>
      <c r="AI62" s="223">
        <f>IF(AI$9="Actual",SUMIF('Monthly Detail'!$A:$A,$A62,NovA),SUMIF('Monthly Plan'!$A:$A,$A62,NovP))</f>
        <v>-25390</v>
      </c>
      <c r="AJ62" s="223"/>
      <c r="AK62" s="223">
        <f>IF(AK$9="Actual",SUMIF('Monthly Detail'!$A:$A,$A62,DecA),SUMIF('Monthly Plan'!$A:$A,$A62,DecP))</f>
        <v>-25390</v>
      </c>
      <c r="AL62" s="223"/>
      <c r="AM62" s="236">
        <f>SUM(O62:AK62)</f>
        <v>-306694</v>
      </c>
      <c r="AN62" s="222"/>
      <c r="AO62" s="237">
        <f>SUMIF('Monthly Plan'!$A:$A,$A62,totalplan)</f>
        <v>-304680</v>
      </c>
      <c r="AP62" s="222"/>
      <c r="AQ62" s="233"/>
    </row>
    <row r="63" spans="1:45" ht="12" customHeight="1" x14ac:dyDescent="0.2"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</row>
    <row r="64" spans="1:45" x14ac:dyDescent="0.2">
      <c r="A64" s="242" t="s">
        <v>197</v>
      </c>
      <c r="B64" s="222">
        <f>+B13-B60-B62</f>
        <v>-5188.0800000000017</v>
      </c>
      <c r="D64" s="222">
        <f>+D13-D60-D62</f>
        <v>-118</v>
      </c>
      <c r="F64" s="222">
        <f>+F13-F60+F62</f>
        <v>10166.080000000002</v>
      </c>
      <c r="H64" s="222">
        <f>+H13-H60-H62</f>
        <v>-0.32000000000698492</v>
      </c>
      <c r="J64" s="222">
        <f>+J13-J60-J62</f>
        <v>-322</v>
      </c>
      <c r="L64" s="222">
        <f>+L13-L60+L62</f>
        <v>3706.320000000007</v>
      </c>
      <c r="N64" s="242" t="str">
        <f>+A64</f>
        <v>IBIT</v>
      </c>
      <c r="O64" s="222">
        <f>+O13-O60-O62</f>
        <v>4234.2899999999972</v>
      </c>
      <c r="Q64" s="222">
        <f>+Q13-Q60-Q62</f>
        <v>4041.0399999999972</v>
      </c>
      <c r="S64" s="222">
        <f>+S13-S60-S62</f>
        <v>12798.610000000002</v>
      </c>
      <c r="U64" s="222">
        <f>+U13-U60-U62</f>
        <v>-15349.689999999995</v>
      </c>
      <c r="W64" s="222">
        <f>+W13-W60-W62</f>
        <v>-536.48999999999796</v>
      </c>
      <c r="Y64" s="222">
        <f>+Y13-Y60-Y62</f>
        <v>-5188.0800000000017</v>
      </c>
      <c r="AA64" s="222">
        <f>+AA13-AA60-AA62</f>
        <v>-468</v>
      </c>
      <c r="AC64" s="222">
        <f>+AC13-AC60-AC62</f>
        <v>332</v>
      </c>
      <c r="AE64" s="222">
        <f>+AE13-AE60-AE62</f>
        <v>-118</v>
      </c>
      <c r="AG64" s="222">
        <f>+AG13-AG60-AG62</f>
        <v>332</v>
      </c>
      <c r="AI64" s="222">
        <f>+AI13-AI60-AI62</f>
        <v>332</v>
      </c>
      <c r="AK64" s="222">
        <f>+AK13-AK60-AK62</f>
        <v>-88</v>
      </c>
      <c r="AM64" s="222">
        <f>+AM13-AM60-AM62</f>
        <v>321.67999999999302</v>
      </c>
      <c r="AO64" s="222">
        <f>+AO13-AO60-AO62</f>
        <v>0</v>
      </c>
      <c r="AQ64" s="222">
        <f>+AQ13-AQ60+AQ62</f>
        <v>0</v>
      </c>
    </row>
  </sheetData>
  <sheetCalcPr fullCalcOnLoad="1"/>
  <mergeCells count="8">
    <mergeCell ref="N3:AO3"/>
    <mergeCell ref="N4:AO4"/>
    <mergeCell ref="N5:AO5"/>
    <mergeCell ref="N6:AO6"/>
    <mergeCell ref="A3:L3"/>
    <mergeCell ref="A4:L4"/>
    <mergeCell ref="A5:L5"/>
    <mergeCell ref="A6:L6"/>
  </mergeCells>
  <phoneticPr fontId="0" type="noConversion"/>
  <conditionalFormatting sqref="L16:L63 F16:F63">
    <cfRule type="cellIs" dxfId="0" priority="1" stopIfTrue="1" operator="lessThan">
      <formula>0</formula>
    </cfRule>
  </conditionalFormatting>
  <printOptions horizontalCentered="1"/>
  <pageMargins left="0.25" right="0.25" top="0.75" bottom="1" header="0" footer="0.5"/>
  <pageSetup scale="65" fitToWidth="2" orientation="landscape" horizontalDpi="4294967292" r:id="rId1"/>
  <headerFooter alignWithMargins="0"/>
  <colBreaks count="1" manualBreakCount="1">
    <brk id="13" min="2" max="5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99"/>
  <sheetViews>
    <sheetView topLeftCell="A8" zoomScaleNormal="100" workbookViewId="0">
      <selection activeCell="I88" sqref="I88"/>
    </sheetView>
  </sheetViews>
  <sheetFormatPr defaultColWidth="13.85546875" defaultRowHeight="12.75" outlineLevelRow="2" x14ac:dyDescent="0.2"/>
  <cols>
    <col min="1" max="1" width="26.85546875" style="88" customWidth="1"/>
    <col min="2" max="7" width="13.85546875" style="88" hidden="1" customWidth="1"/>
    <col min="8" max="8" width="13.85546875" style="88" customWidth="1"/>
    <col min="9" max="9" width="21.42578125" style="88" bestFit="1" customWidth="1"/>
    <col min="10" max="10" width="44.85546875" style="88" customWidth="1"/>
    <col min="11" max="15" width="13.85546875" style="221" hidden="1" customWidth="1"/>
    <col min="16" max="16" width="13.85546875" style="221" customWidth="1"/>
    <col min="17" max="23" width="13.85546875" style="221" hidden="1" customWidth="1"/>
    <col min="24" max="24" width="13.85546875" style="221" customWidth="1"/>
    <col min="25" max="16384" width="13.85546875" style="55"/>
  </cols>
  <sheetData>
    <row r="1" spans="1:24" s="54" customFormat="1" ht="12.75" customHeight="1" x14ac:dyDescent="0.2">
      <c r="A1" s="86" t="s">
        <v>99</v>
      </c>
      <c r="B1" s="86" t="s">
        <v>114</v>
      </c>
      <c r="C1" s="86" t="s">
        <v>115</v>
      </c>
      <c r="D1" s="86" t="s">
        <v>131</v>
      </c>
      <c r="E1" s="86" t="s">
        <v>116</v>
      </c>
      <c r="F1" s="86" t="s">
        <v>117</v>
      </c>
      <c r="G1" s="86" t="s">
        <v>18</v>
      </c>
      <c r="H1" s="86" t="s">
        <v>118</v>
      </c>
      <c r="I1" s="86" t="s">
        <v>101</v>
      </c>
      <c r="J1" s="86" t="s">
        <v>119</v>
      </c>
      <c r="K1" s="219" t="s">
        <v>120</v>
      </c>
      <c r="L1" s="219" t="s">
        <v>121</v>
      </c>
      <c r="M1" s="219" t="s">
        <v>122</v>
      </c>
      <c r="N1" s="219" t="s">
        <v>123</v>
      </c>
      <c r="O1" s="219" t="s">
        <v>132</v>
      </c>
      <c r="P1" s="219" t="s">
        <v>124</v>
      </c>
      <c r="Q1" s="219" t="s">
        <v>125</v>
      </c>
      <c r="R1" s="219" t="s">
        <v>126</v>
      </c>
      <c r="S1" s="219" t="s">
        <v>127</v>
      </c>
      <c r="T1" s="219" t="s">
        <v>128</v>
      </c>
      <c r="U1" s="219" t="s">
        <v>129</v>
      </c>
      <c r="V1" s="219" t="s">
        <v>130</v>
      </c>
      <c r="W1" s="219" t="s">
        <v>113</v>
      </c>
      <c r="X1" s="219" t="s">
        <v>4</v>
      </c>
    </row>
    <row r="2" spans="1:24" outlineLevel="2" x14ac:dyDescent="0.2">
      <c r="A2" s="87" t="s">
        <v>196</v>
      </c>
      <c r="B2" s="87" t="s">
        <v>211</v>
      </c>
      <c r="C2" s="87" t="s">
        <v>124</v>
      </c>
      <c r="D2" s="87" t="s">
        <v>212</v>
      </c>
      <c r="E2" s="87" t="s">
        <v>213</v>
      </c>
      <c r="F2" s="87" t="s">
        <v>214</v>
      </c>
      <c r="G2" s="87" t="s">
        <v>215</v>
      </c>
      <c r="H2" s="87" t="s">
        <v>216</v>
      </c>
      <c r="I2" s="87" t="s">
        <v>217</v>
      </c>
      <c r="J2" s="87" t="s">
        <v>220</v>
      </c>
      <c r="K2" s="220">
        <v>0</v>
      </c>
      <c r="L2" s="220">
        <v>0</v>
      </c>
      <c r="M2" s="220">
        <v>0</v>
      </c>
      <c r="N2" s="220">
        <v>0</v>
      </c>
      <c r="O2" s="220">
        <v>0</v>
      </c>
      <c r="P2" s="220">
        <v>-27938</v>
      </c>
      <c r="Q2" s="220">
        <v>0</v>
      </c>
      <c r="R2" s="220">
        <v>0</v>
      </c>
      <c r="S2" s="220">
        <v>0</v>
      </c>
      <c r="T2" s="220">
        <v>0</v>
      </c>
      <c r="U2" s="220">
        <v>0</v>
      </c>
      <c r="V2" s="220">
        <v>0</v>
      </c>
      <c r="W2" s="220">
        <v>-27938</v>
      </c>
      <c r="X2" s="220">
        <v>-27938</v>
      </c>
    </row>
    <row r="3" spans="1:24" hidden="1" outlineLevel="2" x14ac:dyDescent="0.2">
      <c r="A3" s="87" t="s">
        <v>196</v>
      </c>
      <c r="B3" s="87" t="s">
        <v>211</v>
      </c>
      <c r="C3" s="87" t="s">
        <v>124</v>
      </c>
      <c r="D3" s="87" t="s">
        <v>212</v>
      </c>
      <c r="E3" s="87" t="s">
        <v>213</v>
      </c>
      <c r="F3" s="87" t="s">
        <v>214</v>
      </c>
      <c r="G3" s="87" t="s">
        <v>215</v>
      </c>
      <c r="H3" s="87" t="s">
        <v>216</v>
      </c>
      <c r="I3" s="87" t="s">
        <v>217</v>
      </c>
      <c r="J3" s="87" t="s">
        <v>218</v>
      </c>
      <c r="K3" s="220">
        <v>-25072</v>
      </c>
      <c r="L3" s="220">
        <v>0</v>
      </c>
      <c r="M3" s="220">
        <v>0</v>
      </c>
      <c r="N3" s="220">
        <v>0</v>
      </c>
      <c r="O3" s="220">
        <v>0</v>
      </c>
      <c r="P3" s="220">
        <v>0</v>
      </c>
      <c r="Q3" s="220">
        <v>0</v>
      </c>
      <c r="R3" s="220">
        <v>0</v>
      </c>
      <c r="S3" s="220">
        <v>0</v>
      </c>
      <c r="T3" s="220">
        <v>0</v>
      </c>
      <c r="U3" s="220">
        <v>0</v>
      </c>
      <c r="V3" s="220">
        <v>0</v>
      </c>
      <c r="W3" s="220">
        <v>-25072</v>
      </c>
      <c r="X3" s="220">
        <v>-25072</v>
      </c>
    </row>
    <row r="4" spans="1:24" hidden="1" outlineLevel="2" x14ac:dyDescent="0.2">
      <c r="A4" s="87" t="s">
        <v>196</v>
      </c>
      <c r="B4" s="87" t="s">
        <v>211</v>
      </c>
      <c r="C4" s="87" t="s">
        <v>124</v>
      </c>
      <c r="D4" s="87" t="s">
        <v>212</v>
      </c>
      <c r="E4" s="87" t="s">
        <v>213</v>
      </c>
      <c r="F4" s="87" t="s">
        <v>214</v>
      </c>
      <c r="G4" s="87" t="s">
        <v>215</v>
      </c>
      <c r="H4" s="87" t="s">
        <v>216</v>
      </c>
      <c r="I4" s="87" t="s">
        <v>217</v>
      </c>
      <c r="J4" s="87" t="s">
        <v>219</v>
      </c>
      <c r="K4" s="220">
        <v>0</v>
      </c>
      <c r="L4" s="220">
        <v>0</v>
      </c>
      <c r="M4" s="220">
        <v>0</v>
      </c>
      <c r="N4" s="220">
        <v>0</v>
      </c>
      <c r="O4" s="220">
        <v>-25390</v>
      </c>
      <c r="P4" s="220">
        <v>0</v>
      </c>
      <c r="Q4" s="220">
        <v>0</v>
      </c>
      <c r="R4" s="220">
        <v>0</v>
      </c>
      <c r="S4" s="220">
        <v>0</v>
      </c>
      <c r="T4" s="220">
        <v>0</v>
      </c>
      <c r="U4" s="220">
        <v>0</v>
      </c>
      <c r="V4" s="220">
        <v>0</v>
      </c>
      <c r="W4" s="220">
        <v>-25390</v>
      </c>
      <c r="X4" s="220">
        <v>-25390</v>
      </c>
    </row>
    <row r="5" spans="1:24" hidden="1" outlineLevel="2" x14ac:dyDescent="0.2">
      <c r="A5" s="87" t="s">
        <v>196</v>
      </c>
      <c r="B5" s="87" t="s">
        <v>211</v>
      </c>
      <c r="C5" s="87" t="s">
        <v>124</v>
      </c>
      <c r="D5" s="87" t="s">
        <v>212</v>
      </c>
      <c r="E5" s="87" t="s">
        <v>213</v>
      </c>
      <c r="F5" s="87" t="s">
        <v>214</v>
      </c>
      <c r="G5" s="87" t="s">
        <v>215</v>
      </c>
      <c r="H5" s="87" t="s">
        <v>216</v>
      </c>
      <c r="I5" s="87" t="s">
        <v>217</v>
      </c>
      <c r="J5" s="87" t="s">
        <v>218</v>
      </c>
      <c r="K5" s="220">
        <v>0</v>
      </c>
      <c r="L5" s="220">
        <v>-25057</v>
      </c>
      <c r="M5" s="220">
        <v>0</v>
      </c>
      <c r="N5" s="220">
        <v>0</v>
      </c>
      <c r="O5" s="220">
        <v>0</v>
      </c>
      <c r="P5" s="220">
        <v>0</v>
      </c>
      <c r="Q5" s="220">
        <v>0</v>
      </c>
      <c r="R5" s="220">
        <v>0</v>
      </c>
      <c r="S5" s="220">
        <v>0</v>
      </c>
      <c r="T5" s="220">
        <v>0</v>
      </c>
      <c r="U5" s="220">
        <v>0</v>
      </c>
      <c r="V5" s="220">
        <v>0</v>
      </c>
      <c r="W5" s="220">
        <v>-25057</v>
      </c>
      <c r="X5" s="220">
        <v>-25057</v>
      </c>
    </row>
    <row r="6" spans="1:24" hidden="1" outlineLevel="2" x14ac:dyDescent="0.2">
      <c r="A6" s="87" t="s">
        <v>196</v>
      </c>
      <c r="B6" s="87" t="s">
        <v>211</v>
      </c>
      <c r="C6" s="87" t="s">
        <v>124</v>
      </c>
      <c r="D6" s="87" t="s">
        <v>212</v>
      </c>
      <c r="E6" s="87" t="s">
        <v>213</v>
      </c>
      <c r="F6" s="87" t="s">
        <v>214</v>
      </c>
      <c r="G6" s="87" t="s">
        <v>215</v>
      </c>
      <c r="H6" s="87" t="s">
        <v>216</v>
      </c>
      <c r="I6" s="87" t="s">
        <v>217</v>
      </c>
      <c r="J6" s="87" t="s">
        <v>219</v>
      </c>
      <c r="K6" s="220">
        <v>0</v>
      </c>
      <c r="L6" s="220">
        <v>0</v>
      </c>
      <c r="M6" s="220">
        <v>0</v>
      </c>
      <c r="N6" s="220">
        <v>-25390</v>
      </c>
      <c r="O6" s="220">
        <v>0</v>
      </c>
      <c r="P6" s="220">
        <v>0</v>
      </c>
      <c r="Q6" s="220">
        <v>0</v>
      </c>
      <c r="R6" s="220">
        <v>0</v>
      </c>
      <c r="S6" s="220">
        <v>0</v>
      </c>
      <c r="T6" s="220">
        <v>0</v>
      </c>
      <c r="U6" s="220">
        <v>0</v>
      </c>
      <c r="V6" s="220">
        <v>0</v>
      </c>
      <c r="W6" s="220">
        <v>-25390</v>
      </c>
      <c r="X6" s="220">
        <v>-25390</v>
      </c>
    </row>
    <row r="7" spans="1:24" hidden="1" outlineLevel="2" x14ac:dyDescent="0.2">
      <c r="A7" s="87" t="s">
        <v>196</v>
      </c>
      <c r="B7" s="87" t="s">
        <v>211</v>
      </c>
      <c r="C7" s="87" t="s">
        <v>124</v>
      </c>
      <c r="D7" s="87" t="s">
        <v>212</v>
      </c>
      <c r="E7" s="87" t="s">
        <v>213</v>
      </c>
      <c r="F7" s="87" t="s">
        <v>214</v>
      </c>
      <c r="G7" s="87" t="s">
        <v>215</v>
      </c>
      <c r="H7" s="87" t="s">
        <v>216</v>
      </c>
      <c r="I7" s="87" t="s">
        <v>217</v>
      </c>
      <c r="J7" s="87" t="s">
        <v>218</v>
      </c>
      <c r="K7" s="220">
        <v>0</v>
      </c>
      <c r="L7" s="220">
        <v>0</v>
      </c>
      <c r="M7" s="220">
        <v>-25507</v>
      </c>
      <c r="N7" s="220">
        <v>0</v>
      </c>
      <c r="O7" s="220">
        <v>0</v>
      </c>
      <c r="P7" s="220">
        <v>0</v>
      </c>
      <c r="Q7" s="220">
        <v>0</v>
      </c>
      <c r="R7" s="220">
        <v>0</v>
      </c>
      <c r="S7" s="220">
        <v>0</v>
      </c>
      <c r="T7" s="220">
        <v>0</v>
      </c>
      <c r="U7" s="220">
        <v>0</v>
      </c>
      <c r="V7" s="220">
        <v>0</v>
      </c>
      <c r="W7" s="220">
        <v>-25507</v>
      </c>
      <c r="X7" s="220">
        <v>-25507</v>
      </c>
    </row>
    <row r="8" spans="1:24" outlineLevel="1" collapsed="1" x14ac:dyDescent="0.2">
      <c r="A8" s="254" t="s">
        <v>290</v>
      </c>
      <c r="B8" s="87"/>
      <c r="C8" s="87"/>
      <c r="D8" s="87"/>
      <c r="E8" s="87"/>
      <c r="F8" s="87"/>
      <c r="G8" s="87"/>
      <c r="H8" s="87"/>
      <c r="I8" s="87"/>
      <c r="J8" s="87"/>
      <c r="K8" s="220"/>
      <c r="L8" s="220"/>
      <c r="M8" s="220"/>
      <c r="N8" s="220"/>
      <c r="O8" s="220"/>
      <c r="P8" s="220">
        <f>SUBTOTAL(9,P2:P7)</f>
        <v>-27938</v>
      </c>
      <c r="Q8" s="220"/>
      <c r="R8" s="220"/>
      <c r="S8" s="220"/>
      <c r="T8" s="220"/>
      <c r="U8" s="220"/>
      <c r="V8" s="220"/>
      <c r="W8" s="220"/>
      <c r="X8" s="220">
        <f>SUBTOTAL(9,X2:X7)</f>
        <v>-154354</v>
      </c>
    </row>
    <row r="9" spans="1:24" hidden="1" outlineLevel="2" x14ac:dyDescent="0.2">
      <c r="A9" s="87" t="s">
        <v>178</v>
      </c>
      <c r="B9" s="87" t="s">
        <v>211</v>
      </c>
      <c r="C9" s="87" t="s">
        <v>124</v>
      </c>
      <c r="D9" s="87" t="s">
        <v>212</v>
      </c>
      <c r="E9" s="87" t="s">
        <v>213</v>
      </c>
      <c r="F9" s="87" t="s">
        <v>214</v>
      </c>
      <c r="G9" s="87" t="s">
        <v>215</v>
      </c>
      <c r="H9" s="87" t="s">
        <v>221</v>
      </c>
      <c r="I9" s="87" t="s">
        <v>222</v>
      </c>
      <c r="J9" s="87" t="s">
        <v>223</v>
      </c>
      <c r="K9" s="220">
        <v>0</v>
      </c>
      <c r="L9" s="220">
        <v>0</v>
      </c>
      <c r="M9" s="220">
        <v>0</v>
      </c>
      <c r="N9" s="220">
        <v>10400</v>
      </c>
      <c r="O9" s="220">
        <v>0</v>
      </c>
      <c r="P9" s="220">
        <v>0</v>
      </c>
      <c r="Q9" s="220">
        <v>0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10400</v>
      </c>
      <c r="X9" s="220">
        <v>10400</v>
      </c>
    </row>
    <row r="10" spans="1:24" hidden="1" outlineLevel="2" x14ac:dyDescent="0.2">
      <c r="A10" s="87" t="s">
        <v>178</v>
      </c>
      <c r="B10" s="87" t="s">
        <v>211</v>
      </c>
      <c r="C10" s="87" t="s">
        <v>124</v>
      </c>
      <c r="D10" s="87" t="s">
        <v>212</v>
      </c>
      <c r="E10" s="87" t="s">
        <v>213</v>
      </c>
      <c r="F10" s="87" t="s">
        <v>214</v>
      </c>
      <c r="G10" s="87" t="s">
        <v>215</v>
      </c>
      <c r="H10" s="87" t="s">
        <v>221</v>
      </c>
      <c r="I10" s="87" t="s">
        <v>222</v>
      </c>
      <c r="J10" s="87" t="s">
        <v>224</v>
      </c>
      <c r="K10" s="220">
        <v>0</v>
      </c>
      <c r="L10" s="220">
        <v>0</v>
      </c>
      <c r="M10" s="220">
        <v>0</v>
      </c>
      <c r="N10" s="220">
        <v>10400</v>
      </c>
      <c r="O10" s="220">
        <v>0</v>
      </c>
      <c r="P10" s="220">
        <v>0</v>
      </c>
      <c r="Q10" s="220">
        <v>0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10400</v>
      </c>
      <c r="X10" s="220">
        <v>10400</v>
      </c>
    </row>
    <row r="11" spans="1:24" hidden="1" outlineLevel="2" x14ac:dyDescent="0.2">
      <c r="A11" s="87" t="s">
        <v>178</v>
      </c>
      <c r="B11" s="87" t="s">
        <v>211</v>
      </c>
      <c r="C11" s="87" t="s">
        <v>124</v>
      </c>
      <c r="D11" s="87" t="s">
        <v>212</v>
      </c>
      <c r="E11" s="87" t="s">
        <v>213</v>
      </c>
      <c r="F11" s="87" t="s">
        <v>214</v>
      </c>
      <c r="G11" s="87" t="s">
        <v>215</v>
      </c>
      <c r="H11" s="87" t="s">
        <v>221</v>
      </c>
      <c r="I11" s="87" t="s">
        <v>222</v>
      </c>
      <c r="J11" s="87" t="s">
        <v>224</v>
      </c>
      <c r="K11" s="220">
        <v>0</v>
      </c>
      <c r="L11" s="220">
        <v>0</v>
      </c>
      <c r="M11" s="220">
        <v>0</v>
      </c>
      <c r="N11" s="220">
        <v>0</v>
      </c>
      <c r="O11" s="220">
        <v>10400</v>
      </c>
      <c r="P11" s="220">
        <v>0</v>
      </c>
      <c r="Q11" s="220">
        <v>0</v>
      </c>
      <c r="R11" s="220">
        <v>0</v>
      </c>
      <c r="S11" s="220">
        <v>0</v>
      </c>
      <c r="T11" s="220">
        <v>0</v>
      </c>
      <c r="U11" s="220">
        <v>0</v>
      </c>
      <c r="V11" s="220">
        <v>0</v>
      </c>
      <c r="W11" s="220">
        <v>10400</v>
      </c>
      <c r="X11" s="220">
        <v>10400</v>
      </c>
    </row>
    <row r="12" spans="1:24" hidden="1" outlineLevel="1" x14ac:dyDescent="0.2">
      <c r="A12" s="254" t="s">
        <v>291</v>
      </c>
      <c r="B12" s="87"/>
      <c r="C12" s="87"/>
      <c r="D12" s="87"/>
      <c r="E12" s="87"/>
      <c r="F12" s="87"/>
      <c r="G12" s="87"/>
      <c r="H12" s="87"/>
      <c r="I12" s="87"/>
      <c r="J12" s="87"/>
      <c r="K12" s="220"/>
      <c r="L12" s="220"/>
      <c r="M12" s="220"/>
      <c r="N12" s="220"/>
      <c r="O12" s="220"/>
      <c r="P12" s="220">
        <f>SUBTOTAL(9,P9:P11)</f>
        <v>0</v>
      </c>
      <c r="Q12" s="220"/>
      <c r="R12" s="220"/>
      <c r="S12" s="220"/>
      <c r="T12" s="220"/>
      <c r="U12" s="220"/>
      <c r="V12" s="220"/>
      <c r="W12" s="220"/>
      <c r="X12" s="220">
        <f>SUBTOTAL(9,X9:X11)</f>
        <v>31200</v>
      </c>
    </row>
    <row r="13" spans="1:24" hidden="1" outlineLevel="2" x14ac:dyDescent="0.2">
      <c r="A13" s="87" t="s">
        <v>170</v>
      </c>
      <c r="B13" s="87" t="s">
        <v>211</v>
      </c>
      <c r="C13" s="87" t="s">
        <v>124</v>
      </c>
      <c r="D13" s="87" t="s">
        <v>212</v>
      </c>
      <c r="E13" s="87" t="s">
        <v>213</v>
      </c>
      <c r="F13" s="87" t="s">
        <v>214</v>
      </c>
      <c r="G13" s="87" t="s">
        <v>215</v>
      </c>
      <c r="H13" s="87" t="s">
        <v>225</v>
      </c>
      <c r="I13" s="87" t="s">
        <v>226</v>
      </c>
      <c r="J13" s="87" t="s">
        <v>140</v>
      </c>
      <c r="K13" s="220">
        <v>0</v>
      </c>
      <c r="L13" s="220">
        <v>0</v>
      </c>
      <c r="M13" s="220">
        <v>0</v>
      </c>
      <c r="N13" s="220">
        <v>99.16</v>
      </c>
      <c r="O13" s="220">
        <v>0</v>
      </c>
      <c r="P13" s="220">
        <v>0</v>
      </c>
      <c r="Q13" s="220">
        <v>0</v>
      </c>
      <c r="R13" s="220">
        <v>0</v>
      </c>
      <c r="S13" s="220">
        <v>0</v>
      </c>
      <c r="T13" s="220">
        <v>0</v>
      </c>
      <c r="U13" s="220">
        <v>0</v>
      </c>
      <c r="V13" s="220">
        <v>0</v>
      </c>
      <c r="W13" s="220">
        <v>99.16</v>
      </c>
      <c r="X13" s="220">
        <v>99.16</v>
      </c>
    </row>
    <row r="14" spans="1:24" hidden="1" outlineLevel="2" x14ac:dyDescent="0.2">
      <c r="A14" s="87" t="s">
        <v>170</v>
      </c>
      <c r="B14" s="87" t="s">
        <v>211</v>
      </c>
      <c r="C14" s="87" t="s">
        <v>124</v>
      </c>
      <c r="D14" s="87" t="s">
        <v>212</v>
      </c>
      <c r="E14" s="87" t="s">
        <v>213</v>
      </c>
      <c r="F14" s="87" t="s">
        <v>214</v>
      </c>
      <c r="G14" s="87" t="s">
        <v>215</v>
      </c>
      <c r="H14" s="87" t="s">
        <v>225</v>
      </c>
      <c r="I14" s="87" t="s">
        <v>226</v>
      </c>
      <c r="J14" s="87" t="s">
        <v>140</v>
      </c>
      <c r="K14" s="220">
        <v>0</v>
      </c>
      <c r="L14" s="220">
        <v>99.16</v>
      </c>
      <c r="M14" s="220">
        <v>0</v>
      </c>
      <c r="N14" s="220">
        <v>0</v>
      </c>
      <c r="O14" s="220">
        <v>0</v>
      </c>
      <c r="P14" s="220">
        <v>0</v>
      </c>
      <c r="Q14" s="220">
        <v>0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99.16</v>
      </c>
      <c r="X14" s="220">
        <v>99.16</v>
      </c>
    </row>
    <row r="15" spans="1:24" hidden="1" outlineLevel="2" x14ac:dyDescent="0.2">
      <c r="A15" s="87" t="s">
        <v>170</v>
      </c>
      <c r="B15" s="87" t="s">
        <v>211</v>
      </c>
      <c r="C15" s="87" t="s">
        <v>124</v>
      </c>
      <c r="D15" s="87" t="s">
        <v>212</v>
      </c>
      <c r="E15" s="87" t="s">
        <v>213</v>
      </c>
      <c r="F15" s="87" t="s">
        <v>214</v>
      </c>
      <c r="G15" s="87" t="s">
        <v>215</v>
      </c>
      <c r="H15" s="87" t="s">
        <v>225</v>
      </c>
      <c r="I15" s="87" t="s">
        <v>226</v>
      </c>
      <c r="J15" s="87" t="s">
        <v>140</v>
      </c>
      <c r="K15" s="220">
        <v>0</v>
      </c>
      <c r="L15" s="220">
        <v>0</v>
      </c>
      <c r="M15" s="220">
        <v>0</v>
      </c>
      <c r="N15" s="220">
        <v>0</v>
      </c>
      <c r="O15" s="220">
        <v>360.1</v>
      </c>
      <c r="P15" s="220">
        <v>0</v>
      </c>
      <c r="Q15" s="220">
        <v>0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360.1</v>
      </c>
      <c r="X15" s="220">
        <v>360.1</v>
      </c>
    </row>
    <row r="16" spans="1:24" hidden="1" outlineLevel="2" x14ac:dyDescent="0.2">
      <c r="A16" s="87" t="s">
        <v>170</v>
      </c>
      <c r="B16" s="87" t="s">
        <v>211</v>
      </c>
      <c r="C16" s="87" t="s">
        <v>124</v>
      </c>
      <c r="D16" s="87" t="s">
        <v>212</v>
      </c>
      <c r="E16" s="87" t="s">
        <v>213</v>
      </c>
      <c r="F16" s="87" t="s">
        <v>214</v>
      </c>
      <c r="G16" s="87" t="s">
        <v>215</v>
      </c>
      <c r="H16" s="87" t="s">
        <v>225</v>
      </c>
      <c r="I16" s="87" t="s">
        <v>226</v>
      </c>
      <c r="J16" s="87" t="s">
        <v>140</v>
      </c>
      <c r="K16" s="220">
        <v>0</v>
      </c>
      <c r="L16" s="220">
        <v>0</v>
      </c>
      <c r="M16" s="220">
        <v>0</v>
      </c>
      <c r="N16" s="220">
        <v>0</v>
      </c>
      <c r="O16" s="220">
        <v>99.16</v>
      </c>
      <c r="P16" s="220">
        <v>0</v>
      </c>
      <c r="Q16" s="220">
        <v>0</v>
      </c>
      <c r="R16" s="220">
        <v>0</v>
      </c>
      <c r="S16" s="220">
        <v>0</v>
      </c>
      <c r="T16" s="220">
        <v>0</v>
      </c>
      <c r="U16" s="220">
        <v>0</v>
      </c>
      <c r="V16" s="220">
        <v>0</v>
      </c>
      <c r="W16" s="220">
        <v>99.16</v>
      </c>
      <c r="X16" s="220">
        <v>99.16</v>
      </c>
    </row>
    <row r="17" spans="1:24" hidden="1" outlineLevel="2" x14ac:dyDescent="0.2">
      <c r="A17" s="87" t="s">
        <v>170</v>
      </c>
      <c r="B17" s="87" t="s">
        <v>211</v>
      </c>
      <c r="C17" s="87" t="s">
        <v>124</v>
      </c>
      <c r="D17" s="87" t="s">
        <v>212</v>
      </c>
      <c r="E17" s="87" t="s">
        <v>213</v>
      </c>
      <c r="F17" s="87" t="s">
        <v>214</v>
      </c>
      <c r="G17" s="87" t="s">
        <v>215</v>
      </c>
      <c r="H17" s="87" t="s">
        <v>225</v>
      </c>
      <c r="I17" s="87" t="s">
        <v>226</v>
      </c>
      <c r="J17" s="87" t="s">
        <v>140</v>
      </c>
      <c r="K17" s="220">
        <v>0</v>
      </c>
      <c r="L17" s="220">
        <v>0</v>
      </c>
      <c r="M17" s="220">
        <v>0</v>
      </c>
      <c r="N17" s="220">
        <v>412.75</v>
      </c>
      <c r="O17" s="220">
        <v>0</v>
      </c>
      <c r="P17" s="220">
        <v>0</v>
      </c>
      <c r="Q17" s="220">
        <v>0</v>
      </c>
      <c r="R17" s="220">
        <v>0</v>
      </c>
      <c r="S17" s="220">
        <v>0</v>
      </c>
      <c r="T17" s="220">
        <v>0</v>
      </c>
      <c r="U17" s="220">
        <v>0</v>
      </c>
      <c r="V17" s="220">
        <v>0</v>
      </c>
      <c r="W17" s="220">
        <v>412.75</v>
      </c>
      <c r="X17" s="220">
        <v>412.75</v>
      </c>
    </row>
    <row r="18" spans="1:24" hidden="1" outlineLevel="2" x14ac:dyDescent="0.2">
      <c r="A18" s="87" t="s">
        <v>170</v>
      </c>
      <c r="B18" s="87" t="s">
        <v>211</v>
      </c>
      <c r="C18" s="87" t="s">
        <v>124</v>
      </c>
      <c r="D18" s="87" t="s">
        <v>212</v>
      </c>
      <c r="E18" s="87" t="s">
        <v>213</v>
      </c>
      <c r="F18" s="87" t="s">
        <v>214</v>
      </c>
      <c r="G18" s="87" t="s">
        <v>215</v>
      </c>
      <c r="H18" s="87" t="s">
        <v>225</v>
      </c>
      <c r="I18" s="87" t="s">
        <v>226</v>
      </c>
      <c r="J18" s="87" t="s">
        <v>140</v>
      </c>
      <c r="K18" s="220">
        <v>0</v>
      </c>
      <c r="L18" s="220">
        <v>0</v>
      </c>
      <c r="M18" s="220">
        <v>0</v>
      </c>
      <c r="N18" s="220">
        <v>122.25</v>
      </c>
      <c r="O18" s="220">
        <v>0</v>
      </c>
      <c r="P18" s="220">
        <v>0</v>
      </c>
      <c r="Q18" s="220">
        <v>0</v>
      </c>
      <c r="R18" s="220">
        <v>0</v>
      </c>
      <c r="S18" s="220">
        <v>0</v>
      </c>
      <c r="T18" s="220">
        <v>0</v>
      </c>
      <c r="U18" s="220">
        <v>0</v>
      </c>
      <c r="V18" s="220">
        <v>0</v>
      </c>
      <c r="W18" s="220">
        <v>122.25</v>
      </c>
      <c r="X18" s="220">
        <v>122.25</v>
      </c>
    </row>
    <row r="19" spans="1:24" hidden="1" outlineLevel="2" x14ac:dyDescent="0.2">
      <c r="A19" s="87" t="s">
        <v>170</v>
      </c>
      <c r="B19" s="87" t="s">
        <v>211</v>
      </c>
      <c r="C19" s="87" t="s">
        <v>124</v>
      </c>
      <c r="D19" s="87" t="s">
        <v>212</v>
      </c>
      <c r="E19" s="87" t="s">
        <v>213</v>
      </c>
      <c r="F19" s="87" t="s">
        <v>214</v>
      </c>
      <c r="G19" s="87" t="s">
        <v>215</v>
      </c>
      <c r="H19" s="87" t="s">
        <v>225</v>
      </c>
      <c r="I19" s="87" t="s">
        <v>226</v>
      </c>
      <c r="J19" s="87" t="s">
        <v>140</v>
      </c>
      <c r="K19" s="220">
        <v>0</v>
      </c>
      <c r="L19" s="220">
        <v>0</v>
      </c>
      <c r="M19" s="220">
        <v>0</v>
      </c>
      <c r="N19" s="220">
        <v>360.1</v>
      </c>
      <c r="O19" s="220">
        <v>0</v>
      </c>
      <c r="P19" s="220">
        <v>0</v>
      </c>
      <c r="Q19" s="220">
        <v>0</v>
      </c>
      <c r="R19" s="220">
        <v>0</v>
      </c>
      <c r="S19" s="220">
        <v>0</v>
      </c>
      <c r="T19" s="220">
        <v>0</v>
      </c>
      <c r="U19" s="220">
        <v>0</v>
      </c>
      <c r="V19" s="220">
        <v>0</v>
      </c>
      <c r="W19" s="220">
        <v>360.1</v>
      </c>
      <c r="X19" s="220">
        <v>360.1</v>
      </c>
    </row>
    <row r="20" spans="1:24" hidden="1" outlineLevel="2" x14ac:dyDescent="0.2">
      <c r="A20" s="87" t="s">
        <v>170</v>
      </c>
      <c r="B20" s="87" t="s">
        <v>211</v>
      </c>
      <c r="C20" s="87" t="s">
        <v>124</v>
      </c>
      <c r="D20" s="87" t="s">
        <v>212</v>
      </c>
      <c r="E20" s="87" t="s">
        <v>213</v>
      </c>
      <c r="F20" s="87" t="s">
        <v>214</v>
      </c>
      <c r="G20" s="87" t="s">
        <v>215</v>
      </c>
      <c r="H20" s="87" t="s">
        <v>225</v>
      </c>
      <c r="I20" s="87" t="s">
        <v>226</v>
      </c>
      <c r="J20" s="87" t="s">
        <v>140</v>
      </c>
      <c r="K20" s="220">
        <v>0</v>
      </c>
      <c r="L20" s="220">
        <v>0</v>
      </c>
      <c r="M20" s="220">
        <v>0</v>
      </c>
      <c r="N20" s="220">
        <v>99.16</v>
      </c>
      <c r="O20" s="220">
        <v>0</v>
      </c>
      <c r="P20" s="220">
        <v>0</v>
      </c>
      <c r="Q20" s="220">
        <v>0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99.16</v>
      </c>
      <c r="X20" s="220">
        <v>99.16</v>
      </c>
    </row>
    <row r="21" spans="1:24" hidden="1" outlineLevel="2" x14ac:dyDescent="0.2">
      <c r="A21" s="87" t="s">
        <v>170</v>
      </c>
      <c r="B21" s="87" t="s">
        <v>211</v>
      </c>
      <c r="C21" s="87" t="s">
        <v>124</v>
      </c>
      <c r="D21" s="87" t="s">
        <v>212</v>
      </c>
      <c r="E21" s="87" t="s">
        <v>213</v>
      </c>
      <c r="F21" s="87" t="s">
        <v>214</v>
      </c>
      <c r="G21" s="87" t="s">
        <v>215</v>
      </c>
      <c r="H21" s="87" t="s">
        <v>225</v>
      </c>
      <c r="I21" s="87" t="s">
        <v>226</v>
      </c>
      <c r="J21" s="87" t="s">
        <v>140</v>
      </c>
      <c r="K21" s="220">
        <v>0</v>
      </c>
      <c r="L21" s="220">
        <v>0</v>
      </c>
      <c r="M21" s="220">
        <v>392.21</v>
      </c>
      <c r="N21" s="220">
        <v>0</v>
      </c>
      <c r="O21" s="220">
        <v>0</v>
      </c>
      <c r="P21" s="220">
        <v>0</v>
      </c>
      <c r="Q21" s="220">
        <v>0</v>
      </c>
      <c r="R21" s="220">
        <v>0</v>
      </c>
      <c r="S21" s="220">
        <v>0</v>
      </c>
      <c r="T21" s="220">
        <v>0</v>
      </c>
      <c r="U21" s="220">
        <v>0</v>
      </c>
      <c r="V21" s="220">
        <v>0</v>
      </c>
      <c r="W21" s="220">
        <v>392.21</v>
      </c>
      <c r="X21" s="220">
        <v>392.21</v>
      </c>
    </row>
    <row r="22" spans="1:24" hidden="1" outlineLevel="2" x14ac:dyDescent="0.2">
      <c r="A22" s="87" t="s">
        <v>170</v>
      </c>
      <c r="B22" s="87" t="s">
        <v>211</v>
      </c>
      <c r="C22" s="87" t="s">
        <v>124</v>
      </c>
      <c r="D22" s="87" t="s">
        <v>212</v>
      </c>
      <c r="E22" s="87" t="s">
        <v>213</v>
      </c>
      <c r="F22" s="87" t="s">
        <v>214</v>
      </c>
      <c r="G22" s="87" t="s">
        <v>215</v>
      </c>
      <c r="H22" s="87" t="s">
        <v>225</v>
      </c>
      <c r="I22" s="87" t="s">
        <v>226</v>
      </c>
      <c r="J22" s="87" t="s">
        <v>140</v>
      </c>
      <c r="K22" s="220">
        <v>0</v>
      </c>
      <c r="L22" s="220">
        <v>0</v>
      </c>
      <c r="M22" s="220">
        <v>0</v>
      </c>
      <c r="N22" s="220">
        <v>211.77</v>
      </c>
      <c r="O22" s="220">
        <v>0</v>
      </c>
      <c r="P22" s="220">
        <v>0</v>
      </c>
      <c r="Q22" s="220">
        <v>0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211.77</v>
      </c>
      <c r="X22" s="220">
        <v>211.77</v>
      </c>
    </row>
    <row r="23" spans="1:24" hidden="1" outlineLevel="2" x14ac:dyDescent="0.2">
      <c r="A23" s="87" t="s">
        <v>170</v>
      </c>
      <c r="B23" s="87" t="s">
        <v>211</v>
      </c>
      <c r="C23" s="87" t="s">
        <v>124</v>
      </c>
      <c r="D23" s="87" t="s">
        <v>212</v>
      </c>
      <c r="E23" s="87" t="s">
        <v>213</v>
      </c>
      <c r="F23" s="87" t="s">
        <v>214</v>
      </c>
      <c r="G23" s="87" t="s">
        <v>215</v>
      </c>
      <c r="H23" s="87" t="s">
        <v>225</v>
      </c>
      <c r="I23" s="87" t="s">
        <v>226</v>
      </c>
      <c r="J23" s="87" t="s">
        <v>140</v>
      </c>
      <c r="K23" s="220">
        <v>0</v>
      </c>
      <c r="L23" s="220">
        <v>524.39</v>
      </c>
      <c r="M23" s="220">
        <v>0</v>
      </c>
      <c r="N23" s="220">
        <v>0</v>
      </c>
      <c r="O23" s="220">
        <v>0</v>
      </c>
      <c r="P23" s="220">
        <v>0</v>
      </c>
      <c r="Q23" s="220">
        <v>0</v>
      </c>
      <c r="R23" s="220">
        <v>0</v>
      </c>
      <c r="S23" s="220">
        <v>0</v>
      </c>
      <c r="T23" s="220">
        <v>0</v>
      </c>
      <c r="U23" s="220">
        <v>0</v>
      </c>
      <c r="V23" s="220">
        <v>0</v>
      </c>
      <c r="W23" s="220">
        <v>524.39</v>
      </c>
      <c r="X23" s="220">
        <v>524.39</v>
      </c>
    </row>
    <row r="24" spans="1:24" hidden="1" outlineLevel="2" x14ac:dyDescent="0.2">
      <c r="A24" s="87" t="s">
        <v>170</v>
      </c>
      <c r="B24" s="87" t="s">
        <v>211</v>
      </c>
      <c r="C24" s="87" t="s">
        <v>124</v>
      </c>
      <c r="D24" s="87" t="s">
        <v>212</v>
      </c>
      <c r="E24" s="87" t="s">
        <v>213</v>
      </c>
      <c r="F24" s="87" t="s">
        <v>214</v>
      </c>
      <c r="G24" s="87" t="s">
        <v>215</v>
      </c>
      <c r="H24" s="87" t="s">
        <v>225</v>
      </c>
      <c r="I24" s="87" t="s">
        <v>226</v>
      </c>
      <c r="J24" s="87" t="s">
        <v>140</v>
      </c>
      <c r="K24" s="220">
        <v>0</v>
      </c>
      <c r="L24" s="220">
        <v>400.37</v>
      </c>
      <c r="M24" s="220">
        <v>0</v>
      </c>
      <c r="N24" s="220">
        <v>0</v>
      </c>
      <c r="O24" s="220">
        <v>0</v>
      </c>
      <c r="P24" s="220">
        <v>0</v>
      </c>
      <c r="Q24" s="220">
        <v>0</v>
      </c>
      <c r="R24" s="220">
        <v>0</v>
      </c>
      <c r="S24" s="220">
        <v>0</v>
      </c>
      <c r="T24" s="220">
        <v>0</v>
      </c>
      <c r="U24" s="220">
        <v>0</v>
      </c>
      <c r="V24" s="220">
        <v>0</v>
      </c>
      <c r="W24" s="220">
        <v>400.37</v>
      </c>
      <c r="X24" s="220">
        <v>400.37</v>
      </c>
    </row>
    <row r="25" spans="1:24" hidden="1" outlineLevel="2" x14ac:dyDescent="0.2">
      <c r="A25" s="87" t="s">
        <v>170</v>
      </c>
      <c r="B25" s="87" t="s">
        <v>211</v>
      </c>
      <c r="C25" s="87" t="s">
        <v>124</v>
      </c>
      <c r="D25" s="87" t="s">
        <v>212</v>
      </c>
      <c r="E25" s="87" t="s">
        <v>213</v>
      </c>
      <c r="F25" s="87" t="s">
        <v>214</v>
      </c>
      <c r="G25" s="87" t="s">
        <v>215</v>
      </c>
      <c r="H25" s="87" t="s">
        <v>225</v>
      </c>
      <c r="I25" s="87" t="s">
        <v>226</v>
      </c>
      <c r="J25" s="87" t="s">
        <v>140</v>
      </c>
      <c r="K25" s="220">
        <v>0</v>
      </c>
      <c r="L25" s="220">
        <v>0</v>
      </c>
      <c r="M25" s="220">
        <v>99.16</v>
      </c>
      <c r="N25" s="220">
        <v>0</v>
      </c>
      <c r="O25" s="220">
        <v>0</v>
      </c>
      <c r="P25" s="220">
        <v>0</v>
      </c>
      <c r="Q25" s="220">
        <v>0</v>
      </c>
      <c r="R25" s="220">
        <v>0</v>
      </c>
      <c r="S25" s="220">
        <v>0</v>
      </c>
      <c r="T25" s="220">
        <v>0</v>
      </c>
      <c r="U25" s="220">
        <v>0</v>
      </c>
      <c r="V25" s="220">
        <v>0</v>
      </c>
      <c r="W25" s="220">
        <v>99.16</v>
      </c>
      <c r="X25" s="220">
        <v>99.16</v>
      </c>
    </row>
    <row r="26" spans="1:24" hidden="1" outlineLevel="2" x14ac:dyDescent="0.2">
      <c r="A26" s="87" t="s">
        <v>170</v>
      </c>
      <c r="B26" s="87" t="s">
        <v>211</v>
      </c>
      <c r="C26" s="87" t="s">
        <v>124</v>
      </c>
      <c r="D26" s="87" t="s">
        <v>212</v>
      </c>
      <c r="E26" s="87" t="s">
        <v>213</v>
      </c>
      <c r="F26" s="87" t="s">
        <v>214</v>
      </c>
      <c r="G26" s="87" t="s">
        <v>215</v>
      </c>
      <c r="H26" s="87" t="s">
        <v>225</v>
      </c>
      <c r="I26" s="87" t="s">
        <v>226</v>
      </c>
      <c r="J26" s="87" t="s">
        <v>140</v>
      </c>
      <c r="K26" s="220">
        <v>0</v>
      </c>
      <c r="L26" s="220">
        <v>0</v>
      </c>
      <c r="M26" s="220">
        <v>384.62</v>
      </c>
      <c r="N26" s="220">
        <v>0</v>
      </c>
      <c r="O26" s="220">
        <v>0</v>
      </c>
      <c r="P26" s="220">
        <v>0</v>
      </c>
      <c r="Q26" s="220">
        <v>0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384.62</v>
      </c>
      <c r="X26" s="220">
        <v>384.62</v>
      </c>
    </row>
    <row r="27" spans="1:24" hidden="1" outlineLevel="2" x14ac:dyDescent="0.2">
      <c r="A27" s="87" t="s">
        <v>170</v>
      </c>
      <c r="B27" s="87" t="s">
        <v>211</v>
      </c>
      <c r="C27" s="87" t="s">
        <v>124</v>
      </c>
      <c r="D27" s="87" t="s">
        <v>212</v>
      </c>
      <c r="E27" s="87" t="s">
        <v>213</v>
      </c>
      <c r="F27" s="87" t="s">
        <v>214</v>
      </c>
      <c r="G27" s="87" t="s">
        <v>215</v>
      </c>
      <c r="H27" s="87" t="s">
        <v>225</v>
      </c>
      <c r="I27" s="87" t="s">
        <v>226</v>
      </c>
      <c r="J27" s="87" t="s">
        <v>140</v>
      </c>
      <c r="K27" s="220">
        <v>0</v>
      </c>
      <c r="L27" s="220">
        <v>0</v>
      </c>
      <c r="M27" s="220">
        <v>99.16</v>
      </c>
      <c r="N27" s="220">
        <v>0</v>
      </c>
      <c r="O27" s="220">
        <v>0</v>
      </c>
      <c r="P27" s="220">
        <v>0</v>
      </c>
      <c r="Q27" s="220">
        <v>0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99.16</v>
      </c>
      <c r="X27" s="220">
        <v>99.16</v>
      </c>
    </row>
    <row r="28" spans="1:24" hidden="1" outlineLevel="2" x14ac:dyDescent="0.2">
      <c r="A28" s="87" t="s">
        <v>170</v>
      </c>
      <c r="B28" s="87" t="s">
        <v>211</v>
      </c>
      <c r="C28" s="87" t="s">
        <v>124</v>
      </c>
      <c r="D28" s="87" t="s">
        <v>212</v>
      </c>
      <c r="E28" s="87" t="s">
        <v>213</v>
      </c>
      <c r="F28" s="87" t="s">
        <v>214</v>
      </c>
      <c r="G28" s="87" t="s">
        <v>215</v>
      </c>
      <c r="H28" s="87" t="s">
        <v>225</v>
      </c>
      <c r="I28" s="87" t="s">
        <v>226</v>
      </c>
      <c r="J28" s="87" t="s">
        <v>140</v>
      </c>
      <c r="K28" s="220">
        <v>0</v>
      </c>
      <c r="L28" s="220">
        <v>0</v>
      </c>
      <c r="M28" s="220">
        <v>384.62</v>
      </c>
      <c r="N28" s="220">
        <v>0</v>
      </c>
      <c r="O28" s="220">
        <v>0</v>
      </c>
      <c r="P28" s="220">
        <v>0</v>
      </c>
      <c r="Q28" s="220">
        <v>0</v>
      </c>
      <c r="R28" s="220">
        <v>0</v>
      </c>
      <c r="S28" s="220">
        <v>0</v>
      </c>
      <c r="T28" s="220">
        <v>0</v>
      </c>
      <c r="U28" s="220">
        <v>0</v>
      </c>
      <c r="V28" s="220">
        <v>0</v>
      </c>
      <c r="W28" s="220">
        <v>384.62</v>
      </c>
      <c r="X28" s="220">
        <v>384.62</v>
      </c>
    </row>
    <row r="29" spans="1:24" hidden="1" outlineLevel="2" x14ac:dyDescent="0.2">
      <c r="A29" s="87" t="s">
        <v>170</v>
      </c>
      <c r="B29" s="87" t="s">
        <v>211</v>
      </c>
      <c r="C29" s="87" t="s">
        <v>124</v>
      </c>
      <c r="D29" s="87" t="s">
        <v>212</v>
      </c>
      <c r="E29" s="87" t="s">
        <v>213</v>
      </c>
      <c r="F29" s="87" t="s">
        <v>214</v>
      </c>
      <c r="G29" s="87" t="s">
        <v>215</v>
      </c>
      <c r="H29" s="87" t="s">
        <v>225</v>
      </c>
      <c r="I29" s="87" t="s">
        <v>226</v>
      </c>
      <c r="J29" s="87" t="s">
        <v>140</v>
      </c>
      <c r="K29" s="220">
        <v>0</v>
      </c>
      <c r="L29" s="220">
        <v>0</v>
      </c>
      <c r="M29" s="220">
        <v>765.65</v>
      </c>
      <c r="N29" s="220">
        <v>0</v>
      </c>
      <c r="O29" s="220">
        <v>0</v>
      </c>
      <c r="P29" s="220">
        <v>0</v>
      </c>
      <c r="Q29" s="220">
        <v>0</v>
      </c>
      <c r="R29" s="220">
        <v>0</v>
      </c>
      <c r="S29" s="220">
        <v>0</v>
      </c>
      <c r="T29" s="220">
        <v>0</v>
      </c>
      <c r="U29" s="220">
        <v>0</v>
      </c>
      <c r="V29" s="220">
        <v>0</v>
      </c>
      <c r="W29" s="220">
        <v>765.65</v>
      </c>
      <c r="X29" s="220">
        <v>765.65</v>
      </c>
    </row>
    <row r="30" spans="1:24" hidden="1" outlineLevel="2" x14ac:dyDescent="0.2">
      <c r="A30" s="87" t="s">
        <v>170</v>
      </c>
      <c r="B30" s="87" t="s">
        <v>211</v>
      </c>
      <c r="C30" s="87" t="s">
        <v>124</v>
      </c>
      <c r="D30" s="87" t="s">
        <v>212</v>
      </c>
      <c r="E30" s="87" t="s">
        <v>213</v>
      </c>
      <c r="F30" s="87" t="s">
        <v>214</v>
      </c>
      <c r="G30" s="87" t="s">
        <v>215</v>
      </c>
      <c r="H30" s="87" t="s">
        <v>225</v>
      </c>
      <c r="I30" s="87" t="s">
        <v>226</v>
      </c>
      <c r="J30" s="87" t="s">
        <v>140</v>
      </c>
      <c r="K30" s="220">
        <v>0</v>
      </c>
      <c r="L30" s="220">
        <v>0</v>
      </c>
      <c r="M30" s="220">
        <v>0</v>
      </c>
      <c r="N30" s="220">
        <v>0</v>
      </c>
      <c r="O30" s="220">
        <v>99.16</v>
      </c>
      <c r="P30" s="220">
        <v>0</v>
      </c>
      <c r="Q30" s="220">
        <v>0</v>
      </c>
      <c r="R30" s="220">
        <v>0</v>
      </c>
      <c r="S30" s="220">
        <v>0</v>
      </c>
      <c r="T30" s="220">
        <v>0</v>
      </c>
      <c r="U30" s="220">
        <v>0</v>
      </c>
      <c r="V30" s="220">
        <v>0</v>
      </c>
      <c r="W30" s="220">
        <v>99.16</v>
      </c>
      <c r="X30" s="220">
        <v>99.16</v>
      </c>
    </row>
    <row r="31" spans="1:24" hidden="1" outlineLevel="2" x14ac:dyDescent="0.2">
      <c r="A31" s="87" t="s">
        <v>170</v>
      </c>
      <c r="B31" s="87" t="s">
        <v>211</v>
      </c>
      <c r="C31" s="87" t="s">
        <v>124</v>
      </c>
      <c r="D31" s="87" t="s">
        <v>212</v>
      </c>
      <c r="E31" s="87" t="s">
        <v>213</v>
      </c>
      <c r="F31" s="87" t="s">
        <v>214</v>
      </c>
      <c r="G31" s="87" t="s">
        <v>215</v>
      </c>
      <c r="H31" s="87" t="s">
        <v>225</v>
      </c>
      <c r="I31" s="87" t="s">
        <v>226</v>
      </c>
      <c r="J31" s="87" t="s">
        <v>140</v>
      </c>
      <c r="K31" s="220">
        <v>725.56</v>
      </c>
      <c r="L31" s="220">
        <v>0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20">
        <v>0</v>
      </c>
      <c r="S31" s="220">
        <v>0</v>
      </c>
      <c r="T31" s="220">
        <v>0</v>
      </c>
      <c r="U31" s="220">
        <v>0</v>
      </c>
      <c r="V31" s="220">
        <v>0</v>
      </c>
      <c r="W31" s="220">
        <v>725.56</v>
      </c>
      <c r="X31" s="220">
        <v>725.56</v>
      </c>
    </row>
    <row r="32" spans="1:24" hidden="1" outlineLevel="2" x14ac:dyDescent="0.2">
      <c r="A32" s="87" t="s">
        <v>170</v>
      </c>
      <c r="B32" s="87" t="s">
        <v>211</v>
      </c>
      <c r="C32" s="87" t="s">
        <v>124</v>
      </c>
      <c r="D32" s="87" t="s">
        <v>212</v>
      </c>
      <c r="E32" s="87" t="s">
        <v>213</v>
      </c>
      <c r="F32" s="87" t="s">
        <v>214</v>
      </c>
      <c r="G32" s="87" t="s">
        <v>215</v>
      </c>
      <c r="H32" s="87" t="s">
        <v>225</v>
      </c>
      <c r="I32" s="87" t="s">
        <v>226</v>
      </c>
      <c r="J32" s="87" t="s">
        <v>140</v>
      </c>
      <c r="K32" s="220">
        <v>88.91</v>
      </c>
      <c r="L32" s="220">
        <v>0</v>
      </c>
      <c r="M32" s="220">
        <v>0</v>
      </c>
      <c r="N32" s="220">
        <v>0</v>
      </c>
      <c r="O32" s="220">
        <v>0</v>
      </c>
      <c r="P32" s="220">
        <v>0</v>
      </c>
      <c r="Q32" s="220">
        <v>0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88.91</v>
      </c>
      <c r="X32" s="220">
        <v>88.91</v>
      </c>
    </row>
    <row r="33" spans="1:24" hidden="1" outlineLevel="2" x14ac:dyDescent="0.2">
      <c r="A33" s="87" t="s">
        <v>170</v>
      </c>
      <c r="B33" s="87" t="s">
        <v>211</v>
      </c>
      <c r="C33" s="87" t="s">
        <v>124</v>
      </c>
      <c r="D33" s="87" t="s">
        <v>212</v>
      </c>
      <c r="E33" s="87" t="s">
        <v>213</v>
      </c>
      <c r="F33" s="87" t="s">
        <v>214</v>
      </c>
      <c r="G33" s="87" t="s">
        <v>215</v>
      </c>
      <c r="H33" s="87" t="s">
        <v>225</v>
      </c>
      <c r="I33" s="87" t="s">
        <v>226</v>
      </c>
      <c r="J33" s="87" t="s">
        <v>140</v>
      </c>
      <c r="K33" s="220">
        <v>0</v>
      </c>
      <c r="L33" s="220">
        <v>384.62</v>
      </c>
      <c r="M33" s="220">
        <v>0</v>
      </c>
      <c r="N33" s="220">
        <v>0</v>
      </c>
      <c r="O33" s="220">
        <v>0</v>
      </c>
      <c r="P33" s="220">
        <v>0</v>
      </c>
      <c r="Q33" s="220">
        <v>0</v>
      </c>
      <c r="R33" s="220">
        <v>0</v>
      </c>
      <c r="S33" s="220">
        <v>0</v>
      </c>
      <c r="T33" s="220">
        <v>0</v>
      </c>
      <c r="U33" s="220">
        <v>0</v>
      </c>
      <c r="V33" s="220">
        <v>0</v>
      </c>
      <c r="W33" s="220">
        <v>384.62</v>
      </c>
      <c r="X33" s="220">
        <v>384.62</v>
      </c>
    </row>
    <row r="34" spans="1:24" hidden="1" outlineLevel="2" x14ac:dyDescent="0.2">
      <c r="A34" s="87" t="s">
        <v>170</v>
      </c>
      <c r="B34" s="87" t="s">
        <v>211</v>
      </c>
      <c r="C34" s="87" t="s">
        <v>124</v>
      </c>
      <c r="D34" s="87" t="s">
        <v>212</v>
      </c>
      <c r="E34" s="87" t="s">
        <v>213</v>
      </c>
      <c r="F34" s="87" t="s">
        <v>214</v>
      </c>
      <c r="G34" s="87" t="s">
        <v>215</v>
      </c>
      <c r="H34" s="87" t="s">
        <v>225</v>
      </c>
      <c r="I34" s="87" t="s">
        <v>226</v>
      </c>
      <c r="J34" s="87" t="s">
        <v>140</v>
      </c>
      <c r="K34" s="220">
        <v>0</v>
      </c>
      <c r="L34" s="220">
        <v>0</v>
      </c>
      <c r="M34" s="220">
        <v>0</v>
      </c>
      <c r="N34" s="220">
        <v>0</v>
      </c>
      <c r="O34" s="220">
        <v>202.54</v>
      </c>
      <c r="P34" s="220">
        <v>0</v>
      </c>
      <c r="Q34" s="220">
        <v>0</v>
      </c>
      <c r="R34" s="220">
        <v>0</v>
      </c>
      <c r="S34" s="220">
        <v>0</v>
      </c>
      <c r="T34" s="220">
        <v>0</v>
      </c>
      <c r="U34" s="220">
        <v>0</v>
      </c>
      <c r="V34" s="220">
        <v>0</v>
      </c>
      <c r="W34" s="220">
        <v>202.54</v>
      </c>
      <c r="X34" s="220">
        <v>202.54</v>
      </c>
    </row>
    <row r="35" spans="1:24" hidden="1" outlineLevel="2" x14ac:dyDescent="0.2">
      <c r="A35" s="87" t="s">
        <v>170</v>
      </c>
      <c r="B35" s="87" t="s">
        <v>211</v>
      </c>
      <c r="C35" s="87" t="s">
        <v>124</v>
      </c>
      <c r="D35" s="87" t="s">
        <v>212</v>
      </c>
      <c r="E35" s="87" t="s">
        <v>213</v>
      </c>
      <c r="F35" s="87" t="s">
        <v>214</v>
      </c>
      <c r="G35" s="87" t="s">
        <v>215</v>
      </c>
      <c r="H35" s="87" t="s">
        <v>225</v>
      </c>
      <c r="I35" s="87" t="s">
        <v>226</v>
      </c>
      <c r="J35" s="87" t="s">
        <v>140</v>
      </c>
      <c r="K35" s="220">
        <v>0</v>
      </c>
      <c r="L35" s="220">
        <v>0</v>
      </c>
      <c r="M35" s="220">
        <v>0</v>
      </c>
      <c r="N35" s="220">
        <v>-466.61</v>
      </c>
      <c r="O35" s="220">
        <v>0</v>
      </c>
      <c r="P35" s="220">
        <v>0</v>
      </c>
      <c r="Q35" s="220">
        <v>0</v>
      </c>
      <c r="R35" s="220">
        <v>0</v>
      </c>
      <c r="S35" s="220">
        <v>0</v>
      </c>
      <c r="T35" s="220">
        <v>0</v>
      </c>
      <c r="U35" s="220">
        <v>0</v>
      </c>
      <c r="V35" s="220">
        <v>0</v>
      </c>
      <c r="W35" s="220">
        <v>-466.61</v>
      </c>
      <c r="X35" s="220">
        <v>-466.61</v>
      </c>
    </row>
    <row r="36" spans="1:24" hidden="1" outlineLevel="2" x14ac:dyDescent="0.2">
      <c r="A36" s="87" t="s">
        <v>170</v>
      </c>
      <c r="B36" s="87" t="s">
        <v>211</v>
      </c>
      <c r="C36" s="87" t="s">
        <v>124</v>
      </c>
      <c r="D36" s="87" t="s">
        <v>212</v>
      </c>
      <c r="E36" s="87" t="s">
        <v>213</v>
      </c>
      <c r="F36" s="87" t="s">
        <v>214</v>
      </c>
      <c r="G36" s="87" t="s">
        <v>215</v>
      </c>
      <c r="H36" s="87" t="s">
        <v>225</v>
      </c>
      <c r="I36" s="87" t="s">
        <v>226</v>
      </c>
      <c r="J36" s="87" t="s">
        <v>140</v>
      </c>
      <c r="K36" s="220">
        <v>0</v>
      </c>
      <c r="L36" s="220">
        <v>0</v>
      </c>
      <c r="M36" s="220">
        <v>0</v>
      </c>
      <c r="N36" s="220">
        <v>0</v>
      </c>
      <c r="O36" s="220">
        <v>360.1</v>
      </c>
      <c r="P36" s="220">
        <v>0</v>
      </c>
      <c r="Q36" s="220">
        <v>0</v>
      </c>
      <c r="R36" s="220">
        <v>0</v>
      </c>
      <c r="S36" s="220">
        <v>0</v>
      </c>
      <c r="T36" s="220">
        <v>0</v>
      </c>
      <c r="U36" s="220">
        <v>0</v>
      </c>
      <c r="V36" s="220">
        <v>0</v>
      </c>
      <c r="W36" s="220">
        <v>360.1</v>
      </c>
      <c r="X36" s="220">
        <v>360.1</v>
      </c>
    </row>
    <row r="37" spans="1:24" hidden="1" outlineLevel="2" x14ac:dyDescent="0.2">
      <c r="A37" s="87" t="s">
        <v>170</v>
      </c>
      <c r="B37" s="87" t="s">
        <v>211</v>
      </c>
      <c r="C37" s="87" t="s">
        <v>124</v>
      </c>
      <c r="D37" s="87" t="s">
        <v>212</v>
      </c>
      <c r="E37" s="87" t="s">
        <v>213</v>
      </c>
      <c r="F37" s="87" t="s">
        <v>214</v>
      </c>
      <c r="G37" s="87" t="s">
        <v>215</v>
      </c>
      <c r="H37" s="87" t="s">
        <v>225</v>
      </c>
      <c r="I37" s="87" t="s">
        <v>226</v>
      </c>
      <c r="J37" s="87" t="s">
        <v>140</v>
      </c>
      <c r="K37" s="220">
        <v>88.91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20">
        <v>0</v>
      </c>
      <c r="S37" s="220">
        <v>0</v>
      </c>
      <c r="T37" s="220">
        <v>0</v>
      </c>
      <c r="U37" s="220">
        <v>0</v>
      </c>
      <c r="V37" s="220">
        <v>0</v>
      </c>
      <c r="W37" s="220">
        <v>88.91</v>
      </c>
      <c r="X37" s="220">
        <v>88.91</v>
      </c>
    </row>
    <row r="38" spans="1:24" hidden="1" outlineLevel="2" x14ac:dyDescent="0.2">
      <c r="A38" s="87" t="s">
        <v>170</v>
      </c>
      <c r="B38" s="87" t="s">
        <v>211</v>
      </c>
      <c r="C38" s="87" t="s">
        <v>124</v>
      </c>
      <c r="D38" s="87" t="s">
        <v>212</v>
      </c>
      <c r="E38" s="87" t="s">
        <v>213</v>
      </c>
      <c r="F38" s="87" t="s">
        <v>214</v>
      </c>
      <c r="G38" s="87" t="s">
        <v>215</v>
      </c>
      <c r="H38" s="87" t="s">
        <v>225</v>
      </c>
      <c r="I38" s="87" t="s">
        <v>226</v>
      </c>
      <c r="J38" s="87" t="s">
        <v>140</v>
      </c>
      <c r="K38" s="220">
        <v>524.39</v>
      </c>
      <c r="L38" s="220">
        <v>0</v>
      </c>
      <c r="M38" s="220">
        <v>0</v>
      </c>
      <c r="N38" s="220">
        <v>0</v>
      </c>
      <c r="O38" s="220">
        <v>0</v>
      </c>
      <c r="P38" s="220">
        <v>0</v>
      </c>
      <c r="Q38" s="220">
        <v>0</v>
      </c>
      <c r="R38" s="220">
        <v>0</v>
      </c>
      <c r="S38" s="220">
        <v>0</v>
      </c>
      <c r="T38" s="220">
        <v>0</v>
      </c>
      <c r="U38" s="220">
        <v>0</v>
      </c>
      <c r="V38" s="220">
        <v>0</v>
      </c>
      <c r="W38" s="220">
        <v>524.39</v>
      </c>
      <c r="X38" s="220">
        <v>524.39</v>
      </c>
    </row>
    <row r="39" spans="1:24" hidden="1" outlineLevel="2" x14ac:dyDescent="0.2">
      <c r="A39" s="87" t="s">
        <v>170</v>
      </c>
      <c r="B39" s="87" t="s">
        <v>211</v>
      </c>
      <c r="C39" s="87" t="s">
        <v>124</v>
      </c>
      <c r="D39" s="87" t="s">
        <v>212</v>
      </c>
      <c r="E39" s="87" t="s">
        <v>213</v>
      </c>
      <c r="F39" s="87" t="s">
        <v>214</v>
      </c>
      <c r="G39" s="87" t="s">
        <v>215</v>
      </c>
      <c r="H39" s="87" t="s">
        <v>225</v>
      </c>
      <c r="I39" s="87" t="s">
        <v>226</v>
      </c>
      <c r="J39" s="87" t="s">
        <v>140</v>
      </c>
      <c r="K39" s="220">
        <v>360.1</v>
      </c>
      <c r="L39" s="220">
        <v>0</v>
      </c>
      <c r="M39" s="220">
        <v>0</v>
      </c>
      <c r="N39" s="220">
        <v>0</v>
      </c>
      <c r="O39" s="220">
        <v>0</v>
      </c>
      <c r="P39" s="220">
        <v>0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0">
        <v>0</v>
      </c>
      <c r="W39" s="220">
        <v>360.1</v>
      </c>
      <c r="X39" s="220">
        <v>360.1</v>
      </c>
    </row>
    <row r="40" spans="1:24" hidden="1" outlineLevel="2" x14ac:dyDescent="0.2">
      <c r="A40" s="87" t="s">
        <v>170</v>
      </c>
      <c r="B40" s="87" t="s">
        <v>211</v>
      </c>
      <c r="C40" s="87" t="s">
        <v>124</v>
      </c>
      <c r="D40" s="87" t="s">
        <v>212</v>
      </c>
      <c r="E40" s="87" t="s">
        <v>213</v>
      </c>
      <c r="F40" s="87" t="s">
        <v>214</v>
      </c>
      <c r="G40" s="87" t="s">
        <v>215</v>
      </c>
      <c r="H40" s="87" t="s">
        <v>225</v>
      </c>
      <c r="I40" s="87" t="s">
        <v>226</v>
      </c>
      <c r="J40" s="87" t="s">
        <v>140</v>
      </c>
      <c r="K40" s="220">
        <v>0</v>
      </c>
      <c r="L40" s="220">
        <v>99.16</v>
      </c>
      <c r="M40" s="220">
        <v>0</v>
      </c>
      <c r="N40" s="220">
        <v>0</v>
      </c>
      <c r="O40" s="220">
        <v>0</v>
      </c>
      <c r="P40" s="220">
        <v>0</v>
      </c>
      <c r="Q40" s="220">
        <v>0</v>
      </c>
      <c r="R40" s="220">
        <v>0</v>
      </c>
      <c r="S40" s="220">
        <v>0</v>
      </c>
      <c r="T40" s="220">
        <v>0</v>
      </c>
      <c r="U40" s="220">
        <v>0</v>
      </c>
      <c r="V40" s="220">
        <v>0</v>
      </c>
      <c r="W40" s="220">
        <v>99.16</v>
      </c>
      <c r="X40" s="220">
        <v>99.16</v>
      </c>
    </row>
    <row r="41" spans="1:24" hidden="1" outlineLevel="2" x14ac:dyDescent="0.2">
      <c r="A41" s="87" t="s">
        <v>170</v>
      </c>
      <c r="B41" s="87" t="s">
        <v>211</v>
      </c>
      <c r="C41" s="87" t="s">
        <v>124</v>
      </c>
      <c r="D41" s="87" t="s">
        <v>212</v>
      </c>
      <c r="E41" s="87" t="s">
        <v>213</v>
      </c>
      <c r="F41" s="87" t="s">
        <v>214</v>
      </c>
      <c r="G41" s="87" t="s">
        <v>215</v>
      </c>
      <c r="H41" s="87" t="s">
        <v>225</v>
      </c>
      <c r="I41" s="87" t="s">
        <v>226</v>
      </c>
      <c r="J41" s="87" t="s">
        <v>140</v>
      </c>
      <c r="K41" s="220">
        <v>0</v>
      </c>
      <c r="L41" s="220">
        <v>-412.75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220">
        <v>0</v>
      </c>
      <c r="T41" s="220">
        <v>0</v>
      </c>
      <c r="U41" s="220">
        <v>0</v>
      </c>
      <c r="V41" s="220">
        <v>0</v>
      </c>
      <c r="W41" s="220">
        <v>-412.75</v>
      </c>
      <c r="X41" s="220">
        <v>-412.75</v>
      </c>
    </row>
    <row r="42" spans="1:24" hidden="1" outlineLevel="2" x14ac:dyDescent="0.2">
      <c r="A42" s="87" t="s">
        <v>170</v>
      </c>
      <c r="B42" s="87" t="s">
        <v>211</v>
      </c>
      <c r="C42" s="87" t="s">
        <v>124</v>
      </c>
      <c r="D42" s="87" t="s">
        <v>212</v>
      </c>
      <c r="E42" s="87" t="s">
        <v>213</v>
      </c>
      <c r="F42" s="87" t="s">
        <v>214</v>
      </c>
      <c r="G42" s="87" t="s">
        <v>215</v>
      </c>
      <c r="H42" s="87" t="s">
        <v>225</v>
      </c>
      <c r="I42" s="87" t="s">
        <v>226</v>
      </c>
      <c r="J42" s="87" t="s">
        <v>140</v>
      </c>
      <c r="K42" s="220">
        <v>0</v>
      </c>
      <c r="L42" s="220">
        <v>0</v>
      </c>
      <c r="M42" s="220">
        <v>0</v>
      </c>
      <c r="N42" s="220">
        <v>0</v>
      </c>
      <c r="O42" s="220">
        <v>213.5</v>
      </c>
      <c r="P42" s="220">
        <v>0</v>
      </c>
      <c r="Q42" s="220">
        <v>0</v>
      </c>
      <c r="R42" s="220">
        <v>0</v>
      </c>
      <c r="S42" s="220">
        <v>0</v>
      </c>
      <c r="T42" s="220">
        <v>0</v>
      </c>
      <c r="U42" s="220">
        <v>0</v>
      </c>
      <c r="V42" s="220">
        <v>0</v>
      </c>
      <c r="W42" s="220">
        <v>213.5</v>
      </c>
      <c r="X42" s="220">
        <v>213.5</v>
      </c>
    </row>
    <row r="43" spans="1:24" hidden="1" outlineLevel="2" x14ac:dyDescent="0.2">
      <c r="A43" s="87" t="s">
        <v>170</v>
      </c>
      <c r="B43" s="87" t="s">
        <v>211</v>
      </c>
      <c r="C43" s="87" t="s">
        <v>124</v>
      </c>
      <c r="D43" s="87" t="s">
        <v>212</v>
      </c>
      <c r="E43" s="87" t="s">
        <v>213</v>
      </c>
      <c r="F43" s="87" t="s">
        <v>214</v>
      </c>
      <c r="G43" s="87" t="s">
        <v>215</v>
      </c>
      <c r="H43" s="87" t="s">
        <v>227</v>
      </c>
      <c r="I43" s="87" t="s">
        <v>228</v>
      </c>
      <c r="J43" s="87" t="s">
        <v>140</v>
      </c>
      <c r="K43" s="220">
        <v>0</v>
      </c>
      <c r="L43" s="220">
        <v>0</v>
      </c>
      <c r="M43" s="220">
        <v>0</v>
      </c>
      <c r="N43" s="220">
        <v>0</v>
      </c>
      <c r="O43" s="220">
        <v>156.69999999999999</v>
      </c>
      <c r="P43" s="220">
        <v>0</v>
      </c>
      <c r="Q43" s="220">
        <v>0</v>
      </c>
      <c r="R43" s="220">
        <v>0</v>
      </c>
      <c r="S43" s="220">
        <v>0</v>
      </c>
      <c r="T43" s="220">
        <v>0</v>
      </c>
      <c r="U43" s="220">
        <v>0</v>
      </c>
      <c r="V43" s="220">
        <v>0</v>
      </c>
      <c r="W43" s="220">
        <v>156.69999999999999</v>
      </c>
      <c r="X43" s="220">
        <v>156.69999999999999</v>
      </c>
    </row>
    <row r="44" spans="1:24" hidden="1" outlineLevel="2" x14ac:dyDescent="0.2">
      <c r="A44" s="87" t="s">
        <v>170</v>
      </c>
      <c r="B44" s="87" t="s">
        <v>211</v>
      </c>
      <c r="C44" s="87" t="s">
        <v>124</v>
      </c>
      <c r="D44" s="87" t="s">
        <v>212</v>
      </c>
      <c r="E44" s="87" t="s">
        <v>213</v>
      </c>
      <c r="F44" s="87" t="s">
        <v>214</v>
      </c>
      <c r="G44" s="87" t="s">
        <v>215</v>
      </c>
      <c r="H44" s="87" t="s">
        <v>227</v>
      </c>
      <c r="I44" s="87" t="s">
        <v>228</v>
      </c>
      <c r="J44" s="87" t="s">
        <v>140</v>
      </c>
      <c r="K44" s="220">
        <v>0</v>
      </c>
      <c r="L44" s="220">
        <v>3021.57</v>
      </c>
      <c r="M44" s="220">
        <v>0</v>
      </c>
      <c r="N44" s="220">
        <v>0</v>
      </c>
      <c r="O44" s="220">
        <v>0</v>
      </c>
      <c r="P44" s="220">
        <v>0</v>
      </c>
      <c r="Q44" s="220">
        <v>0</v>
      </c>
      <c r="R44" s="220">
        <v>0</v>
      </c>
      <c r="S44" s="220">
        <v>0</v>
      </c>
      <c r="T44" s="220">
        <v>0</v>
      </c>
      <c r="U44" s="220">
        <v>0</v>
      </c>
      <c r="V44" s="220">
        <v>0</v>
      </c>
      <c r="W44" s="220">
        <v>3021.57</v>
      </c>
      <c r="X44" s="220">
        <v>3021.57</v>
      </c>
    </row>
    <row r="45" spans="1:24" hidden="1" outlineLevel="2" x14ac:dyDescent="0.2">
      <c r="A45" s="87" t="s">
        <v>170</v>
      </c>
      <c r="B45" s="87" t="s">
        <v>211</v>
      </c>
      <c r="C45" s="87" t="s">
        <v>124</v>
      </c>
      <c r="D45" s="87" t="s">
        <v>212</v>
      </c>
      <c r="E45" s="87" t="s">
        <v>213</v>
      </c>
      <c r="F45" s="87" t="s">
        <v>214</v>
      </c>
      <c r="G45" s="87" t="s">
        <v>215</v>
      </c>
      <c r="H45" s="87" t="s">
        <v>227</v>
      </c>
      <c r="I45" s="87" t="s">
        <v>228</v>
      </c>
      <c r="J45" s="87" t="s">
        <v>140</v>
      </c>
      <c r="K45" s="220">
        <v>0</v>
      </c>
      <c r="L45" s="220">
        <v>2297.1</v>
      </c>
      <c r="M45" s="220">
        <v>0</v>
      </c>
      <c r="N45" s="220">
        <v>0</v>
      </c>
      <c r="O45" s="220">
        <v>0</v>
      </c>
      <c r="P45" s="220">
        <v>0</v>
      </c>
      <c r="Q45" s="220">
        <v>0</v>
      </c>
      <c r="R45" s="220">
        <v>0</v>
      </c>
      <c r="S45" s="220">
        <v>0</v>
      </c>
      <c r="T45" s="220">
        <v>0</v>
      </c>
      <c r="U45" s="220">
        <v>0</v>
      </c>
      <c r="V45" s="220">
        <v>0</v>
      </c>
      <c r="W45" s="220">
        <v>2297.1</v>
      </c>
      <c r="X45" s="220">
        <v>2297.1</v>
      </c>
    </row>
    <row r="46" spans="1:24" hidden="1" outlineLevel="2" x14ac:dyDescent="0.2">
      <c r="A46" s="87" t="s">
        <v>170</v>
      </c>
      <c r="B46" s="87" t="s">
        <v>211</v>
      </c>
      <c r="C46" s="87" t="s">
        <v>124</v>
      </c>
      <c r="D46" s="87" t="s">
        <v>212</v>
      </c>
      <c r="E46" s="87" t="s">
        <v>213</v>
      </c>
      <c r="F46" s="87" t="s">
        <v>214</v>
      </c>
      <c r="G46" s="87" t="s">
        <v>215</v>
      </c>
      <c r="H46" s="87" t="s">
        <v>227</v>
      </c>
      <c r="I46" s="87" t="s">
        <v>228</v>
      </c>
      <c r="J46" s="87" t="s">
        <v>140</v>
      </c>
      <c r="K46" s="220">
        <v>0</v>
      </c>
      <c r="L46" s="220">
        <v>537.22</v>
      </c>
      <c r="M46" s="220">
        <v>0</v>
      </c>
      <c r="N46" s="220">
        <v>0</v>
      </c>
      <c r="O46" s="220">
        <v>0</v>
      </c>
      <c r="P46" s="220">
        <v>0</v>
      </c>
      <c r="Q46" s="220">
        <v>0</v>
      </c>
      <c r="R46" s="220">
        <v>0</v>
      </c>
      <c r="S46" s="220">
        <v>0</v>
      </c>
      <c r="T46" s="220">
        <v>0</v>
      </c>
      <c r="U46" s="220">
        <v>0</v>
      </c>
      <c r="V46" s="220">
        <v>0</v>
      </c>
      <c r="W46" s="220">
        <v>537.22</v>
      </c>
      <c r="X46" s="220">
        <v>537.22</v>
      </c>
    </row>
    <row r="47" spans="1:24" hidden="1" outlineLevel="2" x14ac:dyDescent="0.2">
      <c r="A47" s="87" t="s">
        <v>170</v>
      </c>
      <c r="B47" s="87" t="s">
        <v>211</v>
      </c>
      <c r="C47" s="87" t="s">
        <v>124</v>
      </c>
      <c r="D47" s="87" t="s">
        <v>212</v>
      </c>
      <c r="E47" s="87" t="s">
        <v>213</v>
      </c>
      <c r="F47" s="87" t="s">
        <v>214</v>
      </c>
      <c r="G47" s="87" t="s">
        <v>215</v>
      </c>
      <c r="H47" s="87" t="s">
        <v>227</v>
      </c>
      <c r="I47" s="87" t="s">
        <v>228</v>
      </c>
      <c r="J47" s="87" t="s">
        <v>140</v>
      </c>
      <c r="K47" s="220">
        <v>0</v>
      </c>
      <c r="L47" s="220">
        <v>554.20000000000005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20">
        <v>0</v>
      </c>
      <c r="S47" s="220">
        <v>0</v>
      </c>
      <c r="T47" s="220">
        <v>0</v>
      </c>
      <c r="U47" s="220">
        <v>0</v>
      </c>
      <c r="V47" s="220">
        <v>0</v>
      </c>
      <c r="W47" s="220">
        <v>554.20000000000005</v>
      </c>
      <c r="X47" s="220">
        <v>554.20000000000005</v>
      </c>
    </row>
    <row r="48" spans="1:24" hidden="1" outlineLevel="2" x14ac:dyDescent="0.2">
      <c r="A48" s="87" t="s">
        <v>170</v>
      </c>
      <c r="B48" s="87" t="s">
        <v>211</v>
      </c>
      <c r="C48" s="87" t="s">
        <v>124</v>
      </c>
      <c r="D48" s="87" t="s">
        <v>212</v>
      </c>
      <c r="E48" s="87" t="s">
        <v>213</v>
      </c>
      <c r="F48" s="87" t="s">
        <v>214</v>
      </c>
      <c r="G48" s="87" t="s">
        <v>215</v>
      </c>
      <c r="H48" s="87" t="s">
        <v>227</v>
      </c>
      <c r="I48" s="87" t="s">
        <v>228</v>
      </c>
      <c r="J48" s="87" t="s">
        <v>140</v>
      </c>
      <c r="K48" s="220">
        <v>0</v>
      </c>
      <c r="L48" s="220">
        <v>0</v>
      </c>
      <c r="M48" s="220">
        <v>0</v>
      </c>
      <c r="N48" s="220">
        <v>156.69999999999999</v>
      </c>
      <c r="O48" s="220">
        <v>0</v>
      </c>
      <c r="P48" s="220">
        <v>0</v>
      </c>
      <c r="Q48" s="220">
        <v>0</v>
      </c>
      <c r="R48" s="220">
        <v>0</v>
      </c>
      <c r="S48" s="220">
        <v>0</v>
      </c>
      <c r="T48" s="220">
        <v>0</v>
      </c>
      <c r="U48" s="220">
        <v>0</v>
      </c>
      <c r="V48" s="220">
        <v>0</v>
      </c>
      <c r="W48" s="220">
        <v>156.69999999999999</v>
      </c>
      <c r="X48" s="220">
        <v>156.69999999999999</v>
      </c>
    </row>
    <row r="49" spans="1:24" hidden="1" outlineLevel="2" x14ac:dyDescent="0.2">
      <c r="A49" s="87" t="s">
        <v>170</v>
      </c>
      <c r="B49" s="87" t="s">
        <v>211</v>
      </c>
      <c r="C49" s="87" t="s">
        <v>124</v>
      </c>
      <c r="D49" s="87" t="s">
        <v>212</v>
      </c>
      <c r="E49" s="87" t="s">
        <v>213</v>
      </c>
      <c r="F49" s="87" t="s">
        <v>214</v>
      </c>
      <c r="G49" s="87" t="s">
        <v>215</v>
      </c>
      <c r="H49" s="87" t="s">
        <v>227</v>
      </c>
      <c r="I49" s="87" t="s">
        <v>228</v>
      </c>
      <c r="J49" s="87" t="s">
        <v>140</v>
      </c>
      <c r="K49" s="220">
        <v>0</v>
      </c>
      <c r="L49" s="220">
        <v>706.65</v>
      </c>
      <c r="M49" s="220">
        <v>0</v>
      </c>
      <c r="N49" s="220">
        <v>0</v>
      </c>
      <c r="O49" s="220">
        <v>0</v>
      </c>
      <c r="P49" s="220">
        <v>0</v>
      </c>
      <c r="Q49" s="220">
        <v>0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706.65</v>
      </c>
      <c r="X49" s="220">
        <v>706.65</v>
      </c>
    </row>
    <row r="50" spans="1:24" hidden="1" outlineLevel="2" x14ac:dyDescent="0.2">
      <c r="A50" s="87" t="s">
        <v>170</v>
      </c>
      <c r="B50" s="87" t="s">
        <v>211</v>
      </c>
      <c r="C50" s="87" t="s">
        <v>124</v>
      </c>
      <c r="D50" s="87" t="s">
        <v>212</v>
      </c>
      <c r="E50" s="87" t="s">
        <v>213</v>
      </c>
      <c r="F50" s="87" t="s">
        <v>214</v>
      </c>
      <c r="G50" s="87" t="s">
        <v>215</v>
      </c>
      <c r="H50" s="87" t="s">
        <v>227</v>
      </c>
      <c r="I50" s="87" t="s">
        <v>228</v>
      </c>
      <c r="J50" s="87" t="s">
        <v>140</v>
      </c>
      <c r="K50" s="220">
        <v>0</v>
      </c>
      <c r="L50" s="220">
        <v>0</v>
      </c>
      <c r="M50" s="220">
        <v>0</v>
      </c>
      <c r="N50" s="220">
        <v>-281.57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0">
        <v>0</v>
      </c>
      <c r="W50" s="220">
        <v>-281.57</v>
      </c>
      <c r="X50" s="220">
        <v>-281.57</v>
      </c>
    </row>
    <row r="51" spans="1:24" hidden="1" outlineLevel="2" x14ac:dyDescent="0.2">
      <c r="A51" s="87" t="s">
        <v>170</v>
      </c>
      <c r="B51" s="87" t="s">
        <v>211</v>
      </c>
      <c r="C51" s="87" t="s">
        <v>124</v>
      </c>
      <c r="D51" s="87" t="s">
        <v>212</v>
      </c>
      <c r="E51" s="87" t="s">
        <v>213</v>
      </c>
      <c r="F51" s="87" t="s">
        <v>214</v>
      </c>
      <c r="G51" s="87" t="s">
        <v>215</v>
      </c>
      <c r="H51" s="87" t="s">
        <v>227</v>
      </c>
      <c r="I51" s="87" t="s">
        <v>228</v>
      </c>
      <c r="J51" s="87" t="s">
        <v>140</v>
      </c>
      <c r="K51" s="220">
        <v>0</v>
      </c>
      <c r="L51" s="220">
        <v>0</v>
      </c>
      <c r="M51" s="220">
        <v>0</v>
      </c>
      <c r="N51" s="220">
        <v>0</v>
      </c>
      <c r="O51" s="220">
        <v>83.4</v>
      </c>
      <c r="P51" s="220">
        <v>0</v>
      </c>
      <c r="Q51" s="220">
        <v>0</v>
      </c>
      <c r="R51" s="220">
        <v>0</v>
      </c>
      <c r="S51" s="220">
        <v>0</v>
      </c>
      <c r="T51" s="220">
        <v>0</v>
      </c>
      <c r="U51" s="220">
        <v>0</v>
      </c>
      <c r="V51" s="220">
        <v>0</v>
      </c>
      <c r="W51" s="220">
        <v>83.4</v>
      </c>
      <c r="X51" s="220">
        <v>83.4</v>
      </c>
    </row>
    <row r="52" spans="1:24" hidden="1" outlineLevel="2" x14ac:dyDescent="0.2">
      <c r="A52" s="87" t="s">
        <v>170</v>
      </c>
      <c r="B52" s="87" t="s">
        <v>211</v>
      </c>
      <c r="C52" s="87" t="s">
        <v>124</v>
      </c>
      <c r="D52" s="87" t="s">
        <v>212</v>
      </c>
      <c r="E52" s="87" t="s">
        <v>213</v>
      </c>
      <c r="F52" s="87" t="s">
        <v>214</v>
      </c>
      <c r="G52" s="87" t="s">
        <v>215</v>
      </c>
      <c r="H52" s="87" t="s">
        <v>227</v>
      </c>
      <c r="I52" s="87" t="s">
        <v>228</v>
      </c>
      <c r="J52" s="87" t="s">
        <v>140</v>
      </c>
      <c r="K52" s="220">
        <v>0</v>
      </c>
      <c r="L52" s="220">
        <v>0</v>
      </c>
      <c r="M52" s="220">
        <v>0</v>
      </c>
      <c r="N52" s="220">
        <v>-1403.82</v>
      </c>
      <c r="O52" s="220">
        <v>0</v>
      </c>
      <c r="P52" s="220">
        <v>0</v>
      </c>
      <c r="Q52" s="220">
        <v>0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-1403.82</v>
      </c>
      <c r="X52" s="220">
        <v>-1403.82</v>
      </c>
    </row>
    <row r="53" spans="1:24" hidden="1" outlineLevel="2" x14ac:dyDescent="0.2">
      <c r="A53" s="87" t="s">
        <v>170</v>
      </c>
      <c r="B53" s="87" t="s">
        <v>211</v>
      </c>
      <c r="C53" s="87" t="s">
        <v>124</v>
      </c>
      <c r="D53" s="87" t="s">
        <v>212</v>
      </c>
      <c r="E53" s="87" t="s">
        <v>213</v>
      </c>
      <c r="F53" s="87" t="s">
        <v>214</v>
      </c>
      <c r="G53" s="87" t="s">
        <v>215</v>
      </c>
      <c r="H53" s="87" t="s">
        <v>227</v>
      </c>
      <c r="I53" s="87" t="s">
        <v>228</v>
      </c>
      <c r="J53" s="87" t="s">
        <v>140</v>
      </c>
      <c r="K53" s="220">
        <v>0</v>
      </c>
      <c r="L53" s="220">
        <v>0</v>
      </c>
      <c r="M53" s="220">
        <v>92.97</v>
      </c>
      <c r="N53" s="220">
        <v>0</v>
      </c>
      <c r="O53" s="220">
        <v>0</v>
      </c>
      <c r="P53" s="220">
        <v>0</v>
      </c>
      <c r="Q53" s="220">
        <v>0</v>
      </c>
      <c r="R53" s="220">
        <v>0</v>
      </c>
      <c r="S53" s="220">
        <v>0</v>
      </c>
      <c r="T53" s="220">
        <v>0</v>
      </c>
      <c r="U53" s="220">
        <v>0</v>
      </c>
      <c r="V53" s="220">
        <v>0</v>
      </c>
      <c r="W53" s="220">
        <v>92.97</v>
      </c>
      <c r="X53" s="220">
        <v>92.97</v>
      </c>
    </row>
    <row r="54" spans="1:24" hidden="1" outlineLevel="2" x14ac:dyDescent="0.2">
      <c r="A54" s="87" t="s">
        <v>170</v>
      </c>
      <c r="B54" s="87" t="s">
        <v>211</v>
      </c>
      <c r="C54" s="87" t="s">
        <v>124</v>
      </c>
      <c r="D54" s="87" t="s">
        <v>212</v>
      </c>
      <c r="E54" s="87" t="s">
        <v>213</v>
      </c>
      <c r="F54" s="87" t="s">
        <v>214</v>
      </c>
      <c r="G54" s="87" t="s">
        <v>215</v>
      </c>
      <c r="H54" s="87" t="s">
        <v>227</v>
      </c>
      <c r="I54" s="87" t="s">
        <v>228</v>
      </c>
      <c r="J54" s="87" t="s">
        <v>140</v>
      </c>
      <c r="K54" s="220">
        <v>0</v>
      </c>
      <c r="L54" s="220">
        <v>0</v>
      </c>
      <c r="M54" s="220">
        <v>0</v>
      </c>
      <c r="N54" s="220">
        <v>83.38</v>
      </c>
      <c r="O54" s="220">
        <v>0</v>
      </c>
      <c r="P54" s="220">
        <v>0</v>
      </c>
      <c r="Q54" s="220">
        <v>0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83.38</v>
      </c>
      <c r="X54" s="220">
        <v>83.38</v>
      </c>
    </row>
    <row r="55" spans="1:24" hidden="1" outlineLevel="2" x14ac:dyDescent="0.2">
      <c r="A55" s="87" t="s">
        <v>170</v>
      </c>
      <c r="B55" s="87" t="s">
        <v>211</v>
      </c>
      <c r="C55" s="87" t="s">
        <v>124</v>
      </c>
      <c r="D55" s="87" t="s">
        <v>212</v>
      </c>
      <c r="E55" s="87" t="s">
        <v>213</v>
      </c>
      <c r="F55" s="87" t="s">
        <v>214</v>
      </c>
      <c r="G55" s="87" t="s">
        <v>215</v>
      </c>
      <c r="H55" s="87" t="s">
        <v>227</v>
      </c>
      <c r="I55" s="87" t="s">
        <v>228</v>
      </c>
      <c r="J55" s="87" t="s">
        <v>140</v>
      </c>
      <c r="K55" s="220">
        <v>0</v>
      </c>
      <c r="L55" s="220">
        <v>92.97</v>
      </c>
      <c r="M55" s="220">
        <v>0</v>
      </c>
      <c r="N55" s="220">
        <v>0</v>
      </c>
      <c r="O55" s="220">
        <v>0</v>
      </c>
      <c r="P55" s="220">
        <v>0</v>
      </c>
      <c r="Q55" s="220">
        <v>0</v>
      </c>
      <c r="R55" s="220">
        <v>0</v>
      </c>
      <c r="S55" s="220">
        <v>0</v>
      </c>
      <c r="T55" s="220">
        <v>0</v>
      </c>
      <c r="U55" s="220">
        <v>0</v>
      </c>
      <c r="V55" s="220">
        <v>0</v>
      </c>
      <c r="W55" s="220">
        <v>92.97</v>
      </c>
      <c r="X55" s="220">
        <v>92.97</v>
      </c>
    </row>
    <row r="56" spans="1:24" hidden="1" outlineLevel="2" x14ac:dyDescent="0.2">
      <c r="A56" s="87" t="s">
        <v>170</v>
      </c>
      <c r="B56" s="87" t="s">
        <v>211</v>
      </c>
      <c r="C56" s="87" t="s">
        <v>124</v>
      </c>
      <c r="D56" s="87" t="s">
        <v>212</v>
      </c>
      <c r="E56" s="87" t="s">
        <v>213</v>
      </c>
      <c r="F56" s="87" t="s">
        <v>214</v>
      </c>
      <c r="G56" s="87" t="s">
        <v>215</v>
      </c>
      <c r="H56" s="87" t="s">
        <v>227</v>
      </c>
      <c r="I56" s="87" t="s">
        <v>228</v>
      </c>
      <c r="J56" s="87" t="s">
        <v>140</v>
      </c>
      <c r="K56" s="220">
        <v>0</v>
      </c>
      <c r="L56" s="220">
        <v>0</v>
      </c>
      <c r="M56" s="220">
        <v>0</v>
      </c>
      <c r="N56" s="220">
        <v>0</v>
      </c>
      <c r="O56" s="220">
        <v>156.69</v>
      </c>
      <c r="P56" s="220">
        <v>0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156.69</v>
      </c>
      <c r="X56" s="220">
        <v>156.69</v>
      </c>
    </row>
    <row r="57" spans="1:24" hidden="1" outlineLevel="2" x14ac:dyDescent="0.2">
      <c r="A57" s="87" t="s">
        <v>170</v>
      </c>
      <c r="B57" s="87" t="s">
        <v>211</v>
      </c>
      <c r="C57" s="87" t="s">
        <v>124</v>
      </c>
      <c r="D57" s="87" t="s">
        <v>212</v>
      </c>
      <c r="E57" s="87" t="s">
        <v>213</v>
      </c>
      <c r="F57" s="87" t="s">
        <v>214</v>
      </c>
      <c r="G57" s="87" t="s">
        <v>215</v>
      </c>
      <c r="H57" s="87" t="s">
        <v>227</v>
      </c>
      <c r="I57" s="87" t="s">
        <v>228</v>
      </c>
      <c r="J57" s="87" t="s">
        <v>140</v>
      </c>
      <c r="K57" s="220">
        <v>332.39</v>
      </c>
      <c r="L57" s="220">
        <v>0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0">
        <v>0</v>
      </c>
      <c r="W57" s="220">
        <v>332.39</v>
      </c>
      <c r="X57" s="220">
        <v>332.39</v>
      </c>
    </row>
    <row r="58" spans="1:24" hidden="1" outlineLevel="2" x14ac:dyDescent="0.2">
      <c r="A58" s="87" t="s">
        <v>170</v>
      </c>
      <c r="B58" s="87" t="s">
        <v>211</v>
      </c>
      <c r="C58" s="87" t="s">
        <v>124</v>
      </c>
      <c r="D58" s="87" t="s">
        <v>212</v>
      </c>
      <c r="E58" s="87" t="s">
        <v>213</v>
      </c>
      <c r="F58" s="87" t="s">
        <v>214</v>
      </c>
      <c r="G58" s="87" t="s">
        <v>215</v>
      </c>
      <c r="H58" s="87" t="s">
        <v>227</v>
      </c>
      <c r="I58" s="87" t="s">
        <v>228</v>
      </c>
      <c r="J58" s="87" t="s">
        <v>140</v>
      </c>
      <c r="K58" s="220">
        <v>0</v>
      </c>
      <c r="L58" s="220">
        <v>0</v>
      </c>
      <c r="M58" s="220">
        <v>0</v>
      </c>
      <c r="N58" s="220">
        <v>0</v>
      </c>
      <c r="O58" s="220">
        <v>83.38</v>
      </c>
      <c r="P58" s="220">
        <v>0</v>
      </c>
      <c r="Q58" s="220">
        <v>0</v>
      </c>
      <c r="R58" s="220">
        <v>0</v>
      </c>
      <c r="S58" s="220">
        <v>0</v>
      </c>
      <c r="T58" s="220">
        <v>0</v>
      </c>
      <c r="U58" s="220">
        <v>0</v>
      </c>
      <c r="V58" s="220">
        <v>0</v>
      </c>
      <c r="W58" s="220">
        <v>83.38</v>
      </c>
      <c r="X58" s="220">
        <v>83.38</v>
      </c>
    </row>
    <row r="59" spans="1:24" hidden="1" outlineLevel="2" x14ac:dyDescent="0.2">
      <c r="A59" s="87" t="s">
        <v>170</v>
      </c>
      <c r="B59" s="87" t="s">
        <v>211</v>
      </c>
      <c r="C59" s="87" t="s">
        <v>124</v>
      </c>
      <c r="D59" s="87" t="s">
        <v>212</v>
      </c>
      <c r="E59" s="87" t="s">
        <v>213</v>
      </c>
      <c r="F59" s="87" t="s">
        <v>214</v>
      </c>
      <c r="G59" s="87" t="s">
        <v>215</v>
      </c>
      <c r="H59" s="87" t="s">
        <v>227</v>
      </c>
      <c r="I59" s="87" t="s">
        <v>228</v>
      </c>
      <c r="J59" s="87" t="s">
        <v>140</v>
      </c>
      <c r="K59" s="220">
        <v>0</v>
      </c>
      <c r="L59" s="220">
        <v>0</v>
      </c>
      <c r="M59" s="220">
        <v>-706.65</v>
      </c>
      <c r="N59" s="220">
        <v>0</v>
      </c>
      <c r="O59" s="220">
        <v>0</v>
      </c>
      <c r="P59" s="220">
        <v>0</v>
      </c>
      <c r="Q59" s="220">
        <v>0</v>
      </c>
      <c r="R59" s="220">
        <v>0</v>
      </c>
      <c r="S59" s="220">
        <v>0</v>
      </c>
      <c r="T59" s="220">
        <v>0</v>
      </c>
      <c r="U59" s="220">
        <v>0</v>
      </c>
      <c r="V59" s="220">
        <v>0</v>
      </c>
      <c r="W59" s="220">
        <v>-706.65</v>
      </c>
      <c r="X59" s="220">
        <v>-706.65</v>
      </c>
    </row>
    <row r="60" spans="1:24" hidden="1" outlineLevel="2" x14ac:dyDescent="0.2">
      <c r="A60" s="87" t="s">
        <v>170</v>
      </c>
      <c r="B60" s="87" t="s">
        <v>211</v>
      </c>
      <c r="C60" s="87" t="s">
        <v>124</v>
      </c>
      <c r="D60" s="87" t="s">
        <v>212</v>
      </c>
      <c r="E60" s="87" t="s">
        <v>213</v>
      </c>
      <c r="F60" s="87" t="s">
        <v>214</v>
      </c>
      <c r="G60" s="87" t="s">
        <v>215</v>
      </c>
      <c r="H60" s="87" t="s">
        <v>227</v>
      </c>
      <c r="I60" s="87" t="s">
        <v>228</v>
      </c>
      <c r="J60" s="87" t="s">
        <v>140</v>
      </c>
      <c r="K60" s="220">
        <v>0</v>
      </c>
      <c r="L60" s="220">
        <v>0</v>
      </c>
      <c r="M60" s="220">
        <v>-3021.57</v>
      </c>
      <c r="N60" s="220">
        <v>0</v>
      </c>
      <c r="O60" s="220">
        <v>0</v>
      </c>
      <c r="P60" s="220">
        <v>0</v>
      </c>
      <c r="Q60" s="220">
        <v>0</v>
      </c>
      <c r="R60" s="220">
        <v>0</v>
      </c>
      <c r="S60" s="220">
        <v>0</v>
      </c>
      <c r="T60" s="220">
        <v>0</v>
      </c>
      <c r="U60" s="220">
        <v>0</v>
      </c>
      <c r="V60" s="220">
        <v>0</v>
      </c>
      <c r="W60" s="220">
        <v>-3021.57</v>
      </c>
      <c r="X60" s="220">
        <v>-3021.57</v>
      </c>
    </row>
    <row r="61" spans="1:24" hidden="1" outlineLevel="2" x14ac:dyDescent="0.2">
      <c r="A61" s="87" t="s">
        <v>170</v>
      </c>
      <c r="B61" s="87" t="s">
        <v>211</v>
      </c>
      <c r="C61" s="87" t="s">
        <v>124</v>
      </c>
      <c r="D61" s="87" t="s">
        <v>212</v>
      </c>
      <c r="E61" s="87" t="s">
        <v>213</v>
      </c>
      <c r="F61" s="87" t="s">
        <v>214</v>
      </c>
      <c r="G61" s="87" t="s">
        <v>215</v>
      </c>
      <c r="H61" s="87" t="s">
        <v>227</v>
      </c>
      <c r="I61" s="87" t="s">
        <v>228</v>
      </c>
      <c r="J61" s="87" t="s">
        <v>140</v>
      </c>
      <c r="K61" s="220">
        <v>501.62</v>
      </c>
      <c r="L61" s="220">
        <v>0</v>
      </c>
      <c r="M61" s="220">
        <v>0</v>
      </c>
      <c r="N61" s="220">
        <v>0</v>
      </c>
      <c r="O61" s="220">
        <v>0</v>
      </c>
      <c r="P61" s="220">
        <v>0</v>
      </c>
      <c r="Q61" s="220">
        <v>0</v>
      </c>
      <c r="R61" s="220">
        <v>0</v>
      </c>
      <c r="S61" s="220">
        <v>0</v>
      </c>
      <c r="T61" s="220">
        <v>0</v>
      </c>
      <c r="U61" s="220">
        <v>0</v>
      </c>
      <c r="V61" s="220">
        <v>0</v>
      </c>
      <c r="W61" s="220">
        <v>501.62</v>
      </c>
      <c r="X61" s="220">
        <v>501.62</v>
      </c>
    </row>
    <row r="62" spans="1:24" hidden="1" outlineLevel="2" x14ac:dyDescent="0.2">
      <c r="A62" s="87" t="s">
        <v>170</v>
      </c>
      <c r="B62" s="87" t="s">
        <v>211</v>
      </c>
      <c r="C62" s="87" t="s">
        <v>124</v>
      </c>
      <c r="D62" s="87" t="s">
        <v>212</v>
      </c>
      <c r="E62" s="87" t="s">
        <v>213</v>
      </c>
      <c r="F62" s="87" t="s">
        <v>214</v>
      </c>
      <c r="G62" s="87" t="s">
        <v>215</v>
      </c>
      <c r="H62" s="87" t="s">
        <v>227</v>
      </c>
      <c r="I62" s="87" t="s">
        <v>228</v>
      </c>
      <c r="J62" s="87" t="s">
        <v>140</v>
      </c>
      <c r="K62" s="220">
        <v>117.32</v>
      </c>
      <c r="L62" s="220">
        <v>0</v>
      </c>
      <c r="M62" s="220">
        <v>0</v>
      </c>
      <c r="N62" s="220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0">
        <v>0</v>
      </c>
      <c r="V62" s="220">
        <v>0</v>
      </c>
      <c r="W62" s="220">
        <v>117.32</v>
      </c>
      <c r="X62" s="220">
        <v>117.32</v>
      </c>
    </row>
    <row r="63" spans="1:24" hidden="1" outlineLevel="2" x14ac:dyDescent="0.2">
      <c r="A63" s="87" t="s">
        <v>170</v>
      </c>
      <c r="B63" s="87" t="s">
        <v>211</v>
      </c>
      <c r="C63" s="87" t="s">
        <v>124</v>
      </c>
      <c r="D63" s="87" t="s">
        <v>212</v>
      </c>
      <c r="E63" s="87" t="s">
        <v>213</v>
      </c>
      <c r="F63" s="87" t="s">
        <v>214</v>
      </c>
      <c r="G63" s="87" t="s">
        <v>215</v>
      </c>
      <c r="H63" s="87" t="s">
        <v>227</v>
      </c>
      <c r="I63" s="87" t="s">
        <v>228</v>
      </c>
      <c r="J63" s="87" t="s">
        <v>140</v>
      </c>
      <c r="K63" s="220">
        <v>77.739999999999995</v>
      </c>
      <c r="L63" s="220">
        <v>0</v>
      </c>
      <c r="M63" s="220">
        <v>0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0">
        <v>0</v>
      </c>
      <c r="W63" s="220">
        <v>77.739999999999995</v>
      </c>
      <c r="X63" s="220">
        <v>77.739999999999995</v>
      </c>
    </row>
    <row r="64" spans="1:24" hidden="1" outlineLevel="2" x14ac:dyDescent="0.2">
      <c r="A64" s="87" t="s">
        <v>170</v>
      </c>
      <c r="B64" s="87" t="s">
        <v>211</v>
      </c>
      <c r="C64" s="87" t="s">
        <v>124</v>
      </c>
      <c r="D64" s="87" t="s">
        <v>212</v>
      </c>
      <c r="E64" s="87" t="s">
        <v>213</v>
      </c>
      <c r="F64" s="87" t="s">
        <v>214</v>
      </c>
      <c r="G64" s="87" t="s">
        <v>215</v>
      </c>
      <c r="H64" s="87" t="s">
        <v>227</v>
      </c>
      <c r="I64" s="87" t="s">
        <v>228</v>
      </c>
      <c r="J64" s="87" t="s">
        <v>140</v>
      </c>
      <c r="K64" s="220">
        <v>0</v>
      </c>
      <c r="L64" s="220">
        <v>0</v>
      </c>
      <c r="M64" s="220">
        <v>397.52</v>
      </c>
      <c r="N64" s="220">
        <v>0</v>
      </c>
      <c r="O64" s="220">
        <v>0</v>
      </c>
      <c r="P64" s="220">
        <v>0</v>
      </c>
      <c r="Q64" s="220">
        <v>0</v>
      </c>
      <c r="R64" s="220">
        <v>0</v>
      </c>
      <c r="S64" s="220">
        <v>0</v>
      </c>
      <c r="T64" s="220">
        <v>0</v>
      </c>
      <c r="U64" s="220">
        <v>0</v>
      </c>
      <c r="V64" s="220">
        <v>0</v>
      </c>
      <c r="W64" s="220">
        <v>397.52</v>
      </c>
      <c r="X64" s="220">
        <v>397.52</v>
      </c>
    </row>
    <row r="65" spans="1:24" hidden="1" outlineLevel="2" x14ac:dyDescent="0.2">
      <c r="A65" s="87" t="s">
        <v>170</v>
      </c>
      <c r="B65" s="87" t="s">
        <v>211</v>
      </c>
      <c r="C65" s="87" t="s">
        <v>124</v>
      </c>
      <c r="D65" s="87" t="s">
        <v>212</v>
      </c>
      <c r="E65" s="87" t="s">
        <v>213</v>
      </c>
      <c r="F65" s="87" t="s">
        <v>214</v>
      </c>
      <c r="G65" s="87" t="s">
        <v>215</v>
      </c>
      <c r="H65" s="87" t="s">
        <v>227</v>
      </c>
      <c r="I65" s="87" t="s">
        <v>228</v>
      </c>
      <c r="J65" s="87" t="s">
        <v>140</v>
      </c>
      <c r="K65" s="220">
        <v>0</v>
      </c>
      <c r="L65" s="220">
        <v>129.61000000000001</v>
      </c>
      <c r="M65" s="220">
        <v>0</v>
      </c>
      <c r="N65" s="220">
        <v>0</v>
      </c>
      <c r="O65" s="220">
        <v>0</v>
      </c>
      <c r="P65" s="220">
        <v>0</v>
      </c>
      <c r="Q65" s="220">
        <v>0</v>
      </c>
      <c r="R65" s="220">
        <v>0</v>
      </c>
      <c r="S65" s="220">
        <v>0</v>
      </c>
      <c r="T65" s="220">
        <v>0</v>
      </c>
      <c r="U65" s="220">
        <v>0</v>
      </c>
      <c r="V65" s="220">
        <v>0</v>
      </c>
      <c r="W65" s="220">
        <v>129.61000000000001</v>
      </c>
      <c r="X65" s="220">
        <v>129.61000000000001</v>
      </c>
    </row>
    <row r="66" spans="1:24" hidden="1" outlineLevel="2" x14ac:dyDescent="0.2">
      <c r="A66" s="87" t="s">
        <v>170</v>
      </c>
      <c r="B66" s="87" t="s">
        <v>211</v>
      </c>
      <c r="C66" s="87" t="s">
        <v>124</v>
      </c>
      <c r="D66" s="87" t="s">
        <v>212</v>
      </c>
      <c r="E66" s="87" t="s">
        <v>213</v>
      </c>
      <c r="F66" s="87" t="s">
        <v>214</v>
      </c>
      <c r="G66" s="87" t="s">
        <v>215</v>
      </c>
      <c r="H66" s="87" t="s">
        <v>227</v>
      </c>
      <c r="I66" s="87" t="s">
        <v>228</v>
      </c>
      <c r="J66" s="87" t="s">
        <v>140</v>
      </c>
      <c r="K66" s="220">
        <v>0</v>
      </c>
      <c r="L66" s="220">
        <v>0</v>
      </c>
      <c r="M66" s="220">
        <v>223.4</v>
      </c>
      <c r="N66" s="220">
        <v>0</v>
      </c>
      <c r="O66" s="220">
        <v>0</v>
      </c>
      <c r="P66" s="220">
        <v>0</v>
      </c>
      <c r="Q66" s="220">
        <v>0</v>
      </c>
      <c r="R66" s="220">
        <v>0</v>
      </c>
      <c r="S66" s="220">
        <v>0</v>
      </c>
      <c r="T66" s="220">
        <v>0</v>
      </c>
      <c r="U66" s="220">
        <v>0</v>
      </c>
      <c r="V66" s="220">
        <v>0</v>
      </c>
      <c r="W66" s="220">
        <v>223.4</v>
      </c>
      <c r="X66" s="220">
        <v>223.4</v>
      </c>
    </row>
    <row r="67" spans="1:24" hidden="1" outlineLevel="2" x14ac:dyDescent="0.2">
      <c r="A67" s="251" t="s">
        <v>170</v>
      </c>
      <c r="B67" s="251" t="s">
        <v>211</v>
      </c>
      <c r="C67" s="251" t="s">
        <v>124</v>
      </c>
      <c r="D67" s="251" t="s">
        <v>212</v>
      </c>
      <c r="E67" s="251" t="s">
        <v>213</v>
      </c>
      <c r="F67" s="251" t="s">
        <v>214</v>
      </c>
      <c r="G67" s="251" t="s">
        <v>215</v>
      </c>
      <c r="H67" s="251" t="s">
        <v>227</v>
      </c>
      <c r="I67" s="251" t="s">
        <v>228</v>
      </c>
      <c r="J67" s="251" t="s">
        <v>140</v>
      </c>
      <c r="K67" s="253">
        <v>0</v>
      </c>
      <c r="L67" s="253">
        <v>0</v>
      </c>
      <c r="M67" s="253">
        <v>92.97</v>
      </c>
      <c r="N67" s="253">
        <v>0</v>
      </c>
      <c r="O67" s="253">
        <v>0</v>
      </c>
      <c r="P67" s="253">
        <v>0</v>
      </c>
      <c r="Q67" s="253">
        <v>0</v>
      </c>
      <c r="R67" s="253">
        <v>0</v>
      </c>
      <c r="S67" s="253">
        <v>0</v>
      </c>
      <c r="T67" s="253">
        <v>0</v>
      </c>
      <c r="U67" s="253">
        <v>0</v>
      </c>
      <c r="V67" s="253">
        <v>0</v>
      </c>
      <c r="W67" s="253">
        <v>92.97</v>
      </c>
      <c r="X67" s="253">
        <v>92.97</v>
      </c>
    </row>
    <row r="68" spans="1:24" hidden="1" outlineLevel="2" x14ac:dyDescent="0.2">
      <c r="A68" s="251" t="s">
        <v>170</v>
      </c>
      <c r="B68" s="251" t="s">
        <v>211</v>
      </c>
      <c r="C68" s="251" t="s">
        <v>124</v>
      </c>
      <c r="D68" s="251" t="s">
        <v>212</v>
      </c>
      <c r="E68" s="251" t="s">
        <v>213</v>
      </c>
      <c r="F68" s="251" t="s">
        <v>214</v>
      </c>
      <c r="G68" s="251" t="s">
        <v>215</v>
      </c>
      <c r="H68" s="251" t="s">
        <v>227</v>
      </c>
      <c r="I68" s="251" t="s">
        <v>228</v>
      </c>
      <c r="J68" s="251" t="s">
        <v>140</v>
      </c>
      <c r="K68" s="253">
        <v>0</v>
      </c>
      <c r="L68" s="253">
        <v>397.51</v>
      </c>
      <c r="M68" s="253">
        <v>0</v>
      </c>
      <c r="N68" s="253">
        <v>0</v>
      </c>
      <c r="O68" s="253">
        <v>0</v>
      </c>
      <c r="P68" s="253">
        <v>0</v>
      </c>
      <c r="Q68" s="253">
        <v>0</v>
      </c>
      <c r="R68" s="253">
        <v>0</v>
      </c>
      <c r="S68" s="253">
        <v>0</v>
      </c>
      <c r="T68" s="253">
        <v>0</v>
      </c>
      <c r="U68" s="253">
        <v>0</v>
      </c>
      <c r="V68" s="253">
        <v>0</v>
      </c>
      <c r="W68" s="253">
        <v>397.51</v>
      </c>
      <c r="X68" s="253">
        <v>397.51</v>
      </c>
    </row>
    <row r="69" spans="1:24" hidden="1" outlineLevel="2" x14ac:dyDescent="0.2">
      <c r="A69" s="251" t="s">
        <v>170</v>
      </c>
      <c r="B69" s="251" t="s">
        <v>211</v>
      </c>
      <c r="C69" s="251" t="s">
        <v>124</v>
      </c>
      <c r="D69" s="251" t="s">
        <v>212</v>
      </c>
      <c r="E69" s="251" t="s">
        <v>213</v>
      </c>
      <c r="F69" s="251" t="s">
        <v>214</v>
      </c>
      <c r="G69" s="251" t="s">
        <v>215</v>
      </c>
      <c r="H69" s="251" t="s">
        <v>229</v>
      </c>
      <c r="I69" s="251" t="s">
        <v>230</v>
      </c>
      <c r="J69" s="251" t="s">
        <v>140</v>
      </c>
      <c r="K69" s="253">
        <v>0</v>
      </c>
      <c r="L69" s="253">
        <v>6.45</v>
      </c>
      <c r="M69" s="253">
        <v>0</v>
      </c>
      <c r="N69" s="253">
        <v>0</v>
      </c>
      <c r="O69" s="253">
        <v>0</v>
      </c>
      <c r="P69" s="253">
        <v>0</v>
      </c>
      <c r="Q69" s="253">
        <v>0</v>
      </c>
      <c r="R69" s="253">
        <v>0</v>
      </c>
      <c r="S69" s="253">
        <v>0</v>
      </c>
      <c r="T69" s="253">
        <v>0</v>
      </c>
      <c r="U69" s="253">
        <v>0</v>
      </c>
      <c r="V69" s="253">
        <v>0</v>
      </c>
      <c r="W69" s="253">
        <v>6.45</v>
      </c>
      <c r="X69" s="253">
        <v>6.45</v>
      </c>
    </row>
    <row r="70" spans="1:24" hidden="1" outlineLevel="2" x14ac:dyDescent="0.2">
      <c r="A70" s="251" t="s">
        <v>170</v>
      </c>
      <c r="B70" s="251" t="s">
        <v>211</v>
      </c>
      <c r="C70" s="251" t="s">
        <v>124</v>
      </c>
      <c r="D70" s="251" t="s">
        <v>212</v>
      </c>
      <c r="E70" s="251" t="s">
        <v>213</v>
      </c>
      <c r="F70" s="251" t="s">
        <v>214</v>
      </c>
      <c r="G70" s="251" t="s">
        <v>215</v>
      </c>
      <c r="H70" s="251" t="s">
        <v>229</v>
      </c>
      <c r="I70" s="251" t="s">
        <v>230</v>
      </c>
      <c r="J70" s="251" t="s">
        <v>140</v>
      </c>
      <c r="K70" s="253">
        <v>0</v>
      </c>
      <c r="L70" s="253">
        <v>54.03</v>
      </c>
      <c r="M70" s="253">
        <v>0</v>
      </c>
      <c r="N70" s="253">
        <v>0</v>
      </c>
      <c r="O70" s="253">
        <v>0</v>
      </c>
      <c r="P70" s="253">
        <v>0</v>
      </c>
      <c r="Q70" s="253">
        <v>0</v>
      </c>
      <c r="R70" s="253">
        <v>0</v>
      </c>
      <c r="S70" s="253">
        <v>0</v>
      </c>
      <c r="T70" s="253">
        <v>0</v>
      </c>
      <c r="U70" s="253">
        <v>0</v>
      </c>
      <c r="V70" s="253">
        <v>0</v>
      </c>
      <c r="W70" s="253">
        <v>54.03</v>
      </c>
      <c r="X70" s="253">
        <v>54.03</v>
      </c>
    </row>
    <row r="71" spans="1:24" hidden="1" outlineLevel="2" x14ac:dyDescent="0.2">
      <c r="A71" s="251" t="s">
        <v>170</v>
      </c>
      <c r="B71" s="251" t="s">
        <v>211</v>
      </c>
      <c r="C71" s="251" t="s">
        <v>124</v>
      </c>
      <c r="D71" s="251" t="s">
        <v>212</v>
      </c>
      <c r="E71" s="251" t="s">
        <v>213</v>
      </c>
      <c r="F71" s="251" t="s">
        <v>214</v>
      </c>
      <c r="G71" s="251" t="s">
        <v>215</v>
      </c>
      <c r="H71" s="251" t="s">
        <v>229</v>
      </c>
      <c r="I71" s="251" t="s">
        <v>230</v>
      </c>
      <c r="J71" s="251" t="s">
        <v>140</v>
      </c>
      <c r="K71" s="253">
        <v>42.87</v>
      </c>
      <c r="L71" s="253">
        <v>0</v>
      </c>
      <c r="M71" s="253">
        <v>0</v>
      </c>
      <c r="N71" s="253">
        <v>0</v>
      </c>
      <c r="O71" s="253">
        <v>0</v>
      </c>
      <c r="P71" s="253">
        <v>0</v>
      </c>
      <c r="Q71" s="253">
        <v>0</v>
      </c>
      <c r="R71" s="253">
        <v>0</v>
      </c>
      <c r="S71" s="253">
        <v>0</v>
      </c>
      <c r="T71" s="253">
        <v>0</v>
      </c>
      <c r="U71" s="253">
        <v>0</v>
      </c>
      <c r="V71" s="253">
        <v>0</v>
      </c>
      <c r="W71" s="253">
        <v>42.87</v>
      </c>
      <c r="X71" s="253">
        <v>42.87</v>
      </c>
    </row>
    <row r="72" spans="1:24" hidden="1" outlineLevel="2" x14ac:dyDescent="0.2">
      <c r="A72" s="251" t="s">
        <v>170</v>
      </c>
      <c r="B72" s="251" t="s">
        <v>211</v>
      </c>
      <c r="C72" s="251" t="s">
        <v>124</v>
      </c>
      <c r="D72" s="251" t="s">
        <v>212</v>
      </c>
      <c r="E72" s="251" t="s">
        <v>213</v>
      </c>
      <c r="F72" s="251" t="s">
        <v>214</v>
      </c>
      <c r="G72" s="251" t="s">
        <v>215</v>
      </c>
      <c r="H72" s="251" t="s">
        <v>229</v>
      </c>
      <c r="I72" s="251" t="s">
        <v>230</v>
      </c>
      <c r="J72" s="251" t="s">
        <v>140</v>
      </c>
      <c r="K72" s="253">
        <v>0</v>
      </c>
      <c r="L72" s="253">
        <v>0</v>
      </c>
      <c r="M72" s="253">
        <v>0</v>
      </c>
      <c r="N72" s="253">
        <v>-34.229999999999997</v>
      </c>
      <c r="O72" s="253">
        <v>0</v>
      </c>
      <c r="P72" s="253">
        <v>0</v>
      </c>
      <c r="Q72" s="253">
        <v>0</v>
      </c>
      <c r="R72" s="253">
        <v>0</v>
      </c>
      <c r="S72" s="253">
        <v>0</v>
      </c>
      <c r="T72" s="253">
        <v>0</v>
      </c>
      <c r="U72" s="253">
        <v>0</v>
      </c>
      <c r="V72" s="253">
        <v>0</v>
      </c>
      <c r="W72" s="253">
        <v>-34.229999999999997</v>
      </c>
      <c r="X72" s="253">
        <v>-34.229999999999997</v>
      </c>
    </row>
    <row r="73" spans="1:24" hidden="1" outlineLevel="2" x14ac:dyDescent="0.2">
      <c r="A73" s="251" t="s">
        <v>170</v>
      </c>
      <c r="B73" s="251" t="s">
        <v>211</v>
      </c>
      <c r="C73" s="251" t="s">
        <v>124</v>
      </c>
      <c r="D73" s="251" t="s">
        <v>212</v>
      </c>
      <c r="E73" s="251" t="s">
        <v>213</v>
      </c>
      <c r="F73" s="251" t="s">
        <v>214</v>
      </c>
      <c r="G73" s="251" t="s">
        <v>215</v>
      </c>
      <c r="H73" s="251" t="s">
        <v>229</v>
      </c>
      <c r="I73" s="251" t="s">
        <v>230</v>
      </c>
      <c r="J73" s="251" t="s">
        <v>140</v>
      </c>
      <c r="K73" s="253">
        <v>0</v>
      </c>
      <c r="L73" s="253">
        <v>0</v>
      </c>
      <c r="M73" s="253">
        <v>-54.03</v>
      </c>
      <c r="N73" s="253">
        <v>0</v>
      </c>
      <c r="O73" s="253">
        <v>0</v>
      </c>
      <c r="P73" s="253">
        <v>0</v>
      </c>
      <c r="Q73" s="253">
        <v>0</v>
      </c>
      <c r="R73" s="253">
        <v>0</v>
      </c>
      <c r="S73" s="253">
        <v>0</v>
      </c>
      <c r="T73" s="253">
        <v>0</v>
      </c>
      <c r="U73" s="253">
        <v>0</v>
      </c>
      <c r="V73" s="253">
        <v>0</v>
      </c>
      <c r="W73" s="253">
        <v>-54.03</v>
      </c>
      <c r="X73" s="253">
        <v>-54.03</v>
      </c>
    </row>
    <row r="74" spans="1:24" hidden="1" outlineLevel="2" x14ac:dyDescent="0.2">
      <c r="A74" s="88" t="s">
        <v>170</v>
      </c>
      <c r="B74" s="88" t="s">
        <v>211</v>
      </c>
      <c r="C74" s="88" t="s">
        <v>124</v>
      </c>
      <c r="D74" s="88" t="s">
        <v>212</v>
      </c>
      <c r="E74" s="88" t="s">
        <v>213</v>
      </c>
      <c r="F74" s="88" t="s">
        <v>214</v>
      </c>
      <c r="G74" s="88" t="s">
        <v>215</v>
      </c>
      <c r="H74" s="88" t="s">
        <v>229</v>
      </c>
      <c r="I74" s="88" t="s">
        <v>230</v>
      </c>
      <c r="J74" s="88" t="s">
        <v>140</v>
      </c>
      <c r="K74" s="221">
        <v>64.650000000000006</v>
      </c>
      <c r="L74" s="221">
        <v>0</v>
      </c>
      <c r="M74" s="221">
        <v>0</v>
      </c>
      <c r="N74" s="221">
        <v>0</v>
      </c>
      <c r="O74" s="221">
        <v>0</v>
      </c>
      <c r="P74" s="221">
        <v>0</v>
      </c>
      <c r="Q74" s="221">
        <v>0</v>
      </c>
      <c r="R74" s="221">
        <v>0</v>
      </c>
      <c r="S74" s="221">
        <v>0</v>
      </c>
      <c r="T74" s="221">
        <v>0</v>
      </c>
      <c r="U74" s="221">
        <v>0</v>
      </c>
      <c r="V74" s="221">
        <v>0</v>
      </c>
      <c r="W74" s="221">
        <v>64.650000000000006</v>
      </c>
      <c r="X74" s="221">
        <v>64.650000000000006</v>
      </c>
    </row>
    <row r="75" spans="1:24" hidden="1" outlineLevel="2" x14ac:dyDescent="0.2">
      <c r="A75" s="88" t="s">
        <v>170</v>
      </c>
      <c r="B75" s="88" t="s">
        <v>211</v>
      </c>
      <c r="C75" s="88" t="s">
        <v>124</v>
      </c>
      <c r="D75" s="88" t="s">
        <v>212</v>
      </c>
      <c r="E75" s="88" t="s">
        <v>213</v>
      </c>
      <c r="F75" s="88" t="s">
        <v>214</v>
      </c>
      <c r="G75" s="88" t="s">
        <v>215</v>
      </c>
      <c r="H75" s="88" t="s">
        <v>231</v>
      </c>
      <c r="I75" s="88" t="s">
        <v>232</v>
      </c>
      <c r="J75" s="88" t="s">
        <v>140</v>
      </c>
      <c r="K75" s="221">
        <v>0</v>
      </c>
      <c r="L75" s="221">
        <v>269.83999999999997</v>
      </c>
      <c r="M75" s="221">
        <v>0</v>
      </c>
      <c r="N75" s="221">
        <v>0</v>
      </c>
      <c r="O75" s="221">
        <v>0</v>
      </c>
      <c r="P75" s="221">
        <v>0</v>
      </c>
      <c r="Q75" s="221">
        <v>0</v>
      </c>
      <c r="R75" s="221">
        <v>0</v>
      </c>
      <c r="S75" s="221">
        <v>0</v>
      </c>
      <c r="T75" s="221">
        <v>0</v>
      </c>
      <c r="U75" s="221">
        <v>0</v>
      </c>
      <c r="V75" s="221">
        <v>0</v>
      </c>
      <c r="W75" s="221">
        <v>269.83999999999997</v>
      </c>
      <c r="X75" s="221">
        <v>269.83999999999997</v>
      </c>
    </row>
    <row r="76" spans="1:24" hidden="1" outlineLevel="2" x14ac:dyDescent="0.2">
      <c r="A76" s="88" t="s">
        <v>170</v>
      </c>
      <c r="B76" s="88" t="s">
        <v>211</v>
      </c>
      <c r="C76" s="88" t="s">
        <v>124</v>
      </c>
      <c r="D76" s="88" t="s">
        <v>212</v>
      </c>
      <c r="E76" s="88" t="s">
        <v>213</v>
      </c>
      <c r="F76" s="88" t="s">
        <v>214</v>
      </c>
      <c r="G76" s="88" t="s">
        <v>215</v>
      </c>
      <c r="H76" s="88" t="s">
        <v>231</v>
      </c>
      <c r="I76" s="88" t="s">
        <v>232</v>
      </c>
      <c r="J76" s="88" t="s">
        <v>140</v>
      </c>
      <c r="K76" s="221">
        <v>0</v>
      </c>
      <c r="L76" s="221">
        <v>43.38</v>
      </c>
      <c r="M76" s="221">
        <v>0</v>
      </c>
      <c r="N76" s="221">
        <v>0</v>
      </c>
      <c r="O76" s="221">
        <v>0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1">
        <v>0</v>
      </c>
      <c r="W76" s="221">
        <v>43.38</v>
      </c>
      <c r="X76" s="221">
        <v>43.38</v>
      </c>
    </row>
    <row r="77" spans="1:24" hidden="1" outlineLevel="2" x14ac:dyDescent="0.2">
      <c r="A77" s="88" t="s">
        <v>170</v>
      </c>
      <c r="B77" s="88" t="s">
        <v>211</v>
      </c>
      <c r="C77" s="88" t="s">
        <v>124</v>
      </c>
      <c r="D77" s="88" t="s">
        <v>212</v>
      </c>
      <c r="E77" s="88" t="s">
        <v>213</v>
      </c>
      <c r="F77" s="88" t="s">
        <v>214</v>
      </c>
      <c r="G77" s="88" t="s">
        <v>215</v>
      </c>
      <c r="H77" s="88" t="s">
        <v>231</v>
      </c>
      <c r="I77" s="88" t="s">
        <v>232</v>
      </c>
      <c r="J77" s="88" t="s">
        <v>140</v>
      </c>
      <c r="K77" s="221">
        <v>0</v>
      </c>
      <c r="L77" s="221">
        <v>0</v>
      </c>
      <c r="M77" s="221">
        <v>0</v>
      </c>
      <c r="N77" s="221">
        <v>-158.08000000000001</v>
      </c>
      <c r="O77" s="221">
        <v>0</v>
      </c>
      <c r="P77" s="221">
        <v>0</v>
      </c>
      <c r="Q77" s="221">
        <v>0</v>
      </c>
      <c r="R77" s="221">
        <v>0</v>
      </c>
      <c r="S77" s="221">
        <v>0</v>
      </c>
      <c r="T77" s="221">
        <v>0</v>
      </c>
      <c r="U77" s="221">
        <v>0</v>
      </c>
      <c r="V77" s="221">
        <v>0</v>
      </c>
      <c r="W77" s="221">
        <v>-158.08000000000001</v>
      </c>
      <c r="X77" s="221">
        <v>-158.08000000000001</v>
      </c>
    </row>
    <row r="78" spans="1:24" hidden="1" outlineLevel="2" x14ac:dyDescent="0.2">
      <c r="A78" s="88" t="s">
        <v>170</v>
      </c>
      <c r="B78" s="88" t="s">
        <v>211</v>
      </c>
      <c r="C78" s="88" t="s">
        <v>124</v>
      </c>
      <c r="D78" s="88" t="s">
        <v>212</v>
      </c>
      <c r="E78" s="88" t="s">
        <v>213</v>
      </c>
      <c r="F78" s="88" t="s">
        <v>214</v>
      </c>
      <c r="G78" s="88" t="s">
        <v>215</v>
      </c>
      <c r="H78" s="88" t="s">
        <v>231</v>
      </c>
      <c r="I78" s="88" t="s">
        <v>232</v>
      </c>
      <c r="J78" s="88" t="s">
        <v>140</v>
      </c>
      <c r="K78" s="221">
        <v>0</v>
      </c>
      <c r="L78" s="221">
        <v>0</v>
      </c>
      <c r="M78" s="221">
        <v>-269.83999999999997</v>
      </c>
      <c r="N78" s="221">
        <v>0</v>
      </c>
      <c r="O78" s="221">
        <v>0</v>
      </c>
      <c r="P78" s="221">
        <v>0</v>
      </c>
      <c r="Q78" s="221">
        <v>0</v>
      </c>
      <c r="R78" s="221">
        <v>0</v>
      </c>
      <c r="S78" s="221">
        <v>0</v>
      </c>
      <c r="T78" s="221">
        <v>0</v>
      </c>
      <c r="U78" s="221">
        <v>0</v>
      </c>
      <c r="V78" s="221">
        <v>0</v>
      </c>
      <c r="W78" s="221">
        <v>-269.83999999999997</v>
      </c>
      <c r="X78" s="221">
        <v>-269.83999999999997</v>
      </c>
    </row>
    <row r="79" spans="1:24" hidden="1" outlineLevel="2" x14ac:dyDescent="0.2">
      <c r="A79" s="88" t="s">
        <v>170</v>
      </c>
      <c r="B79" s="88" t="s">
        <v>211</v>
      </c>
      <c r="C79" s="88" t="s">
        <v>124</v>
      </c>
      <c r="D79" s="88" t="s">
        <v>212</v>
      </c>
      <c r="E79" s="88" t="s">
        <v>213</v>
      </c>
      <c r="F79" s="88" t="s">
        <v>214</v>
      </c>
      <c r="G79" s="88" t="s">
        <v>215</v>
      </c>
      <c r="H79" s="88" t="s">
        <v>231</v>
      </c>
      <c r="I79" s="88" t="s">
        <v>232</v>
      </c>
      <c r="J79" s="88" t="s">
        <v>140</v>
      </c>
      <c r="K79" s="221">
        <v>154.99</v>
      </c>
      <c r="L79" s="221">
        <v>0</v>
      </c>
      <c r="M79" s="221">
        <v>0</v>
      </c>
      <c r="N79" s="221">
        <v>0</v>
      </c>
      <c r="O79" s="221">
        <v>0</v>
      </c>
      <c r="P79" s="221">
        <v>0</v>
      </c>
      <c r="Q79" s="221">
        <v>0</v>
      </c>
      <c r="R79" s="221">
        <v>0</v>
      </c>
      <c r="S79" s="221">
        <v>0</v>
      </c>
      <c r="T79" s="221">
        <v>0</v>
      </c>
      <c r="U79" s="221">
        <v>0</v>
      </c>
      <c r="V79" s="221">
        <v>0</v>
      </c>
      <c r="W79" s="221">
        <v>154.99</v>
      </c>
      <c r="X79" s="221">
        <v>154.99</v>
      </c>
    </row>
    <row r="80" spans="1:24" hidden="1" outlineLevel="2" x14ac:dyDescent="0.2">
      <c r="A80" s="88" t="s">
        <v>170</v>
      </c>
      <c r="B80" s="88" t="s">
        <v>211</v>
      </c>
      <c r="C80" s="88" t="s">
        <v>124</v>
      </c>
      <c r="D80" s="88" t="s">
        <v>212</v>
      </c>
      <c r="E80" s="88" t="s">
        <v>213</v>
      </c>
      <c r="F80" s="88" t="s">
        <v>214</v>
      </c>
      <c r="G80" s="88" t="s">
        <v>215</v>
      </c>
      <c r="H80" s="88" t="s">
        <v>231</v>
      </c>
      <c r="I80" s="88" t="s">
        <v>232</v>
      </c>
      <c r="J80" s="88" t="s">
        <v>140</v>
      </c>
      <c r="K80" s="221">
        <v>232.56</v>
      </c>
      <c r="L80" s="221">
        <v>0</v>
      </c>
      <c r="M80" s="221">
        <v>0</v>
      </c>
      <c r="N80" s="221">
        <v>0</v>
      </c>
      <c r="O80" s="221">
        <v>0</v>
      </c>
      <c r="P80" s="221">
        <v>0</v>
      </c>
      <c r="Q80" s="221">
        <v>0</v>
      </c>
      <c r="R80" s="221">
        <v>0</v>
      </c>
      <c r="S80" s="221">
        <v>0</v>
      </c>
      <c r="T80" s="221">
        <v>0</v>
      </c>
      <c r="U80" s="221">
        <v>0</v>
      </c>
      <c r="V80" s="221">
        <v>0</v>
      </c>
      <c r="W80" s="221">
        <v>232.56</v>
      </c>
      <c r="X80" s="221">
        <v>232.56</v>
      </c>
    </row>
    <row r="81" spans="1:24" hidden="1" outlineLevel="2" x14ac:dyDescent="0.2">
      <c r="A81" s="88" t="s">
        <v>170</v>
      </c>
      <c r="B81" s="88" t="s">
        <v>211</v>
      </c>
      <c r="C81" s="88" t="s">
        <v>124</v>
      </c>
      <c r="D81" s="88" t="s">
        <v>212</v>
      </c>
      <c r="E81" s="88" t="s">
        <v>213</v>
      </c>
      <c r="F81" s="88" t="s">
        <v>214</v>
      </c>
      <c r="G81" s="88" t="s">
        <v>215</v>
      </c>
      <c r="H81" s="88" t="s">
        <v>233</v>
      </c>
      <c r="I81" s="88" t="s">
        <v>234</v>
      </c>
      <c r="J81" s="88" t="s">
        <v>140</v>
      </c>
      <c r="K81" s="221">
        <v>5.74</v>
      </c>
      <c r="L81" s="221">
        <v>0</v>
      </c>
      <c r="M81" s="221">
        <v>0</v>
      </c>
      <c r="N81" s="221">
        <v>0</v>
      </c>
      <c r="O81" s="221">
        <v>0</v>
      </c>
      <c r="P81" s="221">
        <v>0</v>
      </c>
      <c r="Q81" s="221">
        <v>0</v>
      </c>
      <c r="R81" s="221">
        <v>0</v>
      </c>
      <c r="S81" s="221">
        <v>0</v>
      </c>
      <c r="T81" s="221">
        <v>0</v>
      </c>
      <c r="U81" s="221">
        <v>0</v>
      </c>
      <c r="V81" s="221">
        <v>0</v>
      </c>
      <c r="W81" s="221">
        <v>5.74</v>
      </c>
      <c r="X81" s="221">
        <v>5.74</v>
      </c>
    </row>
    <row r="82" spans="1:24" hidden="1" outlineLevel="2" x14ac:dyDescent="0.2">
      <c r="A82" s="88" t="s">
        <v>170</v>
      </c>
      <c r="B82" s="88" t="s">
        <v>211</v>
      </c>
      <c r="C82" s="88" t="s">
        <v>124</v>
      </c>
      <c r="D82" s="88" t="s">
        <v>212</v>
      </c>
      <c r="E82" s="88" t="s">
        <v>213</v>
      </c>
      <c r="F82" s="88" t="s">
        <v>214</v>
      </c>
      <c r="G82" s="88" t="s">
        <v>215</v>
      </c>
      <c r="H82" s="88" t="s">
        <v>233</v>
      </c>
      <c r="I82" s="88" t="s">
        <v>234</v>
      </c>
      <c r="J82" s="88" t="s">
        <v>140</v>
      </c>
      <c r="K82" s="221">
        <v>0</v>
      </c>
      <c r="L82" s="221">
        <v>0</v>
      </c>
      <c r="M82" s="221">
        <v>-10</v>
      </c>
      <c r="N82" s="221">
        <v>0</v>
      </c>
      <c r="O82" s="221">
        <v>0</v>
      </c>
      <c r="P82" s="221">
        <v>0</v>
      </c>
      <c r="Q82" s="221">
        <v>0</v>
      </c>
      <c r="R82" s="221">
        <v>0</v>
      </c>
      <c r="S82" s="221">
        <v>0</v>
      </c>
      <c r="T82" s="221">
        <v>0</v>
      </c>
      <c r="U82" s="221">
        <v>0</v>
      </c>
      <c r="V82" s="221">
        <v>0</v>
      </c>
      <c r="W82" s="221">
        <v>-10</v>
      </c>
      <c r="X82" s="221">
        <v>-10</v>
      </c>
    </row>
    <row r="83" spans="1:24" hidden="1" outlineLevel="2" x14ac:dyDescent="0.2">
      <c r="A83" s="88" t="s">
        <v>170</v>
      </c>
      <c r="B83" s="88" t="s">
        <v>211</v>
      </c>
      <c r="C83" s="88" t="s">
        <v>124</v>
      </c>
      <c r="D83" s="88" t="s">
        <v>212</v>
      </c>
      <c r="E83" s="88" t="s">
        <v>213</v>
      </c>
      <c r="F83" s="88" t="s">
        <v>214</v>
      </c>
      <c r="G83" s="88" t="s">
        <v>215</v>
      </c>
      <c r="H83" s="88" t="s">
        <v>233</v>
      </c>
      <c r="I83" s="88" t="s">
        <v>234</v>
      </c>
      <c r="J83" s="88" t="s">
        <v>140</v>
      </c>
      <c r="K83" s="221">
        <v>0</v>
      </c>
      <c r="L83" s="221">
        <v>10</v>
      </c>
      <c r="M83" s="221">
        <v>0</v>
      </c>
      <c r="N83" s="221">
        <v>0</v>
      </c>
      <c r="O83" s="221">
        <v>0</v>
      </c>
      <c r="P83" s="221">
        <v>0</v>
      </c>
      <c r="Q83" s="221">
        <v>0</v>
      </c>
      <c r="R83" s="221">
        <v>0</v>
      </c>
      <c r="S83" s="221">
        <v>0</v>
      </c>
      <c r="T83" s="221">
        <v>0</v>
      </c>
      <c r="U83" s="221">
        <v>0</v>
      </c>
      <c r="V83" s="221">
        <v>0</v>
      </c>
      <c r="W83" s="221">
        <v>10</v>
      </c>
      <c r="X83" s="221">
        <v>10</v>
      </c>
    </row>
    <row r="84" spans="1:24" hidden="1" outlineLevel="2" x14ac:dyDescent="0.2">
      <c r="A84" s="88" t="s">
        <v>170</v>
      </c>
      <c r="B84" s="88" t="s">
        <v>211</v>
      </c>
      <c r="C84" s="88" t="s">
        <v>124</v>
      </c>
      <c r="D84" s="88" t="s">
        <v>212</v>
      </c>
      <c r="E84" s="88" t="s">
        <v>213</v>
      </c>
      <c r="F84" s="88" t="s">
        <v>214</v>
      </c>
      <c r="G84" s="88" t="s">
        <v>215</v>
      </c>
      <c r="H84" s="88" t="s">
        <v>233</v>
      </c>
      <c r="I84" s="88" t="s">
        <v>234</v>
      </c>
      <c r="J84" s="88" t="s">
        <v>140</v>
      </c>
      <c r="K84" s="221">
        <v>8.61</v>
      </c>
      <c r="L84" s="221">
        <v>0</v>
      </c>
      <c r="M84" s="221">
        <v>0</v>
      </c>
      <c r="N84" s="221">
        <v>0</v>
      </c>
      <c r="O84" s="221">
        <v>0</v>
      </c>
      <c r="P84" s="221">
        <v>0</v>
      </c>
      <c r="Q84" s="221">
        <v>0</v>
      </c>
      <c r="R84" s="221">
        <v>0</v>
      </c>
      <c r="S84" s="221">
        <v>0</v>
      </c>
      <c r="T84" s="221">
        <v>0</v>
      </c>
      <c r="U84" s="221">
        <v>0</v>
      </c>
      <c r="V84" s="221">
        <v>0</v>
      </c>
      <c r="W84" s="221">
        <v>8.61</v>
      </c>
      <c r="X84" s="221">
        <v>8.61</v>
      </c>
    </row>
    <row r="85" spans="1:24" hidden="1" outlineLevel="2" x14ac:dyDescent="0.2">
      <c r="A85" s="88" t="s">
        <v>170</v>
      </c>
      <c r="B85" s="88" t="s">
        <v>211</v>
      </c>
      <c r="C85" s="88" t="s">
        <v>124</v>
      </c>
      <c r="D85" s="88" t="s">
        <v>212</v>
      </c>
      <c r="E85" s="88" t="s">
        <v>213</v>
      </c>
      <c r="F85" s="88" t="s">
        <v>214</v>
      </c>
      <c r="G85" s="88" t="s">
        <v>215</v>
      </c>
      <c r="H85" s="88" t="s">
        <v>233</v>
      </c>
      <c r="I85" s="88" t="s">
        <v>234</v>
      </c>
      <c r="J85" s="88" t="s">
        <v>140</v>
      </c>
      <c r="K85" s="221">
        <v>0</v>
      </c>
      <c r="L85" s="221">
        <v>0</v>
      </c>
      <c r="M85" s="221">
        <v>0</v>
      </c>
      <c r="N85" s="221">
        <v>-6.08</v>
      </c>
      <c r="O85" s="221">
        <v>0</v>
      </c>
      <c r="P85" s="221">
        <v>0</v>
      </c>
      <c r="Q85" s="221">
        <v>0</v>
      </c>
      <c r="R85" s="221">
        <v>0</v>
      </c>
      <c r="S85" s="221">
        <v>0</v>
      </c>
      <c r="T85" s="221">
        <v>0</v>
      </c>
      <c r="U85" s="221">
        <v>0</v>
      </c>
      <c r="V85" s="221">
        <v>0</v>
      </c>
      <c r="W85" s="221">
        <v>-6.08</v>
      </c>
      <c r="X85" s="221">
        <v>-6.08</v>
      </c>
    </row>
    <row r="86" spans="1:24" hidden="1" outlineLevel="2" x14ac:dyDescent="0.2">
      <c r="A86" s="88" t="s">
        <v>170</v>
      </c>
      <c r="B86" s="88" t="s">
        <v>211</v>
      </c>
      <c r="C86" s="88" t="s">
        <v>124</v>
      </c>
      <c r="D86" s="88" t="s">
        <v>212</v>
      </c>
      <c r="E86" s="88" t="s">
        <v>213</v>
      </c>
      <c r="F86" s="88" t="s">
        <v>214</v>
      </c>
      <c r="G86" s="88" t="s">
        <v>215</v>
      </c>
      <c r="H86" s="88" t="s">
        <v>233</v>
      </c>
      <c r="I86" s="88" t="s">
        <v>234</v>
      </c>
      <c r="J86" s="88" t="s">
        <v>140</v>
      </c>
      <c r="K86" s="221">
        <v>0</v>
      </c>
      <c r="L86" s="221">
        <v>2.6</v>
      </c>
      <c r="M86" s="221">
        <v>0</v>
      </c>
      <c r="N86" s="221">
        <v>0</v>
      </c>
      <c r="O86" s="221">
        <v>0</v>
      </c>
      <c r="P86" s="221">
        <v>0</v>
      </c>
      <c r="Q86" s="221">
        <v>0</v>
      </c>
      <c r="R86" s="221">
        <v>0</v>
      </c>
      <c r="S86" s="221">
        <v>0</v>
      </c>
      <c r="T86" s="221">
        <v>0</v>
      </c>
      <c r="U86" s="221">
        <v>0</v>
      </c>
      <c r="V86" s="221">
        <v>0</v>
      </c>
      <c r="W86" s="221">
        <v>2.6</v>
      </c>
      <c r="X86" s="221">
        <v>2.6</v>
      </c>
    </row>
    <row r="87" spans="1:24" outlineLevel="2" x14ac:dyDescent="0.2">
      <c r="A87" s="88" t="s">
        <v>170</v>
      </c>
      <c r="B87" s="88" t="s">
        <v>211</v>
      </c>
      <c r="C87" s="88" t="s">
        <v>124</v>
      </c>
      <c r="D87" s="88" t="s">
        <v>212</v>
      </c>
      <c r="E87" s="88" t="s">
        <v>213</v>
      </c>
      <c r="F87" s="88" t="s">
        <v>214</v>
      </c>
      <c r="G87" s="88" t="s">
        <v>215</v>
      </c>
      <c r="H87" s="88" t="s">
        <v>227</v>
      </c>
      <c r="I87" s="88" t="s">
        <v>228</v>
      </c>
      <c r="J87" s="88" t="s">
        <v>140</v>
      </c>
      <c r="K87" s="221">
        <v>0</v>
      </c>
      <c r="L87" s="221">
        <v>0</v>
      </c>
      <c r="M87" s="221">
        <v>0</v>
      </c>
      <c r="N87" s="221">
        <v>0</v>
      </c>
      <c r="O87" s="221">
        <v>0</v>
      </c>
      <c r="P87" s="221">
        <v>46.74</v>
      </c>
      <c r="Q87" s="221">
        <v>0</v>
      </c>
      <c r="R87" s="221">
        <v>0</v>
      </c>
      <c r="S87" s="221">
        <v>0</v>
      </c>
      <c r="T87" s="221">
        <v>0</v>
      </c>
      <c r="U87" s="221">
        <v>0</v>
      </c>
      <c r="V87" s="221">
        <v>0</v>
      </c>
      <c r="W87" s="221">
        <v>46.74</v>
      </c>
      <c r="X87" s="221">
        <v>46.74</v>
      </c>
    </row>
    <row r="88" spans="1:24" outlineLevel="2" x14ac:dyDescent="0.2">
      <c r="A88" s="250" t="s">
        <v>170</v>
      </c>
      <c r="B88" s="250" t="s">
        <v>211</v>
      </c>
      <c r="C88" s="250" t="s">
        <v>124</v>
      </c>
      <c r="D88" s="250" t="s">
        <v>212</v>
      </c>
      <c r="E88" s="250" t="s">
        <v>213</v>
      </c>
      <c r="F88" s="250" t="s">
        <v>214</v>
      </c>
      <c r="G88" s="250" t="s">
        <v>215</v>
      </c>
      <c r="H88" s="250" t="s">
        <v>225</v>
      </c>
      <c r="I88" s="250" t="s">
        <v>226</v>
      </c>
      <c r="J88" s="250" t="s">
        <v>140</v>
      </c>
      <c r="K88" s="252">
        <v>0</v>
      </c>
      <c r="L88" s="252">
        <v>0</v>
      </c>
      <c r="M88" s="252">
        <v>0</v>
      </c>
      <c r="N88" s="252">
        <v>0</v>
      </c>
      <c r="O88" s="252">
        <v>0</v>
      </c>
      <c r="P88" s="252">
        <v>99.16</v>
      </c>
      <c r="Q88" s="252">
        <v>0</v>
      </c>
      <c r="R88" s="252">
        <v>0</v>
      </c>
      <c r="S88" s="252">
        <v>0</v>
      </c>
      <c r="T88" s="252">
        <v>0</v>
      </c>
      <c r="U88" s="252">
        <v>0</v>
      </c>
      <c r="V88" s="252">
        <v>0</v>
      </c>
      <c r="W88" s="252">
        <v>99.16</v>
      </c>
      <c r="X88" s="252">
        <v>99.16</v>
      </c>
    </row>
    <row r="89" spans="1:24" outlineLevel="2" x14ac:dyDescent="0.2">
      <c r="A89" s="250" t="s">
        <v>170</v>
      </c>
      <c r="B89" s="250" t="s">
        <v>211</v>
      </c>
      <c r="C89" s="250" t="s">
        <v>124</v>
      </c>
      <c r="D89" s="250" t="s">
        <v>212</v>
      </c>
      <c r="E89" s="250" t="s">
        <v>213</v>
      </c>
      <c r="F89" s="250" t="s">
        <v>214</v>
      </c>
      <c r="G89" s="250" t="s">
        <v>215</v>
      </c>
      <c r="H89" s="250" t="s">
        <v>225</v>
      </c>
      <c r="I89" s="250" t="s">
        <v>226</v>
      </c>
      <c r="J89" s="250" t="s">
        <v>140</v>
      </c>
      <c r="K89" s="252">
        <v>0</v>
      </c>
      <c r="L89" s="252">
        <v>0</v>
      </c>
      <c r="M89" s="252">
        <v>0</v>
      </c>
      <c r="N89" s="252">
        <v>0</v>
      </c>
      <c r="O89" s="252">
        <v>0</v>
      </c>
      <c r="P89" s="252">
        <v>99.16</v>
      </c>
      <c r="Q89" s="252">
        <v>0</v>
      </c>
      <c r="R89" s="252">
        <v>0</v>
      </c>
      <c r="S89" s="252">
        <v>0</v>
      </c>
      <c r="T89" s="252">
        <v>0</v>
      </c>
      <c r="U89" s="252">
        <v>0</v>
      </c>
      <c r="V89" s="252">
        <v>0</v>
      </c>
      <c r="W89" s="252">
        <v>99.16</v>
      </c>
      <c r="X89" s="252">
        <v>99.16</v>
      </c>
    </row>
    <row r="90" spans="1:24" outlineLevel="2" x14ac:dyDescent="0.2">
      <c r="A90" s="250" t="s">
        <v>170</v>
      </c>
      <c r="B90" s="250" t="s">
        <v>211</v>
      </c>
      <c r="C90" s="250" t="s">
        <v>124</v>
      </c>
      <c r="D90" s="250" t="s">
        <v>212</v>
      </c>
      <c r="E90" s="250" t="s">
        <v>213</v>
      </c>
      <c r="F90" s="250" t="s">
        <v>214</v>
      </c>
      <c r="G90" s="250" t="s">
        <v>215</v>
      </c>
      <c r="H90" s="250" t="s">
        <v>225</v>
      </c>
      <c r="I90" s="250" t="s">
        <v>226</v>
      </c>
      <c r="J90" s="250" t="s">
        <v>140</v>
      </c>
      <c r="K90" s="252">
        <v>0</v>
      </c>
      <c r="L90" s="252">
        <v>0</v>
      </c>
      <c r="M90" s="252">
        <v>0</v>
      </c>
      <c r="N90" s="252">
        <v>0</v>
      </c>
      <c r="O90" s="252">
        <v>0</v>
      </c>
      <c r="P90" s="252">
        <v>120.98</v>
      </c>
      <c r="Q90" s="252">
        <v>0</v>
      </c>
      <c r="R90" s="252">
        <v>0</v>
      </c>
      <c r="S90" s="252">
        <v>0</v>
      </c>
      <c r="T90" s="252">
        <v>0</v>
      </c>
      <c r="U90" s="252">
        <v>0</v>
      </c>
      <c r="V90" s="252">
        <v>0</v>
      </c>
      <c r="W90" s="252">
        <v>120.98</v>
      </c>
      <c r="X90" s="252">
        <v>120.98</v>
      </c>
    </row>
    <row r="91" spans="1:24" outlineLevel="2" x14ac:dyDescent="0.2">
      <c r="A91" s="250" t="s">
        <v>170</v>
      </c>
      <c r="B91" s="250" t="s">
        <v>211</v>
      </c>
      <c r="C91" s="250" t="s">
        <v>124</v>
      </c>
      <c r="D91" s="250" t="s">
        <v>212</v>
      </c>
      <c r="E91" s="250" t="s">
        <v>213</v>
      </c>
      <c r="F91" s="250" t="s">
        <v>214</v>
      </c>
      <c r="G91" s="250" t="s">
        <v>215</v>
      </c>
      <c r="H91" s="250" t="s">
        <v>225</v>
      </c>
      <c r="I91" s="250" t="s">
        <v>226</v>
      </c>
      <c r="J91" s="250" t="s">
        <v>140</v>
      </c>
      <c r="K91" s="252">
        <v>0</v>
      </c>
      <c r="L91" s="252">
        <v>0</v>
      </c>
      <c r="M91" s="252">
        <v>0</v>
      </c>
      <c r="N91" s="252">
        <v>0</v>
      </c>
      <c r="O91" s="252">
        <v>0</v>
      </c>
      <c r="P91" s="252">
        <v>128.91</v>
      </c>
      <c r="Q91" s="252">
        <v>0</v>
      </c>
      <c r="R91" s="252">
        <v>0</v>
      </c>
      <c r="S91" s="252">
        <v>0</v>
      </c>
      <c r="T91" s="252">
        <v>0</v>
      </c>
      <c r="U91" s="252">
        <v>0</v>
      </c>
      <c r="V91" s="252">
        <v>0</v>
      </c>
      <c r="W91" s="252">
        <v>128.91</v>
      </c>
      <c r="X91" s="252">
        <v>128.91</v>
      </c>
    </row>
    <row r="92" spans="1:24" outlineLevel="2" x14ac:dyDescent="0.2">
      <c r="A92" s="250" t="s">
        <v>170</v>
      </c>
      <c r="B92" s="250" t="s">
        <v>211</v>
      </c>
      <c r="C92" s="250" t="s">
        <v>124</v>
      </c>
      <c r="D92" s="250" t="s">
        <v>212</v>
      </c>
      <c r="E92" s="250" t="s">
        <v>213</v>
      </c>
      <c r="F92" s="250" t="s">
        <v>214</v>
      </c>
      <c r="G92" s="250" t="s">
        <v>215</v>
      </c>
      <c r="H92" s="250" t="s">
        <v>225</v>
      </c>
      <c r="I92" s="250" t="s">
        <v>226</v>
      </c>
      <c r="J92" s="250" t="s">
        <v>140</v>
      </c>
      <c r="K92" s="252">
        <v>0</v>
      </c>
      <c r="L92" s="252">
        <v>0</v>
      </c>
      <c r="M92" s="252">
        <v>0</v>
      </c>
      <c r="N92" s="252">
        <v>0</v>
      </c>
      <c r="O92" s="252">
        <v>0</v>
      </c>
      <c r="P92" s="252">
        <v>220.33</v>
      </c>
      <c r="Q92" s="252">
        <v>0</v>
      </c>
      <c r="R92" s="252">
        <v>0</v>
      </c>
      <c r="S92" s="252">
        <v>0</v>
      </c>
      <c r="T92" s="252">
        <v>0</v>
      </c>
      <c r="U92" s="252">
        <v>0</v>
      </c>
      <c r="V92" s="252">
        <v>0</v>
      </c>
      <c r="W92" s="252">
        <v>220.33</v>
      </c>
      <c r="X92" s="252">
        <v>220.33</v>
      </c>
    </row>
    <row r="93" spans="1:24" outlineLevel="2" x14ac:dyDescent="0.2">
      <c r="A93" s="250" t="s">
        <v>170</v>
      </c>
      <c r="B93" s="250" t="s">
        <v>211</v>
      </c>
      <c r="C93" s="250" t="s">
        <v>124</v>
      </c>
      <c r="D93" s="250" t="s">
        <v>212</v>
      </c>
      <c r="E93" s="250" t="s">
        <v>213</v>
      </c>
      <c r="F93" s="250" t="s">
        <v>214</v>
      </c>
      <c r="G93" s="250" t="s">
        <v>215</v>
      </c>
      <c r="H93" s="250" t="s">
        <v>225</v>
      </c>
      <c r="I93" s="250" t="s">
        <v>226</v>
      </c>
      <c r="J93" s="250" t="s">
        <v>140</v>
      </c>
      <c r="K93" s="252">
        <v>0</v>
      </c>
      <c r="L93" s="252">
        <v>0</v>
      </c>
      <c r="M93" s="252">
        <v>0</v>
      </c>
      <c r="N93" s="252">
        <v>0</v>
      </c>
      <c r="O93" s="252">
        <v>0</v>
      </c>
      <c r="P93" s="252">
        <v>220.33</v>
      </c>
      <c r="Q93" s="252">
        <v>0</v>
      </c>
      <c r="R93" s="252">
        <v>0</v>
      </c>
      <c r="S93" s="252">
        <v>0</v>
      </c>
      <c r="T93" s="252">
        <v>0</v>
      </c>
      <c r="U93" s="252">
        <v>0</v>
      </c>
      <c r="V93" s="252">
        <v>0</v>
      </c>
      <c r="W93" s="252">
        <v>220.33</v>
      </c>
      <c r="X93" s="252">
        <v>220.33</v>
      </c>
    </row>
    <row r="94" spans="1:24" outlineLevel="2" x14ac:dyDescent="0.2">
      <c r="A94" s="88" t="s">
        <v>170</v>
      </c>
      <c r="B94" s="88" t="s">
        <v>211</v>
      </c>
      <c r="C94" s="88" t="s">
        <v>124</v>
      </c>
      <c r="D94" s="88" t="s">
        <v>212</v>
      </c>
      <c r="E94" s="88" t="s">
        <v>213</v>
      </c>
      <c r="F94" s="88" t="s">
        <v>214</v>
      </c>
      <c r="G94" s="88" t="s">
        <v>215</v>
      </c>
      <c r="H94" s="88" t="s">
        <v>227</v>
      </c>
      <c r="I94" s="88" t="s">
        <v>228</v>
      </c>
      <c r="J94" s="88" t="s">
        <v>140</v>
      </c>
      <c r="K94" s="221">
        <v>0</v>
      </c>
      <c r="L94" s="221">
        <v>0</v>
      </c>
      <c r="M94" s="221">
        <v>0</v>
      </c>
      <c r="N94" s="221">
        <v>0</v>
      </c>
      <c r="O94" s="221">
        <v>0</v>
      </c>
      <c r="P94" s="221">
        <v>379.64</v>
      </c>
      <c r="Q94" s="221">
        <v>0</v>
      </c>
      <c r="R94" s="221">
        <v>0</v>
      </c>
      <c r="S94" s="221">
        <v>0</v>
      </c>
      <c r="T94" s="221">
        <v>0</v>
      </c>
      <c r="U94" s="221">
        <v>0</v>
      </c>
      <c r="V94" s="221">
        <v>0</v>
      </c>
      <c r="W94" s="221">
        <v>379.64</v>
      </c>
      <c r="X94" s="221">
        <v>379.64</v>
      </c>
    </row>
    <row r="95" spans="1:24" outlineLevel="2" x14ac:dyDescent="0.2">
      <c r="A95" s="250" t="s">
        <v>170</v>
      </c>
      <c r="B95" s="250" t="s">
        <v>211</v>
      </c>
      <c r="C95" s="250" t="s">
        <v>124</v>
      </c>
      <c r="D95" s="250" t="s">
        <v>212</v>
      </c>
      <c r="E95" s="250" t="s">
        <v>213</v>
      </c>
      <c r="F95" s="250" t="s">
        <v>214</v>
      </c>
      <c r="G95" s="250" t="s">
        <v>215</v>
      </c>
      <c r="H95" s="250" t="s">
        <v>227</v>
      </c>
      <c r="I95" s="250" t="s">
        <v>228</v>
      </c>
      <c r="J95" s="250" t="s">
        <v>140</v>
      </c>
      <c r="K95" s="252">
        <v>0</v>
      </c>
      <c r="L95" s="252">
        <v>0</v>
      </c>
      <c r="M95" s="252">
        <v>0</v>
      </c>
      <c r="N95" s="252">
        <v>0</v>
      </c>
      <c r="O95" s="252">
        <v>0</v>
      </c>
      <c r="P95" s="252">
        <v>803.39</v>
      </c>
      <c r="Q95" s="252">
        <v>0</v>
      </c>
      <c r="R95" s="252">
        <v>0</v>
      </c>
      <c r="S95" s="252">
        <v>0</v>
      </c>
      <c r="T95" s="252">
        <v>0</v>
      </c>
      <c r="U95" s="252">
        <v>0</v>
      </c>
      <c r="V95" s="252">
        <v>0</v>
      </c>
      <c r="W95" s="252">
        <v>803.39</v>
      </c>
      <c r="X95" s="252">
        <v>803.39</v>
      </c>
    </row>
    <row r="96" spans="1:24" outlineLevel="1" x14ac:dyDescent="0.2">
      <c r="A96" s="255" t="s">
        <v>292</v>
      </c>
      <c r="B96" s="250"/>
      <c r="C96" s="250"/>
      <c r="D96" s="250"/>
      <c r="E96" s="250"/>
      <c r="F96" s="250"/>
      <c r="G96" s="250"/>
      <c r="H96" s="250"/>
      <c r="I96" s="250"/>
      <c r="J96" s="250"/>
      <c r="K96" s="252"/>
      <c r="L96" s="252"/>
      <c r="M96" s="252"/>
      <c r="N96" s="252"/>
      <c r="O96" s="252"/>
      <c r="P96" s="252">
        <f>SUBTOTAL(9,P13:P95)</f>
        <v>2118.64</v>
      </c>
      <c r="Q96" s="252"/>
      <c r="R96" s="252"/>
      <c r="S96" s="252"/>
      <c r="T96" s="252"/>
      <c r="U96" s="252"/>
      <c r="V96" s="252"/>
      <c r="W96" s="252"/>
      <c r="X96" s="252">
        <f>SUBTOTAL(9,X13:X95)</f>
        <v>14542.879999999997</v>
      </c>
    </row>
    <row r="97" spans="1:24" hidden="1" outlineLevel="2" x14ac:dyDescent="0.2">
      <c r="A97" s="88" t="s">
        <v>207</v>
      </c>
      <c r="B97" s="88" t="s">
        <v>211</v>
      </c>
      <c r="C97" s="88" t="s">
        <v>124</v>
      </c>
      <c r="D97" s="88" t="s">
        <v>212</v>
      </c>
      <c r="E97" s="88" t="s">
        <v>213</v>
      </c>
      <c r="F97" s="88" t="s">
        <v>214</v>
      </c>
      <c r="G97" s="88" t="s">
        <v>215</v>
      </c>
      <c r="H97" s="88" t="s">
        <v>235</v>
      </c>
      <c r="I97" s="88" t="s">
        <v>236</v>
      </c>
      <c r="J97" s="88" t="s">
        <v>237</v>
      </c>
      <c r="K97" s="221">
        <v>0</v>
      </c>
      <c r="L97" s="221">
        <v>0</v>
      </c>
      <c r="M97" s="221">
        <v>0.94</v>
      </c>
      <c r="N97" s="221">
        <v>0</v>
      </c>
      <c r="O97" s="221">
        <v>0</v>
      </c>
      <c r="P97" s="221">
        <v>0</v>
      </c>
      <c r="Q97" s="221">
        <v>0</v>
      </c>
      <c r="R97" s="221">
        <v>0</v>
      </c>
      <c r="S97" s="221">
        <v>0</v>
      </c>
      <c r="T97" s="221">
        <v>0</v>
      </c>
      <c r="U97" s="221">
        <v>0</v>
      </c>
      <c r="V97" s="221">
        <v>0</v>
      </c>
      <c r="W97" s="221">
        <v>0.94</v>
      </c>
      <c r="X97" s="221">
        <v>0.94</v>
      </c>
    </row>
    <row r="98" spans="1:24" hidden="1" outlineLevel="2" x14ac:dyDescent="0.2">
      <c r="A98" s="88" t="s">
        <v>207</v>
      </c>
      <c r="B98" s="88" t="s">
        <v>211</v>
      </c>
      <c r="C98" s="88" t="s">
        <v>124</v>
      </c>
      <c r="D98" s="88" t="s">
        <v>212</v>
      </c>
      <c r="E98" s="88" t="s">
        <v>213</v>
      </c>
      <c r="F98" s="88" t="s">
        <v>214</v>
      </c>
      <c r="G98" s="88" t="s">
        <v>215</v>
      </c>
      <c r="H98" s="88" t="s">
        <v>235</v>
      </c>
      <c r="I98" s="88" t="s">
        <v>236</v>
      </c>
      <c r="J98" s="88" t="s">
        <v>140</v>
      </c>
      <c r="K98" s="221">
        <v>0</v>
      </c>
      <c r="L98" s="221">
        <v>0</v>
      </c>
      <c r="M98" s="221">
        <v>0</v>
      </c>
      <c r="N98" s="221">
        <v>204.95</v>
      </c>
      <c r="O98" s="221">
        <v>0</v>
      </c>
      <c r="P98" s="221">
        <v>0</v>
      </c>
      <c r="Q98" s="221">
        <v>0</v>
      </c>
      <c r="R98" s="221">
        <v>0</v>
      </c>
      <c r="S98" s="221">
        <v>0</v>
      </c>
      <c r="T98" s="221">
        <v>0</v>
      </c>
      <c r="U98" s="221">
        <v>0</v>
      </c>
      <c r="V98" s="221">
        <v>0</v>
      </c>
      <c r="W98" s="221">
        <v>204.95</v>
      </c>
      <c r="X98" s="221">
        <v>204.95</v>
      </c>
    </row>
    <row r="99" spans="1:24" hidden="1" outlineLevel="2" x14ac:dyDescent="0.2">
      <c r="A99" s="88" t="s">
        <v>207</v>
      </c>
      <c r="B99" s="88" t="s">
        <v>211</v>
      </c>
      <c r="C99" s="88" t="s">
        <v>124</v>
      </c>
      <c r="D99" s="88" t="s">
        <v>212</v>
      </c>
      <c r="E99" s="88" t="s">
        <v>213</v>
      </c>
      <c r="F99" s="88" t="s">
        <v>214</v>
      </c>
      <c r="G99" s="88" t="s">
        <v>215</v>
      </c>
      <c r="H99" s="88" t="s">
        <v>235</v>
      </c>
      <c r="I99" s="88" t="s">
        <v>236</v>
      </c>
      <c r="J99" s="88" t="s">
        <v>238</v>
      </c>
      <c r="K99" s="221">
        <v>0</v>
      </c>
      <c r="L99" s="221">
        <v>0</v>
      </c>
      <c r="M99" s="221">
        <v>0</v>
      </c>
      <c r="N99" s="221">
        <v>0</v>
      </c>
      <c r="O99" s="221">
        <v>533.4</v>
      </c>
      <c r="P99" s="221">
        <v>0</v>
      </c>
      <c r="Q99" s="221">
        <v>0</v>
      </c>
      <c r="R99" s="221">
        <v>0</v>
      </c>
      <c r="S99" s="221">
        <v>0</v>
      </c>
      <c r="T99" s="221">
        <v>0</v>
      </c>
      <c r="U99" s="221">
        <v>0</v>
      </c>
      <c r="V99" s="221">
        <v>0</v>
      </c>
      <c r="W99" s="221">
        <v>533.4</v>
      </c>
      <c r="X99" s="221">
        <v>533.4</v>
      </c>
    </row>
    <row r="100" spans="1:24" hidden="1" outlineLevel="2" x14ac:dyDescent="0.2">
      <c r="A100" s="88" t="s">
        <v>207</v>
      </c>
      <c r="B100" s="88" t="s">
        <v>211</v>
      </c>
      <c r="C100" s="88" t="s">
        <v>124</v>
      </c>
      <c r="D100" s="88" t="s">
        <v>212</v>
      </c>
      <c r="E100" s="88" t="s">
        <v>213</v>
      </c>
      <c r="F100" s="88" t="s">
        <v>214</v>
      </c>
      <c r="G100" s="88" t="s">
        <v>215</v>
      </c>
      <c r="H100" s="88" t="s">
        <v>235</v>
      </c>
      <c r="I100" s="88" t="s">
        <v>236</v>
      </c>
      <c r="J100" s="88" t="s">
        <v>239</v>
      </c>
      <c r="K100" s="221">
        <v>0</v>
      </c>
      <c r="L100" s="221">
        <v>0</v>
      </c>
      <c r="M100" s="221">
        <v>3.81</v>
      </c>
      <c r="N100" s="221">
        <v>0</v>
      </c>
      <c r="O100" s="221">
        <v>0</v>
      </c>
      <c r="P100" s="221">
        <v>0</v>
      </c>
      <c r="Q100" s="221">
        <v>0</v>
      </c>
      <c r="R100" s="221">
        <v>0</v>
      </c>
      <c r="S100" s="221">
        <v>0</v>
      </c>
      <c r="T100" s="221">
        <v>0</v>
      </c>
      <c r="U100" s="221">
        <v>0</v>
      </c>
      <c r="V100" s="221">
        <v>0</v>
      </c>
      <c r="W100" s="221">
        <v>3.81</v>
      </c>
      <c r="X100" s="221">
        <v>3.81</v>
      </c>
    </row>
    <row r="101" spans="1:24" hidden="1" outlineLevel="2" x14ac:dyDescent="0.2">
      <c r="A101" s="88" t="s">
        <v>207</v>
      </c>
      <c r="B101" s="88" t="s">
        <v>211</v>
      </c>
      <c r="C101" s="88" t="s">
        <v>124</v>
      </c>
      <c r="D101" s="88" t="s">
        <v>212</v>
      </c>
      <c r="E101" s="88" t="s">
        <v>213</v>
      </c>
      <c r="F101" s="88" t="s">
        <v>214</v>
      </c>
      <c r="G101" s="88" t="s">
        <v>215</v>
      </c>
      <c r="H101" s="88" t="s">
        <v>235</v>
      </c>
      <c r="I101" s="88" t="s">
        <v>236</v>
      </c>
      <c r="J101" s="88" t="s">
        <v>239</v>
      </c>
      <c r="K101" s="221">
        <v>0</v>
      </c>
      <c r="L101" s="221">
        <v>0</v>
      </c>
      <c r="M101" s="221">
        <v>0</v>
      </c>
      <c r="N101" s="221">
        <v>0</v>
      </c>
      <c r="O101" s="221">
        <v>6.61</v>
      </c>
      <c r="P101" s="221">
        <v>0</v>
      </c>
      <c r="Q101" s="221">
        <v>0</v>
      </c>
      <c r="R101" s="221">
        <v>0</v>
      </c>
      <c r="S101" s="221">
        <v>0</v>
      </c>
      <c r="T101" s="221">
        <v>0</v>
      </c>
      <c r="U101" s="221">
        <v>0</v>
      </c>
      <c r="V101" s="221">
        <v>0</v>
      </c>
      <c r="W101" s="221">
        <v>6.61</v>
      </c>
      <c r="X101" s="221">
        <v>6.61</v>
      </c>
    </row>
    <row r="102" spans="1:24" hidden="1" outlineLevel="2" x14ac:dyDescent="0.2">
      <c r="A102" s="88" t="s">
        <v>207</v>
      </c>
      <c r="B102" s="88" t="s">
        <v>211</v>
      </c>
      <c r="C102" s="88" t="s">
        <v>124</v>
      </c>
      <c r="D102" s="88" t="s">
        <v>212</v>
      </c>
      <c r="E102" s="88" t="s">
        <v>213</v>
      </c>
      <c r="F102" s="88" t="s">
        <v>214</v>
      </c>
      <c r="G102" s="88" t="s">
        <v>215</v>
      </c>
      <c r="H102" s="88" t="s">
        <v>235</v>
      </c>
      <c r="I102" s="88" t="s">
        <v>236</v>
      </c>
      <c r="J102" s="88" t="s">
        <v>237</v>
      </c>
      <c r="K102" s="221">
        <v>0</v>
      </c>
      <c r="L102" s="221">
        <v>0.63</v>
      </c>
      <c r="M102" s="221">
        <v>0</v>
      </c>
      <c r="N102" s="221">
        <v>0</v>
      </c>
      <c r="O102" s="221">
        <v>0</v>
      </c>
      <c r="P102" s="221">
        <v>0</v>
      </c>
      <c r="Q102" s="221">
        <v>0</v>
      </c>
      <c r="R102" s="221">
        <v>0</v>
      </c>
      <c r="S102" s="221">
        <v>0</v>
      </c>
      <c r="T102" s="221">
        <v>0</v>
      </c>
      <c r="U102" s="221">
        <v>0</v>
      </c>
      <c r="V102" s="221">
        <v>0</v>
      </c>
      <c r="W102" s="221">
        <v>0.63</v>
      </c>
      <c r="X102" s="221">
        <v>0.63</v>
      </c>
    </row>
    <row r="103" spans="1:24" hidden="1" outlineLevel="2" x14ac:dyDescent="0.2">
      <c r="A103" s="88" t="s">
        <v>207</v>
      </c>
      <c r="B103" s="88" t="s">
        <v>211</v>
      </c>
      <c r="C103" s="88" t="s">
        <v>124</v>
      </c>
      <c r="D103" s="88" t="s">
        <v>212</v>
      </c>
      <c r="E103" s="88" t="s">
        <v>213</v>
      </c>
      <c r="F103" s="88" t="s">
        <v>214</v>
      </c>
      <c r="G103" s="88" t="s">
        <v>215</v>
      </c>
      <c r="H103" s="88" t="s">
        <v>235</v>
      </c>
      <c r="I103" s="88" t="s">
        <v>236</v>
      </c>
      <c r="J103" s="88" t="s">
        <v>239</v>
      </c>
      <c r="K103" s="221">
        <v>0</v>
      </c>
      <c r="L103" s="221">
        <v>0</v>
      </c>
      <c r="M103" s="221">
        <v>0</v>
      </c>
      <c r="N103" s="221">
        <v>11.72</v>
      </c>
      <c r="O103" s="221">
        <v>0</v>
      </c>
      <c r="P103" s="221">
        <v>0</v>
      </c>
      <c r="Q103" s="221">
        <v>0</v>
      </c>
      <c r="R103" s="221">
        <v>0</v>
      </c>
      <c r="S103" s="221">
        <v>0</v>
      </c>
      <c r="T103" s="221">
        <v>0</v>
      </c>
      <c r="U103" s="221">
        <v>0</v>
      </c>
      <c r="V103" s="221">
        <v>0</v>
      </c>
      <c r="W103" s="221">
        <v>11.72</v>
      </c>
      <c r="X103" s="221">
        <v>11.72</v>
      </c>
    </row>
    <row r="104" spans="1:24" hidden="1" outlineLevel="2" x14ac:dyDescent="0.2">
      <c r="A104" s="88" t="s">
        <v>207</v>
      </c>
      <c r="B104" s="88" t="s">
        <v>211</v>
      </c>
      <c r="C104" s="88" t="s">
        <v>124</v>
      </c>
      <c r="D104" s="88" t="s">
        <v>212</v>
      </c>
      <c r="E104" s="88" t="s">
        <v>213</v>
      </c>
      <c r="F104" s="88" t="s">
        <v>214</v>
      </c>
      <c r="G104" s="88" t="s">
        <v>215</v>
      </c>
      <c r="H104" s="88" t="s">
        <v>235</v>
      </c>
      <c r="I104" s="88" t="s">
        <v>236</v>
      </c>
      <c r="J104" s="88" t="s">
        <v>140</v>
      </c>
      <c r="K104" s="221">
        <v>0</v>
      </c>
      <c r="L104" s="221">
        <v>-204.95</v>
      </c>
      <c r="M104" s="221">
        <v>0</v>
      </c>
      <c r="N104" s="221">
        <v>0</v>
      </c>
      <c r="O104" s="221">
        <v>0</v>
      </c>
      <c r="P104" s="221">
        <v>0</v>
      </c>
      <c r="Q104" s="221">
        <v>0</v>
      </c>
      <c r="R104" s="221">
        <v>0</v>
      </c>
      <c r="S104" s="221">
        <v>0</v>
      </c>
      <c r="T104" s="221">
        <v>0</v>
      </c>
      <c r="U104" s="221">
        <v>0</v>
      </c>
      <c r="V104" s="221">
        <v>0</v>
      </c>
      <c r="W104" s="221">
        <v>-204.95</v>
      </c>
      <c r="X104" s="221">
        <v>-204.95</v>
      </c>
    </row>
    <row r="105" spans="1:24" hidden="1" outlineLevel="2" x14ac:dyDescent="0.2">
      <c r="A105" s="88" t="s">
        <v>207</v>
      </c>
      <c r="B105" s="88" t="s">
        <v>211</v>
      </c>
      <c r="C105" s="88" t="s">
        <v>124</v>
      </c>
      <c r="D105" s="88" t="s">
        <v>212</v>
      </c>
      <c r="E105" s="88" t="s">
        <v>213</v>
      </c>
      <c r="F105" s="88" t="s">
        <v>214</v>
      </c>
      <c r="G105" s="88" t="s">
        <v>215</v>
      </c>
      <c r="H105" s="88" t="s">
        <v>235</v>
      </c>
      <c r="I105" s="88" t="s">
        <v>236</v>
      </c>
      <c r="J105" s="88" t="s">
        <v>237</v>
      </c>
      <c r="K105" s="221">
        <v>0</v>
      </c>
      <c r="L105" s="221">
        <v>0</v>
      </c>
      <c r="M105" s="221">
        <v>0</v>
      </c>
      <c r="N105" s="221">
        <v>1.6</v>
      </c>
      <c r="O105" s="221">
        <v>0</v>
      </c>
      <c r="P105" s="221">
        <v>0</v>
      </c>
      <c r="Q105" s="221">
        <v>0</v>
      </c>
      <c r="R105" s="221">
        <v>0</v>
      </c>
      <c r="S105" s="221">
        <v>0</v>
      </c>
      <c r="T105" s="221">
        <v>0</v>
      </c>
      <c r="U105" s="221">
        <v>0</v>
      </c>
      <c r="V105" s="221">
        <v>0</v>
      </c>
      <c r="W105" s="221">
        <v>1.6</v>
      </c>
      <c r="X105" s="221">
        <v>1.6</v>
      </c>
    </row>
    <row r="106" spans="1:24" hidden="1" outlineLevel="2" x14ac:dyDescent="0.2">
      <c r="A106" s="88" t="s">
        <v>207</v>
      </c>
      <c r="B106" s="88" t="s">
        <v>211</v>
      </c>
      <c r="C106" s="88" t="s">
        <v>124</v>
      </c>
      <c r="D106" s="88" t="s">
        <v>212</v>
      </c>
      <c r="E106" s="88" t="s">
        <v>213</v>
      </c>
      <c r="F106" s="88" t="s">
        <v>214</v>
      </c>
      <c r="G106" s="88" t="s">
        <v>215</v>
      </c>
      <c r="H106" s="88" t="s">
        <v>235</v>
      </c>
      <c r="I106" s="88" t="s">
        <v>236</v>
      </c>
      <c r="J106" s="88" t="s">
        <v>238</v>
      </c>
      <c r="K106" s="221">
        <v>0</v>
      </c>
      <c r="L106" s="221">
        <v>0</v>
      </c>
      <c r="M106" s="221">
        <v>0</v>
      </c>
      <c r="N106" s="221">
        <v>533.4</v>
      </c>
      <c r="O106" s="221">
        <v>0</v>
      </c>
      <c r="P106" s="221">
        <v>0</v>
      </c>
      <c r="Q106" s="221">
        <v>0</v>
      </c>
      <c r="R106" s="221">
        <v>0</v>
      </c>
      <c r="S106" s="221">
        <v>0</v>
      </c>
      <c r="T106" s="221">
        <v>0</v>
      </c>
      <c r="U106" s="221">
        <v>0</v>
      </c>
      <c r="V106" s="221">
        <v>0</v>
      </c>
      <c r="W106" s="221">
        <v>533.4</v>
      </c>
      <c r="X106" s="221">
        <v>533.4</v>
      </c>
    </row>
    <row r="107" spans="1:24" hidden="1" outlineLevel="2" x14ac:dyDescent="0.2">
      <c r="A107" s="88" t="s">
        <v>207</v>
      </c>
      <c r="B107" s="88" t="s">
        <v>211</v>
      </c>
      <c r="C107" s="88" t="s">
        <v>124</v>
      </c>
      <c r="D107" s="88" t="s">
        <v>212</v>
      </c>
      <c r="E107" s="88" t="s">
        <v>213</v>
      </c>
      <c r="F107" s="88" t="s">
        <v>214</v>
      </c>
      <c r="G107" s="88" t="s">
        <v>215</v>
      </c>
      <c r="H107" s="88" t="s">
        <v>235</v>
      </c>
      <c r="I107" s="88" t="s">
        <v>236</v>
      </c>
      <c r="J107" s="88" t="s">
        <v>237</v>
      </c>
      <c r="K107" s="221">
        <v>0</v>
      </c>
      <c r="L107" s="221">
        <v>0</v>
      </c>
      <c r="M107" s="221">
        <v>0</v>
      </c>
      <c r="N107" s="221">
        <v>100</v>
      </c>
      <c r="O107" s="221">
        <v>0</v>
      </c>
      <c r="P107" s="221">
        <v>0</v>
      </c>
      <c r="Q107" s="221">
        <v>0</v>
      </c>
      <c r="R107" s="221">
        <v>0</v>
      </c>
      <c r="S107" s="221">
        <v>0</v>
      </c>
      <c r="T107" s="221">
        <v>0</v>
      </c>
      <c r="U107" s="221">
        <v>0</v>
      </c>
      <c r="V107" s="221">
        <v>0</v>
      </c>
      <c r="W107" s="221">
        <v>100</v>
      </c>
      <c r="X107" s="221">
        <v>100</v>
      </c>
    </row>
    <row r="108" spans="1:24" hidden="1" outlineLevel="2" x14ac:dyDescent="0.2">
      <c r="A108" s="88" t="s">
        <v>207</v>
      </c>
      <c r="B108" s="88" t="s">
        <v>211</v>
      </c>
      <c r="C108" s="88" t="s">
        <v>124</v>
      </c>
      <c r="D108" s="88" t="s">
        <v>212</v>
      </c>
      <c r="E108" s="88" t="s">
        <v>213</v>
      </c>
      <c r="F108" s="88" t="s">
        <v>214</v>
      </c>
      <c r="G108" s="88" t="s">
        <v>215</v>
      </c>
      <c r="H108" s="88" t="s">
        <v>235</v>
      </c>
      <c r="I108" s="88" t="s">
        <v>236</v>
      </c>
      <c r="J108" s="88" t="s">
        <v>240</v>
      </c>
      <c r="K108" s="221">
        <v>0</v>
      </c>
      <c r="L108" s="221">
        <v>5.0599999999999996</v>
      </c>
      <c r="M108" s="221">
        <v>0</v>
      </c>
      <c r="N108" s="221">
        <v>0</v>
      </c>
      <c r="O108" s="221">
        <v>0</v>
      </c>
      <c r="P108" s="221">
        <v>0</v>
      </c>
      <c r="Q108" s="221">
        <v>0</v>
      </c>
      <c r="R108" s="221">
        <v>0</v>
      </c>
      <c r="S108" s="221">
        <v>0</v>
      </c>
      <c r="T108" s="221">
        <v>0</v>
      </c>
      <c r="U108" s="221">
        <v>0</v>
      </c>
      <c r="V108" s="221">
        <v>0</v>
      </c>
      <c r="W108" s="221">
        <v>5.0599999999999996</v>
      </c>
      <c r="X108" s="221">
        <v>5.0599999999999996</v>
      </c>
    </row>
    <row r="109" spans="1:24" hidden="1" outlineLevel="2" x14ac:dyDescent="0.2">
      <c r="A109" s="88" t="s">
        <v>207</v>
      </c>
      <c r="B109" s="88" t="s">
        <v>211</v>
      </c>
      <c r="C109" s="88" t="s">
        <v>124</v>
      </c>
      <c r="D109" s="88" t="s">
        <v>212</v>
      </c>
      <c r="E109" s="88" t="s">
        <v>213</v>
      </c>
      <c r="F109" s="88" t="s">
        <v>214</v>
      </c>
      <c r="G109" s="88" t="s">
        <v>215</v>
      </c>
      <c r="H109" s="88" t="s">
        <v>235</v>
      </c>
      <c r="I109" s="88" t="s">
        <v>236</v>
      </c>
      <c r="J109" s="88" t="s">
        <v>241</v>
      </c>
      <c r="K109" s="221">
        <v>0</v>
      </c>
      <c r="L109" s="221">
        <v>0</v>
      </c>
      <c r="M109" s="221">
        <v>0</v>
      </c>
      <c r="N109" s="221">
        <v>-100</v>
      </c>
      <c r="O109" s="221">
        <v>0</v>
      </c>
      <c r="P109" s="221">
        <v>0</v>
      </c>
      <c r="Q109" s="221">
        <v>0</v>
      </c>
      <c r="R109" s="221">
        <v>0</v>
      </c>
      <c r="S109" s="221">
        <v>0</v>
      </c>
      <c r="T109" s="221">
        <v>0</v>
      </c>
      <c r="U109" s="221">
        <v>0</v>
      </c>
      <c r="V109" s="221">
        <v>0</v>
      </c>
      <c r="W109" s="221">
        <v>-100</v>
      </c>
      <c r="X109" s="221">
        <v>-100</v>
      </c>
    </row>
    <row r="110" spans="1:24" hidden="1" outlineLevel="2" x14ac:dyDescent="0.2">
      <c r="A110" s="88" t="s">
        <v>207</v>
      </c>
      <c r="B110" s="88" t="s">
        <v>211</v>
      </c>
      <c r="C110" s="88" t="s">
        <v>124</v>
      </c>
      <c r="D110" s="88" t="s">
        <v>212</v>
      </c>
      <c r="E110" s="88" t="s">
        <v>213</v>
      </c>
      <c r="F110" s="88" t="s">
        <v>214</v>
      </c>
      <c r="G110" s="88" t="s">
        <v>215</v>
      </c>
      <c r="H110" s="88" t="s">
        <v>235</v>
      </c>
      <c r="I110" s="88" t="s">
        <v>236</v>
      </c>
      <c r="J110" s="88" t="s">
        <v>237</v>
      </c>
      <c r="K110" s="221">
        <v>0</v>
      </c>
      <c r="L110" s="221">
        <v>0</v>
      </c>
      <c r="M110" s="221">
        <v>0</v>
      </c>
      <c r="N110" s="221">
        <v>0</v>
      </c>
      <c r="O110" s="221">
        <v>0.97</v>
      </c>
      <c r="P110" s="221">
        <v>0</v>
      </c>
      <c r="Q110" s="221">
        <v>0</v>
      </c>
      <c r="R110" s="221">
        <v>0</v>
      </c>
      <c r="S110" s="221">
        <v>0</v>
      </c>
      <c r="T110" s="221">
        <v>0</v>
      </c>
      <c r="U110" s="221">
        <v>0</v>
      </c>
      <c r="V110" s="221">
        <v>0</v>
      </c>
      <c r="W110" s="221">
        <v>0.97</v>
      </c>
      <c r="X110" s="221">
        <v>0.97</v>
      </c>
    </row>
    <row r="111" spans="1:24" outlineLevel="2" x14ac:dyDescent="0.2">
      <c r="A111" s="88" t="s">
        <v>207</v>
      </c>
      <c r="B111" s="88" t="s">
        <v>211</v>
      </c>
      <c r="C111" s="88" t="s">
        <v>124</v>
      </c>
      <c r="D111" s="88" t="s">
        <v>212</v>
      </c>
      <c r="E111" s="88" t="s">
        <v>213</v>
      </c>
      <c r="F111" s="88" t="s">
        <v>214</v>
      </c>
      <c r="G111" s="88" t="s">
        <v>215</v>
      </c>
      <c r="H111" s="88" t="s">
        <v>235</v>
      </c>
      <c r="I111" s="88" t="s">
        <v>236</v>
      </c>
      <c r="J111" s="88" t="s">
        <v>237</v>
      </c>
      <c r="K111" s="221">
        <v>0</v>
      </c>
      <c r="L111" s="221">
        <v>0</v>
      </c>
      <c r="M111" s="221">
        <v>0</v>
      </c>
      <c r="N111" s="221">
        <v>0</v>
      </c>
      <c r="O111" s="221">
        <v>0</v>
      </c>
      <c r="P111" s="221">
        <v>2.39</v>
      </c>
      <c r="Q111" s="221">
        <v>0</v>
      </c>
      <c r="R111" s="221">
        <v>0</v>
      </c>
      <c r="S111" s="221">
        <v>0</v>
      </c>
      <c r="T111" s="221">
        <v>0</v>
      </c>
      <c r="U111" s="221">
        <v>0</v>
      </c>
      <c r="V111" s="221">
        <v>0</v>
      </c>
      <c r="W111" s="221">
        <v>2.39</v>
      </c>
      <c r="X111" s="221">
        <v>2.39</v>
      </c>
    </row>
    <row r="112" spans="1:24" outlineLevel="2" x14ac:dyDescent="0.2">
      <c r="A112" s="88" t="s">
        <v>207</v>
      </c>
      <c r="B112" s="88" t="s">
        <v>211</v>
      </c>
      <c r="C112" s="88" t="s">
        <v>124</v>
      </c>
      <c r="D112" s="88" t="s">
        <v>212</v>
      </c>
      <c r="E112" s="88" t="s">
        <v>213</v>
      </c>
      <c r="F112" s="88" t="s">
        <v>214</v>
      </c>
      <c r="G112" s="88" t="s">
        <v>215</v>
      </c>
      <c r="H112" s="88" t="s">
        <v>235</v>
      </c>
      <c r="I112" s="88" t="s">
        <v>236</v>
      </c>
      <c r="J112" s="88" t="s">
        <v>239</v>
      </c>
      <c r="K112" s="221">
        <v>0</v>
      </c>
      <c r="L112" s="221">
        <v>0</v>
      </c>
      <c r="M112" s="221">
        <v>0</v>
      </c>
      <c r="N112" s="221">
        <v>0</v>
      </c>
      <c r="O112" s="221">
        <v>0</v>
      </c>
      <c r="P112" s="221">
        <v>33.700000000000003</v>
      </c>
      <c r="Q112" s="221">
        <v>0</v>
      </c>
      <c r="R112" s="221">
        <v>0</v>
      </c>
      <c r="S112" s="221">
        <v>0</v>
      </c>
      <c r="T112" s="221">
        <v>0</v>
      </c>
      <c r="U112" s="221">
        <v>0</v>
      </c>
      <c r="V112" s="221">
        <v>0</v>
      </c>
      <c r="W112" s="221">
        <v>33.700000000000003</v>
      </c>
      <c r="X112" s="221">
        <v>33.700000000000003</v>
      </c>
    </row>
    <row r="113" spans="1:24" outlineLevel="1" x14ac:dyDescent="0.2">
      <c r="A113" s="256" t="s">
        <v>293</v>
      </c>
      <c r="P113" s="221">
        <f>SUBTOTAL(9,P97:P112)</f>
        <v>36.090000000000003</v>
      </c>
      <c r="X113" s="221">
        <f>SUBTOTAL(9,X97:X112)</f>
        <v>1134.23</v>
      </c>
    </row>
    <row r="114" spans="1:24" hidden="1" outlineLevel="2" x14ac:dyDescent="0.2">
      <c r="A114" s="88" t="s">
        <v>199</v>
      </c>
      <c r="B114" s="88" t="s">
        <v>211</v>
      </c>
      <c r="C114" s="88" t="s">
        <v>124</v>
      </c>
      <c r="D114" s="88" t="s">
        <v>212</v>
      </c>
      <c r="E114" s="88" t="s">
        <v>213</v>
      </c>
      <c r="F114" s="88" t="s">
        <v>214</v>
      </c>
      <c r="G114" s="88" t="s">
        <v>215</v>
      </c>
      <c r="H114" s="88" t="s">
        <v>242</v>
      </c>
      <c r="I114" s="88" t="s">
        <v>243</v>
      </c>
      <c r="J114" s="88" t="s">
        <v>140</v>
      </c>
      <c r="K114" s="221">
        <v>0</v>
      </c>
      <c r="L114" s="221">
        <v>69.819999999999993</v>
      </c>
      <c r="M114" s="221">
        <v>0</v>
      </c>
      <c r="N114" s="221">
        <v>0</v>
      </c>
      <c r="O114" s="221">
        <v>0</v>
      </c>
      <c r="P114" s="221">
        <v>0</v>
      </c>
      <c r="Q114" s="221">
        <v>0</v>
      </c>
      <c r="R114" s="221">
        <v>0</v>
      </c>
      <c r="S114" s="221">
        <v>0</v>
      </c>
      <c r="T114" s="221">
        <v>0</v>
      </c>
      <c r="U114" s="221">
        <v>0</v>
      </c>
      <c r="V114" s="221">
        <v>0</v>
      </c>
      <c r="W114" s="221">
        <v>69.819999999999993</v>
      </c>
      <c r="X114" s="221">
        <v>69.819999999999993</v>
      </c>
    </row>
    <row r="115" spans="1:24" hidden="1" outlineLevel="2" x14ac:dyDescent="0.2">
      <c r="A115" s="88" t="s">
        <v>199</v>
      </c>
      <c r="B115" s="88" t="s">
        <v>211</v>
      </c>
      <c r="C115" s="88" t="s">
        <v>124</v>
      </c>
      <c r="D115" s="88" t="s">
        <v>212</v>
      </c>
      <c r="E115" s="88" t="s">
        <v>213</v>
      </c>
      <c r="F115" s="88" t="s">
        <v>214</v>
      </c>
      <c r="G115" s="88" t="s">
        <v>215</v>
      </c>
      <c r="H115" s="88" t="s">
        <v>242</v>
      </c>
      <c r="I115" s="88" t="s">
        <v>243</v>
      </c>
      <c r="J115" s="88" t="s">
        <v>244</v>
      </c>
      <c r="K115" s="221">
        <v>1910.74</v>
      </c>
      <c r="L115" s="221">
        <v>0</v>
      </c>
      <c r="M115" s="221">
        <v>0</v>
      </c>
      <c r="N115" s="221">
        <v>0</v>
      </c>
      <c r="O115" s="221">
        <v>0</v>
      </c>
      <c r="P115" s="221">
        <v>0</v>
      </c>
      <c r="Q115" s="221">
        <v>0</v>
      </c>
      <c r="R115" s="221">
        <v>0</v>
      </c>
      <c r="S115" s="221">
        <v>0</v>
      </c>
      <c r="T115" s="221">
        <v>0</v>
      </c>
      <c r="U115" s="221">
        <v>0</v>
      </c>
      <c r="V115" s="221">
        <v>0</v>
      </c>
      <c r="W115" s="221">
        <v>1910.74</v>
      </c>
      <c r="X115" s="221">
        <v>1910.74</v>
      </c>
    </row>
    <row r="116" spans="1:24" hidden="1" outlineLevel="2" x14ac:dyDescent="0.2">
      <c r="A116" s="88" t="s">
        <v>199</v>
      </c>
      <c r="B116" s="88" t="s">
        <v>211</v>
      </c>
      <c r="C116" s="88" t="s">
        <v>124</v>
      </c>
      <c r="D116" s="88" t="s">
        <v>212</v>
      </c>
      <c r="E116" s="88" t="s">
        <v>213</v>
      </c>
      <c r="F116" s="88" t="s">
        <v>214</v>
      </c>
      <c r="G116" s="88" t="s">
        <v>215</v>
      </c>
      <c r="H116" s="88" t="s">
        <v>242</v>
      </c>
      <c r="I116" s="88" t="s">
        <v>243</v>
      </c>
      <c r="J116" s="88" t="s">
        <v>140</v>
      </c>
      <c r="K116" s="221">
        <v>0</v>
      </c>
      <c r="L116" s="221">
        <v>66.430000000000007</v>
      </c>
      <c r="M116" s="221">
        <v>0</v>
      </c>
      <c r="N116" s="221">
        <v>0</v>
      </c>
      <c r="O116" s="221">
        <v>0</v>
      </c>
      <c r="P116" s="221">
        <v>0</v>
      </c>
      <c r="Q116" s="221">
        <v>0</v>
      </c>
      <c r="R116" s="221">
        <v>0</v>
      </c>
      <c r="S116" s="221">
        <v>0</v>
      </c>
      <c r="T116" s="221">
        <v>0</v>
      </c>
      <c r="U116" s="221">
        <v>0</v>
      </c>
      <c r="V116" s="221">
        <v>0</v>
      </c>
      <c r="W116" s="221">
        <v>66.430000000000007</v>
      </c>
      <c r="X116" s="221">
        <v>66.430000000000007</v>
      </c>
    </row>
    <row r="117" spans="1:24" hidden="1" outlineLevel="2" x14ac:dyDescent="0.2">
      <c r="A117" s="88" t="s">
        <v>199</v>
      </c>
      <c r="B117" s="88" t="s">
        <v>211</v>
      </c>
      <c r="C117" s="88" t="s">
        <v>124</v>
      </c>
      <c r="D117" s="88" t="s">
        <v>212</v>
      </c>
      <c r="E117" s="88" t="s">
        <v>213</v>
      </c>
      <c r="F117" s="88" t="s">
        <v>214</v>
      </c>
      <c r="G117" s="88" t="s">
        <v>215</v>
      </c>
      <c r="H117" s="88" t="s">
        <v>242</v>
      </c>
      <c r="I117" s="88" t="s">
        <v>243</v>
      </c>
      <c r="J117" s="88" t="s">
        <v>140</v>
      </c>
      <c r="K117" s="221">
        <v>0</v>
      </c>
      <c r="L117" s="221">
        <v>0</v>
      </c>
      <c r="M117" s="221">
        <v>0</v>
      </c>
      <c r="N117" s="221">
        <v>37.97</v>
      </c>
      <c r="O117" s="221">
        <v>0</v>
      </c>
      <c r="P117" s="221">
        <v>0</v>
      </c>
      <c r="Q117" s="221">
        <v>0</v>
      </c>
      <c r="R117" s="221">
        <v>0</v>
      </c>
      <c r="S117" s="221">
        <v>0</v>
      </c>
      <c r="T117" s="221">
        <v>0</v>
      </c>
      <c r="U117" s="221">
        <v>0</v>
      </c>
      <c r="V117" s="221">
        <v>0</v>
      </c>
      <c r="W117" s="221">
        <v>37.97</v>
      </c>
      <c r="X117" s="221">
        <v>37.97</v>
      </c>
    </row>
    <row r="118" spans="1:24" hidden="1" outlineLevel="2" x14ac:dyDescent="0.2">
      <c r="A118" s="88" t="s">
        <v>199</v>
      </c>
      <c r="B118" s="88" t="s">
        <v>211</v>
      </c>
      <c r="C118" s="88" t="s">
        <v>124</v>
      </c>
      <c r="D118" s="88" t="s">
        <v>212</v>
      </c>
      <c r="E118" s="88" t="s">
        <v>213</v>
      </c>
      <c r="F118" s="88" t="s">
        <v>214</v>
      </c>
      <c r="G118" s="88" t="s">
        <v>215</v>
      </c>
      <c r="H118" s="88" t="s">
        <v>242</v>
      </c>
      <c r="I118" s="88" t="s">
        <v>243</v>
      </c>
      <c r="J118" s="88" t="s">
        <v>140</v>
      </c>
      <c r="K118" s="221">
        <v>0</v>
      </c>
      <c r="L118" s="221">
        <v>0</v>
      </c>
      <c r="M118" s="221">
        <v>0</v>
      </c>
      <c r="N118" s="221">
        <v>293.7</v>
      </c>
      <c r="O118" s="221">
        <v>0</v>
      </c>
      <c r="P118" s="221">
        <v>0</v>
      </c>
      <c r="Q118" s="221">
        <v>0</v>
      </c>
      <c r="R118" s="221">
        <v>0</v>
      </c>
      <c r="S118" s="221">
        <v>0</v>
      </c>
      <c r="T118" s="221">
        <v>0</v>
      </c>
      <c r="U118" s="221">
        <v>0</v>
      </c>
      <c r="V118" s="221">
        <v>0</v>
      </c>
      <c r="W118" s="221">
        <v>293.7</v>
      </c>
      <c r="X118" s="221">
        <v>293.7</v>
      </c>
    </row>
    <row r="119" spans="1:24" hidden="1" outlineLevel="2" x14ac:dyDescent="0.2">
      <c r="A119" s="88" t="s">
        <v>199</v>
      </c>
      <c r="B119" s="88" t="s">
        <v>211</v>
      </c>
      <c r="C119" s="88" t="s">
        <v>124</v>
      </c>
      <c r="D119" s="88" t="s">
        <v>212</v>
      </c>
      <c r="E119" s="88" t="s">
        <v>213</v>
      </c>
      <c r="F119" s="88" t="s">
        <v>214</v>
      </c>
      <c r="G119" s="88" t="s">
        <v>215</v>
      </c>
      <c r="H119" s="88" t="s">
        <v>242</v>
      </c>
      <c r="I119" s="88" t="s">
        <v>243</v>
      </c>
      <c r="J119" s="88" t="s">
        <v>140</v>
      </c>
      <c r="K119" s="221">
        <v>0</v>
      </c>
      <c r="L119" s="221">
        <v>0</v>
      </c>
      <c r="M119" s="221">
        <v>123.86</v>
      </c>
      <c r="N119" s="221">
        <v>0</v>
      </c>
      <c r="O119" s="221">
        <v>0</v>
      </c>
      <c r="P119" s="221">
        <v>0</v>
      </c>
      <c r="Q119" s="221">
        <v>0</v>
      </c>
      <c r="R119" s="221">
        <v>0</v>
      </c>
      <c r="S119" s="221">
        <v>0</v>
      </c>
      <c r="T119" s="221">
        <v>0</v>
      </c>
      <c r="U119" s="221">
        <v>0</v>
      </c>
      <c r="V119" s="221">
        <v>0</v>
      </c>
      <c r="W119" s="221">
        <v>123.86</v>
      </c>
      <c r="X119" s="221">
        <v>123.86</v>
      </c>
    </row>
    <row r="120" spans="1:24" hidden="1" outlineLevel="2" x14ac:dyDescent="0.2">
      <c r="A120" s="88" t="s">
        <v>199</v>
      </c>
      <c r="B120" s="88" t="s">
        <v>211</v>
      </c>
      <c r="C120" s="88" t="s">
        <v>124</v>
      </c>
      <c r="D120" s="88" t="s">
        <v>212</v>
      </c>
      <c r="E120" s="88" t="s">
        <v>213</v>
      </c>
      <c r="F120" s="88" t="s">
        <v>214</v>
      </c>
      <c r="G120" s="88" t="s">
        <v>215</v>
      </c>
      <c r="H120" s="88" t="s">
        <v>242</v>
      </c>
      <c r="I120" s="88" t="s">
        <v>243</v>
      </c>
      <c r="J120" s="88" t="s">
        <v>244</v>
      </c>
      <c r="K120" s="221">
        <v>0</v>
      </c>
      <c r="L120" s="221">
        <v>0</v>
      </c>
      <c r="M120" s="221">
        <v>190.08</v>
      </c>
      <c r="N120" s="221">
        <v>0</v>
      </c>
      <c r="O120" s="221">
        <v>0</v>
      </c>
      <c r="P120" s="221">
        <v>0</v>
      </c>
      <c r="Q120" s="221">
        <v>0</v>
      </c>
      <c r="R120" s="221">
        <v>0</v>
      </c>
      <c r="S120" s="221">
        <v>0</v>
      </c>
      <c r="T120" s="221">
        <v>0</v>
      </c>
      <c r="U120" s="221">
        <v>0</v>
      </c>
      <c r="V120" s="221">
        <v>0</v>
      </c>
      <c r="W120" s="221">
        <v>190.08</v>
      </c>
      <c r="X120" s="221">
        <v>190.08</v>
      </c>
    </row>
    <row r="121" spans="1:24" hidden="1" outlineLevel="2" x14ac:dyDescent="0.2">
      <c r="A121" s="88" t="s">
        <v>199</v>
      </c>
      <c r="B121" s="88" t="s">
        <v>211</v>
      </c>
      <c r="C121" s="88" t="s">
        <v>124</v>
      </c>
      <c r="D121" s="88" t="s">
        <v>212</v>
      </c>
      <c r="E121" s="88" t="s">
        <v>213</v>
      </c>
      <c r="F121" s="88" t="s">
        <v>214</v>
      </c>
      <c r="G121" s="88" t="s">
        <v>215</v>
      </c>
      <c r="H121" s="88" t="s">
        <v>242</v>
      </c>
      <c r="I121" s="88" t="s">
        <v>243</v>
      </c>
      <c r="J121" s="88" t="s">
        <v>246</v>
      </c>
      <c r="K121" s="221">
        <v>0</v>
      </c>
      <c r="L121" s="221">
        <v>0</v>
      </c>
      <c r="M121" s="221">
        <v>0</v>
      </c>
      <c r="N121" s="221">
        <v>50.13</v>
      </c>
      <c r="O121" s="221">
        <v>0</v>
      </c>
      <c r="P121" s="221">
        <v>0</v>
      </c>
      <c r="Q121" s="221">
        <v>0</v>
      </c>
      <c r="R121" s="221">
        <v>0</v>
      </c>
      <c r="S121" s="221">
        <v>0</v>
      </c>
      <c r="T121" s="221">
        <v>0</v>
      </c>
      <c r="U121" s="221">
        <v>0</v>
      </c>
      <c r="V121" s="221">
        <v>0</v>
      </c>
      <c r="W121" s="221">
        <v>50.13</v>
      </c>
      <c r="X121" s="221">
        <v>50.13</v>
      </c>
    </row>
    <row r="122" spans="1:24" hidden="1" outlineLevel="2" x14ac:dyDescent="0.2">
      <c r="A122" s="88" t="s">
        <v>199</v>
      </c>
      <c r="B122" s="88" t="s">
        <v>211</v>
      </c>
      <c r="C122" s="88" t="s">
        <v>124</v>
      </c>
      <c r="D122" s="88" t="s">
        <v>212</v>
      </c>
      <c r="E122" s="88" t="s">
        <v>213</v>
      </c>
      <c r="F122" s="88" t="s">
        <v>214</v>
      </c>
      <c r="G122" s="88" t="s">
        <v>215</v>
      </c>
      <c r="H122" s="88" t="s">
        <v>242</v>
      </c>
      <c r="I122" s="88" t="s">
        <v>243</v>
      </c>
      <c r="J122" s="88" t="s">
        <v>140</v>
      </c>
      <c r="K122" s="221">
        <v>0</v>
      </c>
      <c r="L122" s="221">
        <v>0</v>
      </c>
      <c r="M122" s="221">
        <v>164.71</v>
      </c>
      <c r="N122" s="221">
        <v>0</v>
      </c>
      <c r="O122" s="221">
        <v>0</v>
      </c>
      <c r="P122" s="221">
        <v>0</v>
      </c>
      <c r="Q122" s="221">
        <v>0</v>
      </c>
      <c r="R122" s="221">
        <v>0</v>
      </c>
      <c r="S122" s="221">
        <v>0</v>
      </c>
      <c r="T122" s="221">
        <v>0</v>
      </c>
      <c r="U122" s="221">
        <v>0</v>
      </c>
      <c r="V122" s="221">
        <v>0</v>
      </c>
      <c r="W122" s="221">
        <v>164.71</v>
      </c>
      <c r="X122" s="221">
        <v>164.71</v>
      </c>
    </row>
    <row r="123" spans="1:24" hidden="1" outlineLevel="2" x14ac:dyDescent="0.2">
      <c r="A123" s="88" t="s">
        <v>199</v>
      </c>
      <c r="B123" s="88" t="s">
        <v>211</v>
      </c>
      <c r="C123" s="88" t="s">
        <v>124</v>
      </c>
      <c r="D123" s="88" t="s">
        <v>212</v>
      </c>
      <c r="E123" s="88" t="s">
        <v>213</v>
      </c>
      <c r="F123" s="88" t="s">
        <v>214</v>
      </c>
      <c r="G123" s="88" t="s">
        <v>215</v>
      </c>
      <c r="H123" s="88" t="s">
        <v>242</v>
      </c>
      <c r="I123" s="88" t="s">
        <v>243</v>
      </c>
      <c r="J123" s="88" t="s">
        <v>244</v>
      </c>
      <c r="K123" s="221">
        <v>0</v>
      </c>
      <c r="L123" s="221">
        <v>37.97</v>
      </c>
      <c r="M123" s="221">
        <v>0</v>
      </c>
      <c r="N123" s="221">
        <v>0</v>
      </c>
      <c r="O123" s="221">
        <v>0</v>
      </c>
      <c r="P123" s="221">
        <v>0</v>
      </c>
      <c r="Q123" s="221">
        <v>0</v>
      </c>
      <c r="R123" s="221">
        <v>0</v>
      </c>
      <c r="S123" s="221">
        <v>0</v>
      </c>
      <c r="T123" s="221">
        <v>0</v>
      </c>
      <c r="U123" s="221">
        <v>0</v>
      </c>
      <c r="V123" s="221">
        <v>0</v>
      </c>
      <c r="W123" s="221">
        <v>37.97</v>
      </c>
      <c r="X123" s="221">
        <v>37.97</v>
      </c>
    </row>
    <row r="124" spans="1:24" outlineLevel="2" x14ac:dyDescent="0.2">
      <c r="A124" s="88" t="s">
        <v>199</v>
      </c>
      <c r="B124" s="88" t="s">
        <v>211</v>
      </c>
      <c r="C124" s="88" t="s">
        <v>124</v>
      </c>
      <c r="D124" s="88" t="s">
        <v>212</v>
      </c>
      <c r="E124" s="88" t="s">
        <v>213</v>
      </c>
      <c r="F124" s="88" t="s">
        <v>214</v>
      </c>
      <c r="G124" s="88" t="s">
        <v>215</v>
      </c>
      <c r="H124" s="88" t="s">
        <v>242</v>
      </c>
      <c r="I124" s="88" t="s">
        <v>243</v>
      </c>
      <c r="J124" s="88" t="s">
        <v>245</v>
      </c>
      <c r="K124" s="221">
        <v>0</v>
      </c>
      <c r="L124" s="221">
        <v>0</v>
      </c>
      <c r="M124" s="221">
        <v>0</v>
      </c>
      <c r="N124" s="221">
        <v>0</v>
      </c>
      <c r="O124" s="221">
        <v>0</v>
      </c>
      <c r="P124" s="221">
        <v>59.3</v>
      </c>
      <c r="Q124" s="221">
        <v>0</v>
      </c>
      <c r="R124" s="221">
        <v>0</v>
      </c>
      <c r="S124" s="221">
        <v>0</v>
      </c>
      <c r="T124" s="221">
        <v>0</v>
      </c>
      <c r="U124" s="221">
        <v>0</v>
      </c>
      <c r="V124" s="221">
        <v>0</v>
      </c>
      <c r="W124" s="221">
        <v>59.3</v>
      </c>
      <c r="X124" s="221">
        <v>59.3</v>
      </c>
    </row>
    <row r="125" spans="1:24" outlineLevel="1" x14ac:dyDescent="0.2">
      <c r="A125" s="256" t="s">
        <v>294</v>
      </c>
      <c r="P125" s="221">
        <f>SUBTOTAL(9,P114:P124)</f>
        <v>59.3</v>
      </c>
      <c r="X125" s="221">
        <f>SUBTOTAL(9,X114:X124)</f>
        <v>3004.71</v>
      </c>
    </row>
    <row r="126" spans="1:24" hidden="1" outlineLevel="2" x14ac:dyDescent="0.2">
      <c r="A126" s="88" t="s">
        <v>169</v>
      </c>
      <c r="B126" s="88" t="s">
        <v>211</v>
      </c>
      <c r="C126" s="88" t="s">
        <v>124</v>
      </c>
      <c r="D126" s="88" t="s">
        <v>212</v>
      </c>
      <c r="E126" s="88" t="s">
        <v>213</v>
      </c>
      <c r="F126" s="88" t="s">
        <v>214</v>
      </c>
      <c r="G126" s="88" t="s">
        <v>215</v>
      </c>
      <c r="H126" s="88" t="s">
        <v>247</v>
      </c>
      <c r="I126" s="88" t="s">
        <v>248</v>
      </c>
      <c r="J126" s="88" t="s">
        <v>140</v>
      </c>
      <c r="K126" s="221">
        <v>0</v>
      </c>
      <c r="L126" s="221">
        <v>0</v>
      </c>
      <c r="M126" s="221">
        <v>0</v>
      </c>
      <c r="N126" s="221">
        <v>5770.21</v>
      </c>
      <c r="O126" s="221">
        <v>0</v>
      </c>
      <c r="P126" s="221">
        <v>0</v>
      </c>
      <c r="Q126" s="221">
        <v>0</v>
      </c>
      <c r="R126" s="221">
        <v>0</v>
      </c>
      <c r="S126" s="221">
        <v>0</v>
      </c>
      <c r="T126" s="221">
        <v>0</v>
      </c>
      <c r="U126" s="221">
        <v>0</v>
      </c>
      <c r="V126" s="221">
        <v>0</v>
      </c>
      <c r="W126" s="221">
        <v>5770.21</v>
      </c>
      <c r="X126" s="221">
        <v>5770.21</v>
      </c>
    </row>
    <row r="127" spans="1:24" hidden="1" outlineLevel="2" x14ac:dyDescent="0.2">
      <c r="A127" s="88" t="s">
        <v>169</v>
      </c>
      <c r="B127" s="88" t="s">
        <v>211</v>
      </c>
      <c r="C127" s="88" t="s">
        <v>124</v>
      </c>
      <c r="D127" s="88" t="s">
        <v>212</v>
      </c>
      <c r="E127" s="88" t="s">
        <v>213</v>
      </c>
      <c r="F127" s="88" t="s">
        <v>214</v>
      </c>
      <c r="G127" s="88" t="s">
        <v>215</v>
      </c>
      <c r="H127" s="88" t="s">
        <v>247</v>
      </c>
      <c r="I127" s="88" t="s">
        <v>248</v>
      </c>
      <c r="J127" s="88" t="s">
        <v>140</v>
      </c>
      <c r="K127" s="221">
        <v>0</v>
      </c>
      <c r="L127" s="221">
        <v>0</v>
      </c>
      <c r="M127" s="221">
        <v>0</v>
      </c>
      <c r="N127" s="221">
        <v>0</v>
      </c>
      <c r="O127" s="221">
        <v>-150.24</v>
      </c>
      <c r="P127" s="221">
        <v>0</v>
      </c>
      <c r="Q127" s="221">
        <v>0</v>
      </c>
      <c r="R127" s="221">
        <v>0</v>
      </c>
      <c r="S127" s="221">
        <v>0</v>
      </c>
      <c r="T127" s="221">
        <v>0</v>
      </c>
      <c r="U127" s="221">
        <v>0</v>
      </c>
      <c r="V127" s="221">
        <v>0</v>
      </c>
      <c r="W127" s="221">
        <v>-150.24</v>
      </c>
      <c r="X127" s="221">
        <v>-150.24</v>
      </c>
    </row>
    <row r="128" spans="1:24" hidden="1" outlineLevel="2" x14ac:dyDescent="0.2">
      <c r="A128" s="88" t="s">
        <v>169</v>
      </c>
      <c r="B128" s="88" t="s">
        <v>211</v>
      </c>
      <c r="C128" s="88" t="s">
        <v>124</v>
      </c>
      <c r="D128" s="88" t="s">
        <v>212</v>
      </c>
      <c r="E128" s="88" t="s">
        <v>213</v>
      </c>
      <c r="F128" s="88" t="s">
        <v>214</v>
      </c>
      <c r="G128" s="88" t="s">
        <v>215</v>
      </c>
      <c r="H128" s="88" t="s">
        <v>247</v>
      </c>
      <c r="I128" s="88" t="s">
        <v>248</v>
      </c>
      <c r="J128" s="88" t="s">
        <v>140</v>
      </c>
      <c r="K128" s="221">
        <v>0</v>
      </c>
      <c r="L128" s="221">
        <v>0</v>
      </c>
      <c r="M128" s="221">
        <v>0</v>
      </c>
      <c r="N128" s="221">
        <v>0</v>
      </c>
      <c r="O128" s="221">
        <v>150.24</v>
      </c>
      <c r="P128" s="221">
        <v>0</v>
      </c>
      <c r="Q128" s="221">
        <v>0</v>
      </c>
      <c r="R128" s="221">
        <v>0</v>
      </c>
      <c r="S128" s="221">
        <v>0</v>
      </c>
      <c r="T128" s="221">
        <v>0</v>
      </c>
      <c r="U128" s="221">
        <v>0</v>
      </c>
      <c r="V128" s="221">
        <v>0</v>
      </c>
      <c r="W128" s="221">
        <v>150.24</v>
      </c>
      <c r="X128" s="221">
        <v>150.24</v>
      </c>
    </row>
    <row r="129" spans="1:24" hidden="1" outlineLevel="2" x14ac:dyDescent="0.2">
      <c r="A129" s="88" t="s">
        <v>169</v>
      </c>
      <c r="B129" s="88" t="s">
        <v>211</v>
      </c>
      <c r="C129" s="88" t="s">
        <v>124</v>
      </c>
      <c r="D129" s="88" t="s">
        <v>212</v>
      </c>
      <c r="E129" s="88" t="s">
        <v>213</v>
      </c>
      <c r="F129" s="88" t="s">
        <v>214</v>
      </c>
      <c r="G129" s="88" t="s">
        <v>215</v>
      </c>
      <c r="H129" s="88" t="s">
        <v>247</v>
      </c>
      <c r="I129" s="88" t="s">
        <v>248</v>
      </c>
      <c r="J129" s="88" t="s">
        <v>140</v>
      </c>
      <c r="K129" s="221">
        <v>0</v>
      </c>
      <c r="L129" s="221">
        <v>0</v>
      </c>
      <c r="M129" s="221">
        <v>0</v>
      </c>
      <c r="N129" s="221">
        <v>0</v>
      </c>
      <c r="O129" s="221">
        <v>5770.21</v>
      </c>
      <c r="P129" s="221">
        <v>0</v>
      </c>
      <c r="Q129" s="221">
        <v>0</v>
      </c>
      <c r="R129" s="221">
        <v>0</v>
      </c>
      <c r="S129" s="221">
        <v>0</v>
      </c>
      <c r="T129" s="221">
        <v>0</v>
      </c>
      <c r="U129" s="221">
        <v>0</v>
      </c>
      <c r="V129" s="221">
        <v>0</v>
      </c>
      <c r="W129" s="221">
        <v>5770.21</v>
      </c>
      <c r="X129" s="221">
        <v>5770.21</v>
      </c>
    </row>
    <row r="130" spans="1:24" hidden="1" outlineLevel="2" x14ac:dyDescent="0.2">
      <c r="A130" s="88" t="s">
        <v>169</v>
      </c>
      <c r="B130" s="88" t="s">
        <v>211</v>
      </c>
      <c r="C130" s="88" t="s">
        <v>124</v>
      </c>
      <c r="D130" s="88" t="s">
        <v>212</v>
      </c>
      <c r="E130" s="88" t="s">
        <v>213</v>
      </c>
      <c r="F130" s="88" t="s">
        <v>214</v>
      </c>
      <c r="G130" s="88" t="s">
        <v>215</v>
      </c>
      <c r="H130" s="88" t="s">
        <v>247</v>
      </c>
      <c r="I130" s="88" t="s">
        <v>248</v>
      </c>
      <c r="J130" s="88" t="s">
        <v>140</v>
      </c>
      <c r="K130" s="221">
        <v>0</v>
      </c>
      <c r="L130" s="221">
        <v>0</v>
      </c>
      <c r="M130" s="221">
        <v>0</v>
      </c>
      <c r="N130" s="221">
        <v>0</v>
      </c>
      <c r="O130" s="221">
        <v>224.08</v>
      </c>
      <c r="P130" s="221">
        <v>0</v>
      </c>
      <c r="Q130" s="221">
        <v>0</v>
      </c>
      <c r="R130" s="221">
        <v>0</v>
      </c>
      <c r="S130" s="221">
        <v>0</v>
      </c>
      <c r="T130" s="221">
        <v>0</v>
      </c>
      <c r="U130" s="221">
        <v>0</v>
      </c>
      <c r="V130" s="221">
        <v>0</v>
      </c>
      <c r="W130" s="221">
        <v>224.08</v>
      </c>
      <c r="X130" s="221">
        <v>224.08</v>
      </c>
    </row>
    <row r="131" spans="1:24" hidden="1" outlineLevel="2" x14ac:dyDescent="0.2">
      <c r="A131" s="88" t="s">
        <v>169</v>
      </c>
      <c r="B131" s="88" t="s">
        <v>211</v>
      </c>
      <c r="C131" s="88" t="s">
        <v>124</v>
      </c>
      <c r="D131" s="88" t="s">
        <v>212</v>
      </c>
      <c r="E131" s="88" t="s">
        <v>213</v>
      </c>
      <c r="F131" s="88" t="s">
        <v>214</v>
      </c>
      <c r="G131" s="88" t="s">
        <v>215</v>
      </c>
      <c r="H131" s="88" t="s">
        <v>247</v>
      </c>
      <c r="I131" s="88" t="s">
        <v>248</v>
      </c>
      <c r="J131" s="88" t="s">
        <v>140</v>
      </c>
      <c r="K131" s="221">
        <v>0</v>
      </c>
      <c r="L131" s="221">
        <v>0</v>
      </c>
      <c r="M131" s="221">
        <v>0</v>
      </c>
      <c r="N131" s="221">
        <v>0</v>
      </c>
      <c r="O131" s="221">
        <v>-374.32</v>
      </c>
      <c r="P131" s="221">
        <v>0</v>
      </c>
      <c r="Q131" s="221">
        <v>0</v>
      </c>
      <c r="R131" s="221">
        <v>0</v>
      </c>
      <c r="S131" s="221">
        <v>0</v>
      </c>
      <c r="T131" s="221">
        <v>0</v>
      </c>
      <c r="U131" s="221">
        <v>0</v>
      </c>
      <c r="V131" s="221">
        <v>0</v>
      </c>
      <c r="W131" s="221">
        <v>-374.32</v>
      </c>
      <c r="X131" s="221">
        <v>-374.32</v>
      </c>
    </row>
    <row r="132" spans="1:24" hidden="1" outlineLevel="2" x14ac:dyDescent="0.2">
      <c r="A132" s="88" t="s">
        <v>169</v>
      </c>
      <c r="B132" s="88" t="s">
        <v>211</v>
      </c>
      <c r="C132" s="88" t="s">
        <v>124</v>
      </c>
      <c r="D132" s="88" t="s">
        <v>212</v>
      </c>
      <c r="E132" s="88" t="s">
        <v>213</v>
      </c>
      <c r="F132" s="88" t="s">
        <v>214</v>
      </c>
      <c r="G132" s="88" t="s">
        <v>215</v>
      </c>
      <c r="H132" s="88" t="s">
        <v>247</v>
      </c>
      <c r="I132" s="88" t="s">
        <v>248</v>
      </c>
      <c r="J132" s="88" t="s">
        <v>140</v>
      </c>
      <c r="K132" s="221">
        <v>0</v>
      </c>
      <c r="L132" s="221">
        <v>0</v>
      </c>
      <c r="M132" s="221">
        <v>0</v>
      </c>
      <c r="N132" s="221">
        <v>0</v>
      </c>
      <c r="O132" s="221">
        <v>5770.21</v>
      </c>
      <c r="P132" s="221">
        <v>0</v>
      </c>
      <c r="Q132" s="221">
        <v>0</v>
      </c>
      <c r="R132" s="221">
        <v>0</v>
      </c>
      <c r="S132" s="221">
        <v>0</v>
      </c>
      <c r="T132" s="221">
        <v>0</v>
      </c>
      <c r="U132" s="221">
        <v>0</v>
      </c>
      <c r="V132" s="221">
        <v>0</v>
      </c>
      <c r="W132" s="221">
        <v>5770.21</v>
      </c>
      <c r="X132" s="221">
        <v>5770.21</v>
      </c>
    </row>
    <row r="133" spans="1:24" hidden="1" outlineLevel="2" x14ac:dyDescent="0.2">
      <c r="A133" s="88" t="s">
        <v>169</v>
      </c>
      <c r="B133" s="88" t="s">
        <v>211</v>
      </c>
      <c r="C133" s="88" t="s">
        <v>124</v>
      </c>
      <c r="D133" s="88" t="s">
        <v>212</v>
      </c>
      <c r="E133" s="88" t="s">
        <v>213</v>
      </c>
      <c r="F133" s="88" t="s">
        <v>214</v>
      </c>
      <c r="G133" s="88" t="s">
        <v>215</v>
      </c>
      <c r="H133" s="88" t="s">
        <v>247</v>
      </c>
      <c r="I133" s="88" t="s">
        <v>248</v>
      </c>
      <c r="J133" s="88" t="s">
        <v>140</v>
      </c>
      <c r="K133" s="221">
        <v>0</v>
      </c>
      <c r="L133" s="221">
        <v>0</v>
      </c>
      <c r="M133" s="221">
        <v>0</v>
      </c>
      <c r="N133" s="221">
        <v>0</v>
      </c>
      <c r="O133" s="221">
        <v>150.24</v>
      </c>
      <c r="P133" s="221">
        <v>0</v>
      </c>
      <c r="Q133" s="221">
        <v>0</v>
      </c>
      <c r="R133" s="221">
        <v>0</v>
      </c>
      <c r="S133" s="221">
        <v>0</v>
      </c>
      <c r="T133" s="221">
        <v>0</v>
      </c>
      <c r="U133" s="221">
        <v>0</v>
      </c>
      <c r="V133" s="221">
        <v>0</v>
      </c>
      <c r="W133" s="221">
        <v>150.24</v>
      </c>
      <c r="X133" s="221">
        <v>150.24</v>
      </c>
    </row>
    <row r="134" spans="1:24" hidden="1" outlineLevel="2" x14ac:dyDescent="0.2">
      <c r="A134" s="88" t="s">
        <v>169</v>
      </c>
      <c r="B134" s="88" t="s">
        <v>211</v>
      </c>
      <c r="C134" s="88" t="s">
        <v>124</v>
      </c>
      <c r="D134" s="88" t="s">
        <v>212</v>
      </c>
      <c r="E134" s="88" t="s">
        <v>213</v>
      </c>
      <c r="F134" s="88" t="s">
        <v>214</v>
      </c>
      <c r="G134" s="88" t="s">
        <v>215</v>
      </c>
      <c r="H134" s="88" t="s">
        <v>247</v>
      </c>
      <c r="I134" s="88" t="s">
        <v>248</v>
      </c>
      <c r="J134" s="88" t="s">
        <v>140</v>
      </c>
      <c r="K134" s="221">
        <v>0</v>
      </c>
      <c r="L134" s="221">
        <v>6472.05</v>
      </c>
      <c r="M134" s="221">
        <v>0</v>
      </c>
      <c r="N134" s="221">
        <v>0</v>
      </c>
      <c r="O134" s="221">
        <v>0</v>
      </c>
      <c r="P134" s="221">
        <v>0</v>
      </c>
      <c r="Q134" s="221">
        <v>0</v>
      </c>
      <c r="R134" s="221">
        <v>0</v>
      </c>
      <c r="S134" s="221">
        <v>0</v>
      </c>
      <c r="T134" s="221">
        <v>0</v>
      </c>
      <c r="U134" s="221">
        <v>0</v>
      </c>
      <c r="V134" s="221">
        <v>0</v>
      </c>
      <c r="W134" s="221">
        <v>6472.05</v>
      </c>
      <c r="X134" s="221">
        <v>6472.05</v>
      </c>
    </row>
    <row r="135" spans="1:24" hidden="1" outlineLevel="2" x14ac:dyDescent="0.2">
      <c r="A135" s="88" t="s">
        <v>169</v>
      </c>
      <c r="B135" s="88" t="s">
        <v>211</v>
      </c>
      <c r="C135" s="88" t="s">
        <v>124</v>
      </c>
      <c r="D135" s="88" t="s">
        <v>212</v>
      </c>
      <c r="E135" s="88" t="s">
        <v>213</v>
      </c>
      <c r="F135" s="88" t="s">
        <v>214</v>
      </c>
      <c r="G135" s="88" t="s">
        <v>215</v>
      </c>
      <c r="H135" s="88" t="s">
        <v>247</v>
      </c>
      <c r="I135" s="88" t="s">
        <v>248</v>
      </c>
      <c r="J135" s="88" t="s">
        <v>140</v>
      </c>
      <c r="K135" s="221">
        <v>0</v>
      </c>
      <c r="L135" s="221">
        <v>0</v>
      </c>
      <c r="M135" s="221">
        <v>0</v>
      </c>
      <c r="N135" s="221">
        <v>-287.88</v>
      </c>
      <c r="O135" s="221">
        <v>0</v>
      </c>
      <c r="P135" s="221">
        <v>0</v>
      </c>
      <c r="Q135" s="221">
        <v>0</v>
      </c>
      <c r="R135" s="221">
        <v>0</v>
      </c>
      <c r="S135" s="221">
        <v>0</v>
      </c>
      <c r="T135" s="221">
        <v>0</v>
      </c>
      <c r="U135" s="221">
        <v>0</v>
      </c>
      <c r="V135" s="221">
        <v>0</v>
      </c>
      <c r="W135" s="221">
        <v>-287.88</v>
      </c>
      <c r="X135" s="221">
        <v>-287.88</v>
      </c>
    </row>
    <row r="136" spans="1:24" hidden="1" outlineLevel="2" x14ac:dyDescent="0.2">
      <c r="A136" s="88" t="s">
        <v>169</v>
      </c>
      <c r="B136" s="88" t="s">
        <v>211</v>
      </c>
      <c r="C136" s="88" t="s">
        <v>124</v>
      </c>
      <c r="D136" s="88" t="s">
        <v>212</v>
      </c>
      <c r="E136" s="88" t="s">
        <v>213</v>
      </c>
      <c r="F136" s="88" t="s">
        <v>214</v>
      </c>
      <c r="G136" s="88" t="s">
        <v>215</v>
      </c>
      <c r="H136" s="88" t="s">
        <v>247</v>
      </c>
      <c r="I136" s="88" t="s">
        <v>248</v>
      </c>
      <c r="J136" s="88" t="s">
        <v>140</v>
      </c>
      <c r="K136" s="221">
        <v>0</v>
      </c>
      <c r="L136" s="221">
        <v>431.82</v>
      </c>
      <c r="M136" s="221">
        <v>0</v>
      </c>
      <c r="N136" s="221">
        <v>0</v>
      </c>
      <c r="O136" s="221">
        <v>0</v>
      </c>
      <c r="P136" s="221">
        <v>0</v>
      </c>
      <c r="Q136" s="221">
        <v>0</v>
      </c>
      <c r="R136" s="221">
        <v>0</v>
      </c>
      <c r="S136" s="221">
        <v>0</v>
      </c>
      <c r="T136" s="221">
        <v>0</v>
      </c>
      <c r="U136" s="221">
        <v>0</v>
      </c>
      <c r="V136" s="221">
        <v>0</v>
      </c>
      <c r="W136" s="221">
        <v>431.82</v>
      </c>
      <c r="X136" s="221">
        <v>431.82</v>
      </c>
    </row>
    <row r="137" spans="1:24" hidden="1" outlineLevel="2" x14ac:dyDescent="0.2">
      <c r="A137" s="88" t="s">
        <v>169</v>
      </c>
      <c r="B137" s="88" t="s">
        <v>211</v>
      </c>
      <c r="C137" s="88" t="s">
        <v>124</v>
      </c>
      <c r="D137" s="88" t="s">
        <v>212</v>
      </c>
      <c r="E137" s="88" t="s">
        <v>213</v>
      </c>
      <c r="F137" s="88" t="s">
        <v>214</v>
      </c>
      <c r="G137" s="88" t="s">
        <v>215</v>
      </c>
      <c r="H137" s="88" t="s">
        <v>247</v>
      </c>
      <c r="I137" s="88" t="s">
        <v>248</v>
      </c>
      <c r="J137" s="88" t="s">
        <v>140</v>
      </c>
      <c r="K137" s="221">
        <v>0</v>
      </c>
      <c r="L137" s="221">
        <v>-10416.69</v>
      </c>
      <c r="M137" s="221">
        <v>0</v>
      </c>
      <c r="N137" s="221">
        <v>0</v>
      </c>
      <c r="O137" s="221">
        <v>0</v>
      </c>
      <c r="P137" s="221">
        <v>0</v>
      </c>
      <c r="Q137" s="221">
        <v>0</v>
      </c>
      <c r="R137" s="221">
        <v>0</v>
      </c>
      <c r="S137" s="221">
        <v>0</v>
      </c>
      <c r="T137" s="221">
        <v>0</v>
      </c>
      <c r="U137" s="221">
        <v>0</v>
      </c>
      <c r="V137" s="221">
        <v>0</v>
      </c>
      <c r="W137" s="221">
        <v>-10416.69</v>
      </c>
      <c r="X137" s="221">
        <v>-10416.69</v>
      </c>
    </row>
    <row r="138" spans="1:24" hidden="1" outlineLevel="2" x14ac:dyDescent="0.2">
      <c r="A138" s="88" t="s">
        <v>169</v>
      </c>
      <c r="B138" s="88" t="s">
        <v>211</v>
      </c>
      <c r="C138" s="88" t="s">
        <v>124</v>
      </c>
      <c r="D138" s="88" t="s">
        <v>212</v>
      </c>
      <c r="E138" s="88" t="s">
        <v>213</v>
      </c>
      <c r="F138" s="88" t="s">
        <v>214</v>
      </c>
      <c r="G138" s="88" t="s">
        <v>215</v>
      </c>
      <c r="H138" s="88" t="s">
        <v>247</v>
      </c>
      <c r="I138" s="88" t="s">
        <v>248</v>
      </c>
      <c r="J138" s="88" t="s">
        <v>140</v>
      </c>
      <c r="K138" s="221">
        <v>0</v>
      </c>
      <c r="L138" s="221">
        <v>-719.7</v>
      </c>
      <c r="M138" s="221">
        <v>0</v>
      </c>
      <c r="N138" s="221">
        <v>0</v>
      </c>
      <c r="O138" s="221">
        <v>0</v>
      </c>
      <c r="P138" s="221">
        <v>0</v>
      </c>
      <c r="Q138" s="221">
        <v>0</v>
      </c>
      <c r="R138" s="221">
        <v>0</v>
      </c>
      <c r="S138" s="221">
        <v>0</v>
      </c>
      <c r="T138" s="221">
        <v>0</v>
      </c>
      <c r="U138" s="221">
        <v>0</v>
      </c>
      <c r="V138" s="221">
        <v>0</v>
      </c>
      <c r="W138" s="221">
        <v>-719.7</v>
      </c>
      <c r="X138" s="221">
        <v>-719.7</v>
      </c>
    </row>
    <row r="139" spans="1:24" hidden="1" outlineLevel="2" x14ac:dyDescent="0.2">
      <c r="A139" s="88" t="s">
        <v>169</v>
      </c>
      <c r="B139" s="88" t="s">
        <v>211</v>
      </c>
      <c r="C139" s="88" t="s">
        <v>124</v>
      </c>
      <c r="D139" s="88" t="s">
        <v>212</v>
      </c>
      <c r="E139" s="88" t="s">
        <v>213</v>
      </c>
      <c r="F139" s="88" t="s">
        <v>214</v>
      </c>
      <c r="G139" s="88" t="s">
        <v>215</v>
      </c>
      <c r="H139" s="88" t="s">
        <v>247</v>
      </c>
      <c r="I139" s="88" t="s">
        <v>248</v>
      </c>
      <c r="J139" s="88" t="s">
        <v>140</v>
      </c>
      <c r="K139" s="221">
        <v>0</v>
      </c>
      <c r="L139" s="221">
        <v>225.7</v>
      </c>
      <c r="M139" s="221">
        <v>0</v>
      </c>
      <c r="N139" s="221">
        <v>0</v>
      </c>
      <c r="O139" s="221">
        <v>0</v>
      </c>
      <c r="P139" s="221">
        <v>0</v>
      </c>
      <c r="Q139" s="221">
        <v>0</v>
      </c>
      <c r="R139" s="221">
        <v>0</v>
      </c>
      <c r="S139" s="221">
        <v>0</v>
      </c>
      <c r="T139" s="221">
        <v>0</v>
      </c>
      <c r="U139" s="221">
        <v>0</v>
      </c>
      <c r="V139" s="221">
        <v>0</v>
      </c>
      <c r="W139" s="221">
        <v>225.7</v>
      </c>
      <c r="X139" s="221">
        <v>225.7</v>
      </c>
    </row>
    <row r="140" spans="1:24" hidden="1" outlineLevel="2" x14ac:dyDescent="0.2">
      <c r="A140" s="88" t="s">
        <v>169</v>
      </c>
      <c r="B140" s="88" t="s">
        <v>211</v>
      </c>
      <c r="C140" s="88" t="s">
        <v>124</v>
      </c>
      <c r="D140" s="88" t="s">
        <v>212</v>
      </c>
      <c r="E140" s="88" t="s">
        <v>213</v>
      </c>
      <c r="F140" s="88" t="s">
        <v>214</v>
      </c>
      <c r="G140" s="88" t="s">
        <v>215</v>
      </c>
      <c r="H140" s="88" t="s">
        <v>247</v>
      </c>
      <c r="I140" s="88" t="s">
        <v>248</v>
      </c>
      <c r="J140" s="88" t="s">
        <v>140</v>
      </c>
      <c r="K140" s="221">
        <v>0</v>
      </c>
      <c r="L140" s="221">
        <v>0</v>
      </c>
      <c r="M140" s="221">
        <v>287.88</v>
      </c>
      <c r="N140" s="221">
        <v>0</v>
      </c>
      <c r="O140" s="221">
        <v>0</v>
      </c>
      <c r="P140" s="221">
        <v>0</v>
      </c>
      <c r="Q140" s="221">
        <v>0</v>
      </c>
      <c r="R140" s="221">
        <v>0</v>
      </c>
      <c r="S140" s="221">
        <v>0</v>
      </c>
      <c r="T140" s="221">
        <v>0</v>
      </c>
      <c r="U140" s="221">
        <v>0</v>
      </c>
      <c r="V140" s="221">
        <v>0</v>
      </c>
      <c r="W140" s="221">
        <v>287.88</v>
      </c>
      <c r="X140" s="221">
        <v>287.88</v>
      </c>
    </row>
    <row r="141" spans="1:24" hidden="1" outlineLevel="2" x14ac:dyDescent="0.2">
      <c r="A141" s="88" t="s">
        <v>169</v>
      </c>
      <c r="B141" s="88" t="s">
        <v>211</v>
      </c>
      <c r="C141" s="88" t="s">
        <v>124</v>
      </c>
      <c r="D141" s="88" t="s">
        <v>212</v>
      </c>
      <c r="E141" s="88" t="s">
        <v>213</v>
      </c>
      <c r="F141" s="88" t="s">
        <v>214</v>
      </c>
      <c r="G141" s="88" t="s">
        <v>215</v>
      </c>
      <c r="H141" s="88" t="s">
        <v>247</v>
      </c>
      <c r="I141" s="88" t="s">
        <v>248</v>
      </c>
      <c r="J141" s="88" t="s">
        <v>140</v>
      </c>
      <c r="K141" s="221">
        <v>0</v>
      </c>
      <c r="L141" s="221">
        <v>287.88</v>
      </c>
      <c r="M141" s="221">
        <v>0</v>
      </c>
      <c r="N141" s="221">
        <v>0</v>
      </c>
      <c r="O141" s="221">
        <v>0</v>
      </c>
      <c r="P141" s="221">
        <v>0</v>
      </c>
      <c r="Q141" s="221">
        <v>0</v>
      </c>
      <c r="R141" s="221">
        <v>0</v>
      </c>
      <c r="S141" s="221">
        <v>0</v>
      </c>
      <c r="T141" s="221">
        <v>0</v>
      </c>
      <c r="U141" s="221">
        <v>0</v>
      </c>
      <c r="V141" s="221">
        <v>0</v>
      </c>
      <c r="W141" s="221">
        <v>287.88</v>
      </c>
      <c r="X141" s="221">
        <v>287.88</v>
      </c>
    </row>
    <row r="142" spans="1:24" hidden="1" outlineLevel="2" x14ac:dyDescent="0.2">
      <c r="A142" s="88" t="s">
        <v>169</v>
      </c>
      <c r="B142" s="88" t="s">
        <v>211</v>
      </c>
      <c r="C142" s="88" t="s">
        <v>124</v>
      </c>
      <c r="D142" s="88" t="s">
        <v>212</v>
      </c>
      <c r="E142" s="88" t="s">
        <v>213</v>
      </c>
      <c r="F142" s="88" t="s">
        <v>214</v>
      </c>
      <c r="G142" s="88" t="s">
        <v>215</v>
      </c>
      <c r="H142" s="88" t="s">
        <v>247</v>
      </c>
      <c r="I142" s="88" t="s">
        <v>248</v>
      </c>
      <c r="J142" s="88" t="s">
        <v>140</v>
      </c>
      <c r="K142" s="221">
        <v>0</v>
      </c>
      <c r="L142" s="221">
        <v>0</v>
      </c>
      <c r="M142" s="221">
        <v>0</v>
      </c>
      <c r="N142" s="221">
        <v>246.48</v>
      </c>
      <c r="O142" s="221">
        <v>0</v>
      </c>
      <c r="P142" s="221">
        <v>0</v>
      </c>
      <c r="Q142" s="221">
        <v>0</v>
      </c>
      <c r="R142" s="221">
        <v>0</v>
      </c>
      <c r="S142" s="221">
        <v>0</v>
      </c>
      <c r="T142" s="221">
        <v>0</v>
      </c>
      <c r="U142" s="221">
        <v>0</v>
      </c>
      <c r="V142" s="221">
        <v>0</v>
      </c>
      <c r="W142" s="221">
        <v>246.48</v>
      </c>
      <c r="X142" s="221">
        <v>246.48</v>
      </c>
    </row>
    <row r="143" spans="1:24" hidden="1" outlineLevel="2" x14ac:dyDescent="0.2">
      <c r="A143" s="88" t="s">
        <v>169</v>
      </c>
      <c r="B143" s="88" t="s">
        <v>211</v>
      </c>
      <c r="C143" s="88" t="s">
        <v>124</v>
      </c>
      <c r="D143" s="88" t="s">
        <v>212</v>
      </c>
      <c r="E143" s="88" t="s">
        <v>213</v>
      </c>
      <c r="F143" s="88" t="s">
        <v>214</v>
      </c>
      <c r="G143" s="88" t="s">
        <v>215</v>
      </c>
      <c r="H143" s="88" t="s">
        <v>247</v>
      </c>
      <c r="I143" s="88" t="s">
        <v>248</v>
      </c>
      <c r="J143" s="88" t="s">
        <v>140</v>
      </c>
      <c r="K143" s="221">
        <v>0</v>
      </c>
      <c r="L143" s="221">
        <v>8936.8799999999992</v>
      </c>
      <c r="M143" s="221">
        <v>0</v>
      </c>
      <c r="N143" s="221">
        <v>0</v>
      </c>
      <c r="O143" s="221">
        <v>0</v>
      </c>
      <c r="P143" s="221">
        <v>0</v>
      </c>
      <c r="Q143" s="221">
        <v>0</v>
      </c>
      <c r="R143" s="221">
        <v>0</v>
      </c>
      <c r="S143" s="221">
        <v>0</v>
      </c>
      <c r="T143" s="221">
        <v>0</v>
      </c>
      <c r="U143" s="221">
        <v>0</v>
      </c>
      <c r="V143" s="221">
        <v>0</v>
      </c>
      <c r="W143" s="221">
        <v>8936.8799999999992</v>
      </c>
      <c r="X143" s="221">
        <v>8936.8799999999992</v>
      </c>
    </row>
    <row r="144" spans="1:24" hidden="1" outlineLevel="2" x14ac:dyDescent="0.2">
      <c r="A144" s="88" t="s">
        <v>169</v>
      </c>
      <c r="B144" s="88" t="s">
        <v>211</v>
      </c>
      <c r="C144" s="88" t="s">
        <v>124</v>
      </c>
      <c r="D144" s="88" t="s">
        <v>212</v>
      </c>
      <c r="E144" s="88" t="s">
        <v>213</v>
      </c>
      <c r="F144" s="88" t="s">
        <v>214</v>
      </c>
      <c r="G144" s="88" t="s">
        <v>215</v>
      </c>
      <c r="H144" s="88" t="s">
        <v>247</v>
      </c>
      <c r="I144" s="88" t="s">
        <v>248</v>
      </c>
      <c r="J144" s="88" t="s">
        <v>140</v>
      </c>
      <c r="K144" s="221">
        <v>0</v>
      </c>
      <c r="L144" s="221">
        <v>0</v>
      </c>
      <c r="M144" s="221">
        <v>6472.05</v>
      </c>
      <c r="N144" s="221">
        <v>0</v>
      </c>
      <c r="O144" s="221">
        <v>0</v>
      </c>
      <c r="P144" s="221">
        <v>0</v>
      </c>
      <c r="Q144" s="221">
        <v>0</v>
      </c>
      <c r="R144" s="221">
        <v>0</v>
      </c>
      <c r="S144" s="221">
        <v>0</v>
      </c>
      <c r="T144" s="221">
        <v>0</v>
      </c>
      <c r="U144" s="221">
        <v>0</v>
      </c>
      <c r="V144" s="221">
        <v>0</v>
      </c>
      <c r="W144" s="221">
        <v>6472.05</v>
      </c>
      <c r="X144" s="221">
        <v>6472.05</v>
      </c>
    </row>
    <row r="145" spans="1:24" hidden="1" outlineLevel="2" x14ac:dyDescent="0.2">
      <c r="A145" s="88" t="s">
        <v>169</v>
      </c>
      <c r="B145" s="88" t="s">
        <v>211</v>
      </c>
      <c r="C145" s="88" t="s">
        <v>124</v>
      </c>
      <c r="D145" s="88" t="s">
        <v>212</v>
      </c>
      <c r="E145" s="88" t="s">
        <v>213</v>
      </c>
      <c r="F145" s="88" t="s">
        <v>214</v>
      </c>
      <c r="G145" s="88" t="s">
        <v>215</v>
      </c>
      <c r="H145" s="88" t="s">
        <v>247</v>
      </c>
      <c r="I145" s="88" t="s">
        <v>248</v>
      </c>
      <c r="J145" s="88" t="s">
        <v>140</v>
      </c>
      <c r="K145" s="221">
        <v>0</v>
      </c>
      <c r="L145" s="221">
        <v>-225.7</v>
      </c>
      <c r="M145" s="221">
        <v>0</v>
      </c>
      <c r="N145" s="221">
        <v>0</v>
      </c>
      <c r="O145" s="221">
        <v>0</v>
      </c>
      <c r="P145" s="221">
        <v>0</v>
      </c>
      <c r="Q145" s="221">
        <v>0</v>
      </c>
      <c r="R145" s="221">
        <v>0</v>
      </c>
      <c r="S145" s="221">
        <v>0</v>
      </c>
      <c r="T145" s="221">
        <v>0</v>
      </c>
      <c r="U145" s="221">
        <v>0</v>
      </c>
      <c r="V145" s="221">
        <v>0</v>
      </c>
      <c r="W145" s="221">
        <v>-225.7</v>
      </c>
      <c r="X145" s="221">
        <v>-225.7</v>
      </c>
    </row>
    <row r="146" spans="1:24" hidden="1" outlineLevel="2" x14ac:dyDescent="0.2">
      <c r="A146" s="88" t="s">
        <v>169</v>
      </c>
      <c r="B146" s="88" t="s">
        <v>211</v>
      </c>
      <c r="C146" s="88" t="s">
        <v>124</v>
      </c>
      <c r="D146" s="88" t="s">
        <v>212</v>
      </c>
      <c r="E146" s="88" t="s">
        <v>213</v>
      </c>
      <c r="F146" s="88" t="s">
        <v>214</v>
      </c>
      <c r="G146" s="88" t="s">
        <v>215</v>
      </c>
      <c r="H146" s="88" t="s">
        <v>247</v>
      </c>
      <c r="I146" s="88" t="s">
        <v>248</v>
      </c>
      <c r="J146" s="88" t="s">
        <v>140</v>
      </c>
      <c r="K146" s="221">
        <v>8088.74</v>
      </c>
      <c r="L146" s="221">
        <v>0</v>
      </c>
      <c r="M146" s="221">
        <v>0</v>
      </c>
      <c r="N146" s="221">
        <v>0</v>
      </c>
      <c r="O146" s="221">
        <v>0</v>
      </c>
      <c r="P146" s="221">
        <v>0</v>
      </c>
      <c r="Q146" s="221">
        <v>0</v>
      </c>
      <c r="R146" s="221">
        <v>0</v>
      </c>
      <c r="S146" s="221">
        <v>0</v>
      </c>
      <c r="T146" s="221">
        <v>0</v>
      </c>
      <c r="U146" s="221">
        <v>0</v>
      </c>
      <c r="V146" s="221">
        <v>0</v>
      </c>
      <c r="W146" s="221">
        <v>8088.74</v>
      </c>
      <c r="X146" s="221">
        <v>8088.74</v>
      </c>
    </row>
    <row r="147" spans="1:24" hidden="1" outlineLevel="2" x14ac:dyDescent="0.2">
      <c r="A147" s="88" t="s">
        <v>169</v>
      </c>
      <c r="B147" s="88" t="s">
        <v>211</v>
      </c>
      <c r="C147" s="88" t="s">
        <v>124</v>
      </c>
      <c r="D147" s="88" t="s">
        <v>212</v>
      </c>
      <c r="E147" s="88" t="s">
        <v>213</v>
      </c>
      <c r="F147" s="88" t="s">
        <v>214</v>
      </c>
      <c r="G147" s="88" t="s">
        <v>215</v>
      </c>
      <c r="H147" s="88" t="s">
        <v>247</v>
      </c>
      <c r="I147" s="88" t="s">
        <v>248</v>
      </c>
      <c r="J147" s="88" t="s">
        <v>140</v>
      </c>
      <c r="K147" s="221">
        <v>5380.4</v>
      </c>
      <c r="L147" s="221">
        <v>0</v>
      </c>
      <c r="M147" s="221">
        <v>0</v>
      </c>
      <c r="N147" s="221">
        <v>0</v>
      </c>
      <c r="O147" s="221">
        <v>0</v>
      </c>
      <c r="P147" s="221">
        <v>0</v>
      </c>
      <c r="Q147" s="221">
        <v>0</v>
      </c>
      <c r="R147" s="221">
        <v>0</v>
      </c>
      <c r="S147" s="221">
        <v>0</v>
      </c>
      <c r="T147" s="221">
        <v>0</v>
      </c>
      <c r="U147" s="221">
        <v>0</v>
      </c>
      <c r="V147" s="221">
        <v>0</v>
      </c>
      <c r="W147" s="221">
        <v>5380.4</v>
      </c>
      <c r="X147" s="221">
        <v>5380.4</v>
      </c>
    </row>
    <row r="148" spans="1:24" hidden="1" outlineLevel="2" x14ac:dyDescent="0.2">
      <c r="A148" s="88" t="s">
        <v>169</v>
      </c>
      <c r="B148" s="88" t="s">
        <v>211</v>
      </c>
      <c r="C148" s="88" t="s">
        <v>124</v>
      </c>
      <c r="D148" s="88" t="s">
        <v>212</v>
      </c>
      <c r="E148" s="88" t="s">
        <v>213</v>
      </c>
      <c r="F148" s="88" t="s">
        <v>214</v>
      </c>
      <c r="G148" s="88" t="s">
        <v>215</v>
      </c>
      <c r="H148" s="88" t="s">
        <v>247</v>
      </c>
      <c r="I148" s="88" t="s">
        <v>248</v>
      </c>
      <c r="J148" s="88" t="s">
        <v>140</v>
      </c>
      <c r="K148" s="221">
        <v>0</v>
      </c>
      <c r="L148" s="221">
        <v>0</v>
      </c>
      <c r="M148" s="221">
        <v>6472.05</v>
      </c>
      <c r="N148" s="221">
        <v>0</v>
      </c>
      <c r="O148" s="221">
        <v>0</v>
      </c>
      <c r="P148" s="221">
        <v>0</v>
      </c>
      <c r="Q148" s="221">
        <v>0</v>
      </c>
      <c r="R148" s="221">
        <v>0</v>
      </c>
      <c r="S148" s="221">
        <v>0</v>
      </c>
      <c r="T148" s="221">
        <v>0</v>
      </c>
      <c r="U148" s="221">
        <v>0</v>
      </c>
      <c r="V148" s="221">
        <v>0</v>
      </c>
      <c r="W148" s="221">
        <v>6472.05</v>
      </c>
      <c r="X148" s="221">
        <v>6472.05</v>
      </c>
    </row>
    <row r="149" spans="1:24" hidden="1" outlineLevel="2" x14ac:dyDescent="0.2">
      <c r="A149" s="88" t="s">
        <v>169</v>
      </c>
      <c r="B149" s="88" t="s">
        <v>211</v>
      </c>
      <c r="C149" s="88" t="s">
        <v>124</v>
      </c>
      <c r="D149" s="88" t="s">
        <v>212</v>
      </c>
      <c r="E149" s="88" t="s">
        <v>213</v>
      </c>
      <c r="F149" s="88" t="s">
        <v>214</v>
      </c>
      <c r="G149" s="88" t="s">
        <v>215</v>
      </c>
      <c r="H149" s="88" t="s">
        <v>247</v>
      </c>
      <c r="I149" s="88" t="s">
        <v>248</v>
      </c>
      <c r="J149" s="88" t="s">
        <v>140</v>
      </c>
      <c r="K149" s="221">
        <v>0</v>
      </c>
      <c r="L149" s="221">
        <v>0</v>
      </c>
      <c r="M149" s="221">
        <v>751.22</v>
      </c>
      <c r="N149" s="221">
        <v>0</v>
      </c>
      <c r="O149" s="221">
        <v>0</v>
      </c>
      <c r="P149" s="221">
        <v>0</v>
      </c>
      <c r="Q149" s="221">
        <v>0</v>
      </c>
      <c r="R149" s="221">
        <v>0</v>
      </c>
      <c r="S149" s="221">
        <v>0</v>
      </c>
      <c r="T149" s="221">
        <v>0</v>
      </c>
      <c r="U149" s="221">
        <v>0</v>
      </c>
      <c r="V149" s="221">
        <v>0</v>
      </c>
      <c r="W149" s="221">
        <v>751.22</v>
      </c>
      <c r="X149" s="221">
        <v>751.22</v>
      </c>
    </row>
    <row r="150" spans="1:24" hidden="1" outlineLevel="2" x14ac:dyDescent="0.2">
      <c r="A150" s="88" t="s">
        <v>169</v>
      </c>
      <c r="B150" s="88" t="s">
        <v>211</v>
      </c>
      <c r="C150" s="88" t="s">
        <v>124</v>
      </c>
      <c r="D150" s="88" t="s">
        <v>212</v>
      </c>
      <c r="E150" s="88" t="s">
        <v>213</v>
      </c>
      <c r="F150" s="88" t="s">
        <v>214</v>
      </c>
      <c r="G150" s="88" t="s">
        <v>215</v>
      </c>
      <c r="H150" s="88" t="s">
        <v>247</v>
      </c>
      <c r="I150" s="88" t="s">
        <v>248</v>
      </c>
      <c r="J150" s="88" t="s">
        <v>140</v>
      </c>
      <c r="K150" s="221">
        <v>0</v>
      </c>
      <c r="L150" s="221">
        <v>2185</v>
      </c>
      <c r="M150" s="221">
        <v>0</v>
      </c>
      <c r="N150" s="221">
        <v>0</v>
      </c>
      <c r="O150" s="221">
        <v>0</v>
      </c>
      <c r="P150" s="221">
        <v>0</v>
      </c>
      <c r="Q150" s="221">
        <v>0</v>
      </c>
      <c r="R150" s="221">
        <v>0</v>
      </c>
      <c r="S150" s="221">
        <v>0</v>
      </c>
      <c r="T150" s="221">
        <v>0</v>
      </c>
      <c r="U150" s="221">
        <v>0</v>
      </c>
      <c r="V150" s="221">
        <v>0</v>
      </c>
      <c r="W150" s="221">
        <v>2185</v>
      </c>
      <c r="X150" s="221">
        <v>2185</v>
      </c>
    </row>
    <row r="151" spans="1:24" hidden="1" outlineLevel="2" x14ac:dyDescent="0.2">
      <c r="A151" s="88" t="s">
        <v>169</v>
      </c>
      <c r="B151" s="88" t="s">
        <v>211</v>
      </c>
      <c r="C151" s="88" t="s">
        <v>124</v>
      </c>
      <c r="D151" s="88" t="s">
        <v>212</v>
      </c>
      <c r="E151" s="88" t="s">
        <v>213</v>
      </c>
      <c r="F151" s="88" t="s">
        <v>214</v>
      </c>
      <c r="G151" s="88" t="s">
        <v>215</v>
      </c>
      <c r="H151" s="88" t="s">
        <v>247</v>
      </c>
      <c r="I151" s="88" t="s">
        <v>248</v>
      </c>
      <c r="J151" s="88" t="s">
        <v>140</v>
      </c>
      <c r="K151" s="221">
        <v>0</v>
      </c>
      <c r="L151" s="221">
        <v>0</v>
      </c>
      <c r="M151" s="221">
        <v>0</v>
      </c>
      <c r="N151" s="221">
        <v>-246.48</v>
      </c>
      <c r="O151" s="221">
        <v>0</v>
      </c>
      <c r="P151" s="221">
        <v>0</v>
      </c>
      <c r="Q151" s="221">
        <v>0</v>
      </c>
      <c r="R151" s="221">
        <v>0</v>
      </c>
      <c r="S151" s="221">
        <v>0</v>
      </c>
      <c r="T151" s="221">
        <v>0</v>
      </c>
      <c r="U151" s="221">
        <v>0</v>
      </c>
      <c r="V151" s="221">
        <v>0</v>
      </c>
      <c r="W151" s="221">
        <v>-246.48</v>
      </c>
      <c r="X151" s="221">
        <v>-246.48</v>
      </c>
    </row>
    <row r="152" spans="1:24" hidden="1" outlineLevel="2" x14ac:dyDescent="0.2">
      <c r="A152" s="88" t="s">
        <v>169</v>
      </c>
      <c r="B152" s="88" t="s">
        <v>211</v>
      </c>
      <c r="C152" s="88" t="s">
        <v>124</v>
      </c>
      <c r="D152" s="88" t="s">
        <v>212</v>
      </c>
      <c r="E152" s="88" t="s">
        <v>213</v>
      </c>
      <c r="F152" s="88" t="s">
        <v>214</v>
      </c>
      <c r="G152" s="88" t="s">
        <v>215</v>
      </c>
      <c r="H152" s="88" t="s">
        <v>247</v>
      </c>
      <c r="I152" s="88" t="s">
        <v>248</v>
      </c>
      <c r="J152" s="88" t="s">
        <v>140</v>
      </c>
      <c r="K152" s="221">
        <v>0</v>
      </c>
      <c r="L152" s="221">
        <v>0</v>
      </c>
      <c r="M152" s="221">
        <v>0</v>
      </c>
      <c r="N152" s="221">
        <v>1007.58</v>
      </c>
      <c r="O152" s="221">
        <v>0</v>
      </c>
      <c r="P152" s="221">
        <v>0</v>
      </c>
      <c r="Q152" s="221">
        <v>0</v>
      </c>
      <c r="R152" s="221">
        <v>0</v>
      </c>
      <c r="S152" s="221">
        <v>0</v>
      </c>
      <c r="T152" s="221">
        <v>0</v>
      </c>
      <c r="U152" s="221">
        <v>0</v>
      </c>
      <c r="V152" s="221">
        <v>0</v>
      </c>
      <c r="W152" s="221">
        <v>1007.58</v>
      </c>
      <c r="X152" s="221">
        <v>1007.58</v>
      </c>
    </row>
    <row r="153" spans="1:24" hidden="1" outlineLevel="2" x14ac:dyDescent="0.2">
      <c r="A153" s="88" t="s">
        <v>169</v>
      </c>
      <c r="B153" s="88" t="s">
        <v>211</v>
      </c>
      <c r="C153" s="88" t="s">
        <v>124</v>
      </c>
      <c r="D153" s="88" t="s">
        <v>212</v>
      </c>
      <c r="E153" s="88" t="s">
        <v>213</v>
      </c>
      <c r="F153" s="88" t="s">
        <v>214</v>
      </c>
      <c r="G153" s="88" t="s">
        <v>215</v>
      </c>
      <c r="H153" s="88" t="s">
        <v>247</v>
      </c>
      <c r="I153" s="88" t="s">
        <v>248</v>
      </c>
      <c r="J153" s="88" t="s">
        <v>140</v>
      </c>
      <c r="K153" s="221">
        <v>0</v>
      </c>
      <c r="L153" s="221">
        <v>0</v>
      </c>
      <c r="M153" s="221">
        <v>0</v>
      </c>
      <c r="N153" s="221">
        <v>10629.12</v>
      </c>
      <c r="O153" s="221">
        <v>0</v>
      </c>
      <c r="P153" s="221">
        <v>0</v>
      </c>
      <c r="Q153" s="221">
        <v>0</v>
      </c>
      <c r="R153" s="221">
        <v>0</v>
      </c>
      <c r="S153" s="221">
        <v>0</v>
      </c>
      <c r="T153" s="221">
        <v>0</v>
      </c>
      <c r="U153" s="221">
        <v>0</v>
      </c>
      <c r="V153" s="221">
        <v>0</v>
      </c>
      <c r="W153" s="221">
        <v>10629.12</v>
      </c>
      <c r="X153" s="221">
        <v>10629.12</v>
      </c>
    </row>
    <row r="154" spans="1:24" hidden="1" outlineLevel="2" x14ac:dyDescent="0.2">
      <c r="A154" s="88" t="s">
        <v>169</v>
      </c>
      <c r="B154" s="88" t="s">
        <v>211</v>
      </c>
      <c r="C154" s="88" t="s">
        <v>124</v>
      </c>
      <c r="D154" s="88" t="s">
        <v>212</v>
      </c>
      <c r="E154" s="88" t="s">
        <v>213</v>
      </c>
      <c r="F154" s="88" t="s">
        <v>214</v>
      </c>
      <c r="G154" s="88" t="s">
        <v>215</v>
      </c>
      <c r="H154" s="88" t="s">
        <v>247</v>
      </c>
      <c r="I154" s="88" t="s">
        <v>248</v>
      </c>
      <c r="J154" s="88" t="s">
        <v>140</v>
      </c>
      <c r="K154" s="221">
        <v>0</v>
      </c>
      <c r="L154" s="221">
        <v>0</v>
      </c>
      <c r="M154" s="221">
        <v>0</v>
      </c>
      <c r="N154" s="221">
        <v>-431.82</v>
      </c>
      <c r="O154" s="221">
        <v>0</v>
      </c>
      <c r="P154" s="221">
        <v>0</v>
      </c>
      <c r="Q154" s="221">
        <v>0</v>
      </c>
      <c r="R154" s="221">
        <v>0</v>
      </c>
      <c r="S154" s="221">
        <v>0</v>
      </c>
      <c r="T154" s="221">
        <v>0</v>
      </c>
      <c r="U154" s="221">
        <v>0</v>
      </c>
      <c r="V154" s="221">
        <v>0</v>
      </c>
      <c r="W154" s="221">
        <v>-431.82</v>
      </c>
      <c r="X154" s="221">
        <v>-431.82</v>
      </c>
    </row>
    <row r="155" spans="1:24" hidden="1" outlineLevel="2" x14ac:dyDescent="0.2">
      <c r="A155" s="88" t="s">
        <v>169</v>
      </c>
      <c r="B155" s="88" t="s">
        <v>211</v>
      </c>
      <c r="C155" s="88" t="s">
        <v>124</v>
      </c>
      <c r="D155" s="88" t="s">
        <v>212</v>
      </c>
      <c r="E155" s="88" t="s">
        <v>213</v>
      </c>
      <c r="F155" s="88" t="s">
        <v>214</v>
      </c>
      <c r="G155" s="88" t="s">
        <v>215</v>
      </c>
      <c r="H155" s="88" t="s">
        <v>247</v>
      </c>
      <c r="I155" s="88" t="s">
        <v>248</v>
      </c>
      <c r="J155" s="88" t="s">
        <v>140</v>
      </c>
      <c r="K155" s="221">
        <v>0</v>
      </c>
      <c r="L155" s="221">
        <v>0</v>
      </c>
      <c r="M155" s="221">
        <v>-1039.0999999999999</v>
      </c>
      <c r="N155" s="221">
        <v>0</v>
      </c>
      <c r="O155" s="221">
        <v>0</v>
      </c>
      <c r="P155" s="221">
        <v>0</v>
      </c>
      <c r="Q155" s="221">
        <v>0</v>
      </c>
      <c r="R155" s="221">
        <v>0</v>
      </c>
      <c r="S155" s="221">
        <v>0</v>
      </c>
      <c r="T155" s="221">
        <v>0</v>
      </c>
      <c r="U155" s="221">
        <v>0</v>
      </c>
      <c r="V155" s="221">
        <v>0</v>
      </c>
      <c r="W155" s="221">
        <v>-1039.0999999999999</v>
      </c>
      <c r="X155" s="221">
        <v>-1039.0999999999999</v>
      </c>
    </row>
    <row r="156" spans="1:24" hidden="1" outlineLevel="2" x14ac:dyDescent="0.2">
      <c r="A156" s="88" t="s">
        <v>169</v>
      </c>
      <c r="B156" s="88" t="s">
        <v>211</v>
      </c>
      <c r="C156" s="88" t="s">
        <v>124</v>
      </c>
      <c r="D156" s="88" t="s">
        <v>212</v>
      </c>
      <c r="E156" s="88" t="s">
        <v>213</v>
      </c>
      <c r="F156" s="88" t="s">
        <v>214</v>
      </c>
      <c r="G156" s="88" t="s">
        <v>215</v>
      </c>
      <c r="H156" s="88" t="s">
        <v>247</v>
      </c>
      <c r="I156" s="88" t="s">
        <v>248</v>
      </c>
      <c r="J156" s="88" t="s">
        <v>140</v>
      </c>
      <c r="K156" s="221">
        <v>0</v>
      </c>
      <c r="L156" s="221">
        <v>0</v>
      </c>
      <c r="M156" s="221">
        <v>-367.26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-367.26</v>
      </c>
      <c r="X156" s="221">
        <v>-367.26</v>
      </c>
    </row>
    <row r="157" spans="1:24" hidden="1" outlineLevel="2" x14ac:dyDescent="0.2">
      <c r="A157" s="88" t="s">
        <v>169</v>
      </c>
      <c r="B157" s="88" t="s">
        <v>211</v>
      </c>
      <c r="C157" s="88" t="s">
        <v>124</v>
      </c>
      <c r="D157" s="88" t="s">
        <v>212</v>
      </c>
      <c r="E157" s="88" t="s">
        <v>213</v>
      </c>
      <c r="F157" s="88" t="s">
        <v>214</v>
      </c>
      <c r="G157" s="88" t="s">
        <v>215</v>
      </c>
      <c r="H157" s="88" t="s">
        <v>247</v>
      </c>
      <c r="I157" s="88" t="s">
        <v>248</v>
      </c>
      <c r="J157" s="88" t="s">
        <v>140</v>
      </c>
      <c r="K157" s="221">
        <v>0</v>
      </c>
      <c r="L157" s="221">
        <v>0</v>
      </c>
      <c r="M157" s="221">
        <v>0</v>
      </c>
      <c r="N157" s="221">
        <v>-287.88</v>
      </c>
      <c r="O157" s="221">
        <v>0</v>
      </c>
      <c r="P157" s="221">
        <v>0</v>
      </c>
      <c r="Q157" s="221">
        <v>0</v>
      </c>
      <c r="R157" s="221">
        <v>0</v>
      </c>
      <c r="S157" s="221">
        <v>0</v>
      </c>
      <c r="T157" s="221">
        <v>0</v>
      </c>
      <c r="U157" s="221">
        <v>0</v>
      </c>
      <c r="V157" s="221">
        <v>0</v>
      </c>
      <c r="W157" s="221">
        <v>-287.88</v>
      </c>
      <c r="X157" s="221">
        <v>-287.88</v>
      </c>
    </row>
    <row r="158" spans="1:24" hidden="1" outlineLevel="2" x14ac:dyDescent="0.2">
      <c r="A158" s="88" t="s">
        <v>169</v>
      </c>
      <c r="B158" s="88" t="s">
        <v>211</v>
      </c>
      <c r="C158" s="88" t="s">
        <v>124</v>
      </c>
      <c r="D158" s="88" t="s">
        <v>212</v>
      </c>
      <c r="E158" s="88" t="s">
        <v>213</v>
      </c>
      <c r="F158" s="88" t="s">
        <v>214</v>
      </c>
      <c r="G158" s="88" t="s">
        <v>215</v>
      </c>
      <c r="H158" s="88" t="s">
        <v>247</v>
      </c>
      <c r="I158" s="88" t="s">
        <v>248</v>
      </c>
      <c r="J158" s="88" t="s">
        <v>140</v>
      </c>
      <c r="K158" s="221">
        <v>0</v>
      </c>
      <c r="L158" s="221">
        <v>0</v>
      </c>
      <c r="M158" s="221">
        <v>367.26</v>
      </c>
      <c r="N158" s="221">
        <v>0</v>
      </c>
      <c r="O158" s="221">
        <v>0</v>
      </c>
      <c r="P158" s="221">
        <v>0</v>
      </c>
      <c r="Q158" s="221">
        <v>0</v>
      </c>
      <c r="R158" s="221">
        <v>0</v>
      </c>
      <c r="S158" s="221">
        <v>0</v>
      </c>
      <c r="T158" s="221">
        <v>0</v>
      </c>
      <c r="U158" s="221">
        <v>0</v>
      </c>
      <c r="V158" s="221">
        <v>0</v>
      </c>
      <c r="W158" s="221">
        <v>367.26</v>
      </c>
      <c r="X158" s="221">
        <v>367.26</v>
      </c>
    </row>
    <row r="159" spans="1:24" hidden="1" outlineLevel="2" x14ac:dyDescent="0.2">
      <c r="A159" s="88" t="s">
        <v>169</v>
      </c>
      <c r="B159" s="88" t="s">
        <v>211</v>
      </c>
      <c r="C159" s="88" t="s">
        <v>124</v>
      </c>
      <c r="D159" s="88" t="s">
        <v>212</v>
      </c>
      <c r="E159" s="88" t="s">
        <v>213</v>
      </c>
      <c r="F159" s="88" t="s">
        <v>214</v>
      </c>
      <c r="G159" s="88" t="s">
        <v>215</v>
      </c>
      <c r="H159" s="88" t="s">
        <v>247</v>
      </c>
      <c r="I159" s="88" t="s">
        <v>248</v>
      </c>
      <c r="J159" s="88" t="s">
        <v>140</v>
      </c>
      <c r="K159" s="221">
        <v>0</v>
      </c>
      <c r="L159" s="221">
        <v>0</v>
      </c>
      <c r="M159" s="221">
        <v>0</v>
      </c>
      <c r="N159" s="221">
        <v>498.02</v>
      </c>
      <c r="O159" s="221">
        <v>0</v>
      </c>
      <c r="P159" s="221">
        <v>0</v>
      </c>
      <c r="Q159" s="221">
        <v>0</v>
      </c>
      <c r="R159" s="221">
        <v>0</v>
      </c>
      <c r="S159" s="221">
        <v>0</v>
      </c>
      <c r="T159" s="221">
        <v>0</v>
      </c>
      <c r="U159" s="221">
        <v>0</v>
      </c>
      <c r="V159" s="221">
        <v>0</v>
      </c>
      <c r="W159" s="221">
        <v>498.02</v>
      </c>
      <c r="X159" s="221">
        <v>498.02</v>
      </c>
    </row>
    <row r="160" spans="1:24" outlineLevel="2" x14ac:dyDescent="0.2">
      <c r="A160" s="88" t="s">
        <v>169</v>
      </c>
      <c r="B160" s="88" t="s">
        <v>211</v>
      </c>
      <c r="C160" s="88" t="s">
        <v>124</v>
      </c>
      <c r="D160" s="88" t="s">
        <v>212</v>
      </c>
      <c r="E160" s="88" t="s">
        <v>213</v>
      </c>
      <c r="F160" s="88" t="s">
        <v>214</v>
      </c>
      <c r="G160" s="88" t="s">
        <v>215</v>
      </c>
      <c r="H160" s="88" t="s">
        <v>247</v>
      </c>
      <c r="I160" s="88" t="s">
        <v>248</v>
      </c>
      <c r="J160" s="88" t="s">
        <v>140</v>
      </c>
      <c r="K160" s="221">
        <v>0</v>
      </c>
      <c r="L160" s="221">
        <v>0</v>
      </c>
      <c r="M160" s="221">
        <v>0</v>
      </c>
      <c r="N160" s="221">
        <v>0</v>
      </c>
      <c r="O160" s="221">
        <v>0</v>
      </c>
      <c r="P160" s="221">
        <v>2958</v>
      </c>
      <c r="Q160" s="221">
        <v>0</v>
      </c>
      <c r="R160" s="221">
        <v>0</v>
      </c>
      <c r="S160" s="221">
        <v>0</v>
      </c>
      <c r="T160" s="221">
        <v>0</v>
      </c>
      <c r="U160" s="221">
        <v>0</v>
      </c>
      <c r="V160" s="221">
        <v>0</v>
      </c>
      <c r="W160" s="221">
        <v>2958</v>
      </c>
      <c r="X160" s="221">
        <v>2958</v>
      </c>
    </row>
    <row r="161" spans="1:24" outlineLevel="2" x14ac:dyDescent="0.2">
      <c r="A161" s="88" t="s">
        <v>169</v>
      </c>
      <c r="B161" s="88" t="s">
        <v>211</v>
      </c>
      <c r="C161" s="88" t="s">
        <v>124</v>
      </c>
      <c r="D161" s="88" t="s">
        <v>212</v>
      </c>
      <c r="E161" s="88" t="s">
        <v>213</v>
      </c>
      <c r="F161" s="88" t="s">
        <v>214</v>
      </c>
      <c r="G161" s="88" t="s">
        <v>215</v>
      </c>
      <c r="H161" s="88" t="s">
        <v>247</v>
      </c>
      <c r="I161" s="88" t="s">
        <v>248</v>
      </c>
      <c r="J161" s="88" t="s">
        <v>140</v>
      </c>
      <c r="K161" s="221">
        <v>0</v>
      </c>
      <c r="L161" s="221">
        <v>0</v>
      </c>
      <c r="M161" s="221">
        <v>0</v>
      </c>
      <c r="N161" s="221">
        <v>0</v>
      </c>
      <c r="O161" s="221">
        <v>0</v>
      </c>
      <c r="P161" s="221">
        <v>3305.38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3305.38</v>
      </c>
      <c r="X161" s="221">
        <v>3305.38</v>
      </c>
    </row>
    <row r="162" spans="1:24" outlineLevel="2" x14ac:dyDescent="0.2">
      <c r="A162" s="88" t="s">
        <v>169</v>
      </c>
      <c r="B162" s="88" t="s">
        <v>211</v>
      </c>
      <c r="C162" s="88" t="s">
        <v>124</v>
      </c>
      <c r="D162" s="88" t="s">
        <v>212</v>
      </c>
      <c r="E162" s="88" t="s">
        <v>213</v>
      </c>
      <c r="F162" s="88" t="s">
        <v>214</v>
      </c>
      <c r="G162" s="88" t="s">
        <v>215</v>
      </c>
      <c r="H162" s="88" t="s">
        <v>247</v>
      </c>
      <c r="I162" s="88" t="s">
        <v>248</v>
      </c>
      <c r="J162" s="88" t="s">
        <v>140</v>
      </c>
      <c r="K162" s="221">
        <v>0</v>
      </c>
      <c r="L162" s="221">
        <v>0</v>
      </c>
      <c r="M162" s="221">
        <v>0</v>
      </c>
      <c r="N162" s="221">
        <v>0</v>
      </c>
      <c r="O162" s="221">
        <v>0</v>
      </c>
      <c r="P162" s="221">
        <v>3305.38</v>
      </c>
      <c r="Q162" s="221">
        <v>0</v>
      </c>
      <c r="R162" s="221">
        <v>0</v>
      </c>
      <c r="S162" s="221">
        <v>0</v>
      </c>
      <c r="T162" s="221">
        <v>0</v>
      </c>
      <c r="U162" s="221">
        <v>0</v>
      </c>
      <c r="V162" s="221">
        <v>0</v>
      </c>
      <c r="W162" s="221">
        <v>3305.38</v>
      </c>
      <c r="X162" s="221">
        <v>3305.38</v>
      </c>
    </row>
    <row r="163" spans="1:24" outlineLevel="2" x14ac:dyDescent="0.2">
      <c r="A163" s="88" t="s">
        <v>169</v>
      </c>
      <c r="B163" s="88" t="s">
        <v>211</v>
      </c>
      <c r="C163" s="88" t="s">
        <v>124</v>
      </c>
      <c r="D163" s="88" t="s">
        <v>212</v>
      </c>
      <c r="E163" s="88" t="s">
        <v>213</v>
      </c>
      <c r="F163" s="88" t="s">
        <v>214</v>
      </c>
      <c r="G163" s="88" t="s">
        <v>215</v>
      </c>
      <c r="H163" s="88" t="s">
        <v>247</v>
      </c>
      <c r="I163" s="88" t="s">
        <v>248</v>
      </c>
      <c r="J163" s="88" t="s">
        <v>140</v>
      </c>
      <c r="K163" s="221">
        <v>0</v>
      </c>
      <c r="L163" s="221">
        <v>0</v>
      </c>
      <c r="M163" s="221">
        <v>0</v>
      </c>
      <c r="N163" s="221">
        <v>0</v>
      </c>
      <c r="O163" s="221">
        <v>0</v>
      </c>
      <c r="P163" s="221">
        <v>20000</v>
      </c>
      <c r="Q163" s="221">
        <v>0</v>
      </c>
      <c r="R163" s="221">
        <v>0</v>
      </c>
      <c r="S163" s="221">
        <v>0</v>
      </c>
      <c r="T163" s="221">
        <v>0</v>
      </c>
      <c r="U163" s="221">
        <v>0</v>
      </c>
      <c r="V163" s="221">
        <v>0</v>
      </c>
      <c r="W163" s="221">
        <v>20000</v>
      </c>
      <c r="X163" s="221">
        <v>20000</v>
      </c>
    </row>
    <row r="164" spans="1:24" outlineLevel="1" x14ac:dyDescent="0.2">
      <c r="A164" s="256" t="s">
        <v>295</v>
      </c>
      <c r="P164" s="221">
        <f>SUBTOTAL(9,P126:P163)</f>
        <v>29568.760000000002</v>
      </c>
      <c r="X164" s="221">
        <f>SUBTOTAL(9,X126:X163)</f>
        <v>91597.010000000009</v>
      </c>
    </row>
    <row r="165" spans="1:24" hidden="1" outlineLevel="2" x14ac:dyDescent="0.2">
      <c r="A165" s="88" t="s">
        <v>171</v>
      </c>
      <c r="B165" s="88" t="s">
        <v>211</v>
      </c>
      <c r="C165" s="88" t="s">
        <v>124</v>
      </c>
      <c r="D165" s="88" t="s">
        <v>212</v>
      </c>
      <c r="E165" s="88" t="s">
        <v>213</v>
      </c>
      <c r="F165" s="88" t="s">
        <v>214</v>
      </c>
      <c r="G165" s="88" t="s">
        <v>215</v>
      </c>
      <c r="H165" s="88" t="s">
        <v>249</v>
      </c>
      <c r="I165" s="88" t="s">
        <v>250</v>
      </c>
      <c r="J165" s="88" t="s">
        <v>140</v>
      </c>
      <c r="K165" s="221">
        <v>0</v>
      </c>
      <c r="L165" s="221">
        <v>-50</v>
      </c>
      <c r="M165" s="221">
        <v>0</v>
      </c>
      <c r="N165" s="221">
        <v>0</v>
      </c>
      <c r="O165" s="221">
        <v>0</v>
      </c>
      <c r="P165" s="221">
        <v>0</v>
      </c>
      <c r="Q165" s="221">
        <v>0</v>
      </c>
      <c r="R165" s="221">
        <v>0</v>
      </c>
      <c r="S165" s="221">
        <v>0</v>
      </c>
      <c r="T165" s="221">
        <v>0</v>
      </c>
      <c r="U165" s="221">
        <v>0</v>
      </c>
      <c r="V165" s="221">
        <v>0</v>
      </c>
      <c r="W165" s="221">
        <v>-50</v>
      </c>
      <c r="X165" s="221">
        <v>-50</v>
      </c>
    </row>
    <row r="166" spans="1:24" hidden="1" outlineLevel="2" x14ac:dyDescent="0.2">
      <c r="A166" s="88" t="s">
        <v>171</v>
      </c>
      <c r="B166" s="88" t="s">
        <v>211</v>
      </c>
      <c r="C166" s="88" t="s">
        <v>124</v>
      </c>
      <c r="D166" s="88" t="s">
        <v>212</v>
      </c>
      <c r="E166" s="88" t="s">
        <v>213</v>
      </c>
      <c r="F166" s="88" t="s">
        <v>214</v>
      </c>
      <c r="G166" s="88" t="s">
        <v>215</v>
      </c>
      <c r="H166" s="88" t="s">
        <v>249</v>
      </c>
      <c r="I166" s="88" t="s">
        <v>250</v>
      </c>
      <c r="J166" s="88" t="s">
        <v>140</v>
      </c>
      <c r="K166" s="221">
        <v>0</v>
      </c>
      <c r="L166" s="221">
        <v>0</v>
      </c>
      <c r="M166" s="221">
        <v>0</v>
      </c>
      <c r="N166" s="221">
        <v>50</v>
      </c>
      <c r="O166" s="221">
        <v>0</v>
      </c>
      <c r="P166" s="221">
        <v>0</v>
      </c>
      <c r="Q166" s="221">
        <v>0</v>
      </c>
      <c r="R166" s="221">
        <v>0</v>
      </c>
      <c r="S166" s="221">
        <v>0</v>
      </c>
      <c r="T166" s="221">
        <v>0</v>
      </c>
      <c r="U166" s="221">
        <v>0</v>
      </c>
      <c r="V166" s="221">
        <v>0</v>
      </c>
      <c r="W166" s="221">
        <v>50</v>
      </c>
      <c r="X166" s="221">
        <v>50</v>
      </c>
    </row>
    <row r="167" spans="1:24" hidden="1" outlineLevel="2" x14ac:dyDescent="0.2">
      <c r="A167" s="88" t="s">
        <v>171</v>
      </c>
      <c r="B167" s="88" t="s">
        <v>211</v>
      </c>
      <c r="C167" s="88" t="s">
        <v>124</v>
      </c>
      <c r="D167" s="88" t="s">
        <v>212</v>
      </c>
      <c r="E167" s="88" t="s">
        <v>213</v>
      </c>
      <c r="F167" s="88" t="s">
        <v>214</v>
      </c>
      <c r="G167" s="88" t="s">
        <v>215</v>
      </c>
      <c r="H167" s="88" t="s">
        <v>251</v>
      </c>
      <c r="I167" s="88" t="s">
        <v>252</v>
      </c>
      <c r="J167" s="88" t="s">
        <v>253</v>
      </c>
      <c r="K167" s="221">
        <v>0</v>
      </c>
      <c r="L167" s="221">
        <v>0</v>
      </c>
      <c r="M167" s="221">
        <v>0</v>
      </c>
      <c r="N167" s="221">
        <v>250</v>
      </c>
      <c r="O167" s="221">
        <v>0</v>
      </c>
      <c r="P167" s="221">
        <v>0</v>
      </c>
      <c r="Q167" s="221">
        <v>0</v>
      </c>
      <c r="R167" s="221">
        <v>0</v>
      </c>
      <c r="S167" s="221">
        <v>0</v>
      </c>
      <c r="T167" s="221">
        <v>0</v>
      </c>
      <c r="U167" s="221">
        <v>0</v>
      </c>
      <c r="V167" s="221">
        <v>0</v>
      </c>
      <c r="W167" s="221">
        <v>250</v>
      </c>
      <c r="X167" s="221">
        <v>250</v>
      </c>
    </row>
    <row r="168" spans="1:24" hidden="1" outlineLevel="2" x14ac:dyDescent="0.2">
      <c r="A168" s="88" t="s">
        <v>171</v>
      </c>
      <c r="B168" s="88" t="s">
        <v>211</v>
      </c>
      <c r="C168" s="88" t="s">
        <v>124</v>
      </c>
      <c r="D168" s="88" t="s">
        <v>212</v>
      </c>
      <c r="E168" s="88" t="s">
        <v>213</v>
      </c>
      <c r="F168" s="88" t="s">
        <v>214</v>
      </c>
      <c r="G168" s="88" t="s">
        <v>215</v>
      </c>
      <c r="H168" s="88" t="s">
        <v>254</v>
      </c>
      <c r="I168" s="88" t="s">
        <v>255</v>
      </c>
      <c r="J168" s="88" t="s">
        <v>244</v>
      </c>
      <c r="K168" s="221">
        <v>145.72999999999999</v>
      </c>
      <c r="L168" s="221">
        <v>0</v>
      </c>
      <c r="M168" s="221">
        <v>0</v>
      </c>
      <c r="N168" s="221">
        <v>0</v>
      </c>
      <c r="O168" s="221">
        <v>0</v>
      </c>
      <c r="P168" s="221">
        <v>0</v>
      </c>
      <c r="Q168" s="221">
        <v>0</v>
      </c>
      <c r="R168" s="221">
        <v>0</v>
      </c>
      <c r="S168" s="221">
        <v>0</v>
      </c>
      <c r="T168" s="221">
        <v>0</v>
      </c>
      <c r="U168" s="221">
        <v>0</v>
      </c>
      <c r="V168" s="221">
        <v>0</v>
      </c>
      <c r="W168" s="221">
        <v>145.72999999999999</v>
      </c>
      <c r="X168" s="221">
        <v>145.72999999999999</v>
      </c>
    </row>
    <row r="169" spans="1:24" hidden="1" outlineLevel="2" x14ac:dyDescent="0.2">
      <c r="A169" s="88" t="s">
        <v>171</v>
      </c>
      <c r="B169" s="88" t="s">
        <v>211</v>
      </c>
      <c r="C169" s="88" t="s">
        <v>124</v>
      </c>
      <c r="D169" s="88" t="s">
        <v>212</v>
      </c>
      <c r="E169" s="88" t="s">
        <v>213</v>
      </c>
      <c r="F169" s="88" t="s">
        <v>214</v>
      </c>
      <c r="G169" s="88" t="s">
        <v>215</v>
      </c>
      <c r="H169" s="88" t="s">
        <v>256</v>
      </c>
      <c r="I169" s="88" t="s">
        <v>257</v>
      </c>
      <c r="J169" s="88" t="s">
        <v>140</v>
      </c>
      <c r="K169" s="221">
        <v>0</v>
      </c>
      <c r="L169" s="221">
        <v>-193.35</v>
      </c>
      <c r="M169" s="221">
        <v>0</v>
      </c>
      <c r="N169" s="221">
        <v>0</v>
      </c>
      <c r="O169" s="221">
        <v>0</v>
      </c>
      <c r="P169" s="221">
        <v>0</v>
      </c>
      <c r="Q169" s="221">
        <v>0</v>
      </c>
      <c r="R169" s="221">
        <v>0</v>
      </c>
      <c r="S169" s="221">
        <v>0</v>
      </c>
      <c r="T169" s="221">
        <v>0</v>
      </c>
      <c r="U169" s="221">
        <v>0</v>
      </c>
      <c r="V169" s="221">
        <v>0</v>
      </c>
      <c r="W169" s="221">
        <v>-193.35</v>
      </c>
      <c r="X169" s="221">
        <v>-193.35</v>
      </c>
    </row>
    <row r="170" spans="1:24" hidden="1" outlineLevel="2" x14ac:dyDescent="0.2">
      <c r="A170" s="88" t="s">
        <v>171</v>
      </c>
      <c r="B170" s="88" t="s">
        <v>211</v>
      </c>
      <c r="C170" s="88" t="s">
        <v>124</v>
      </c>
      <c r="D170" s="88" t="s">
        <v>212</v>
      </c>
      <c r="E170" s="88" t="s">
        <v>213</v>
      </c>
      <c r="F170" s="88" t="s">
        <v>214</v>
      </c>
      <c r="G170" s="88" t="s">
        <v>215</v>
      </c>
      <c r="H170" s="88" t="s">
        <v>256</v>
      </c>
      <c r="I170" s="88" t="s">
        <v>257</v>
      </c>
      <c r="J170" s="88" t="s">
        <v>244</v>
      </c>
      <c r="K170" s="221">
        <v>1332.61</v>
      </c>
      <c r="L170" s="221">
        <v>0</v>
      </c>
      <c r="M170" s="221">
        <v>0</v>
      </c>
      <c r="N170" s="221">
        <v>0</v>
      </c>
      <c r="O170" s="221">
        <v>0</v>
      </c>
      <c r="P170" s="221">
        <v>0</v>
      </c>
      <c r="Q170" s="221">
        <v>0</v>
      </c>
      <c r="R170" s="221">
        <v>0</v>
      </c>
      <c r="S170" s="221">
        <v>0</v>
      </c>
      <c r="T170" s="221">
        <v>0</v>
      </c>
      <c r="U170" s="221">
        <v>0</v>
      </c>
      <c r="V170" s="221">
        <v>0</v>
      </c>
      <c r="W170" s="221">
        <v>1332.61</v>
      </c>
      <c r="X170" s="221">
        <v>1332.61</v>
      </c>
    </row>
    <row r="171" spans="1:24" hidden="1" outlineLevel="2" x14ac:dyDescent="0.2">
      <c r="A171" s="88" t="s">
        <v>171</v>
      </c>
      <c r="B171" s="88" t="s">
        <v>211</v>
      </c>
      <c r="C171" s="88" t="s">
        <v>124</v>
      </c>
      <c r="D171" s="88" t="s">
        <v>212</v>
      </c>
      <c r="E171" s="88" t="s">
        <v>213</v>
      </c>
      <c r="F171" s="88" t="s">
        <v>214</v>
      </c>
      <c r="G171" s="88" t="s">
        <v>215</v>
      </c>
      <c r="H171" s="88" t="s">
        <v>256</v>
      </c>
      <c r="I171" s="88" t="s">
        <v>257</v>
      </c>
      <c r="J171" s="88" t="s">
        <v>140</v>
      </c>
      <c r="K171" s="221">
        <v>0</v>
      </c>
      <c r="L171" s="221">
        <v>0</v>
      </c>
      <c r="M171" s="221">
        <v>0</v>
      </c>
      <c r="N171" s="221">
        <v>193.35</v>
      </c>
      <c r="O171" s="221">
        <v>0</v>
      </c>
      <c r="P171" s="221">
        <v>0</v>
      </c>
      <c r="Q171" s="221">
        <v>0</v>
      </c>
      <c r="R171" s="221">
        <v>0</v>
      </c>
      <c r="S171" s="221">
        <v>0</v>
      </c>
      <c r="T171" s="221">
        <v>0</v>
      </c>
      <c r="U171" s="221">
        <v>0</v>
      </c>
      <c r="V171" s="221">
        <v>0</v>
      </c>
      <c r="W171" s="221">
        <v>193.35</v>
      </c>
      <c r="X171" s="221">
        <v>193.35</v>
      </c>
    </row>
    <row r="172" spans="1:24" hidden="1" outlineLevel="2" x14ac:dyDescent="0.2">
      <c r="A172" s="88" t="s">
        <v>171</v>
      </c>
      <c r="B172" s="88" t="s">
        <v>211</v>
      </c>
      <c r="C172" s="88" t="s">
        <v>124</v>
      </c>
      <c r="D172" s="88" t="s">
        <v>212</v>
      </c>
      <c r="E172" s="88" t="s">
        <v>213</v>
      </c>
      <c r="F172" s="88" t="s">
        <v>214</v>
      </c>
      <c r="G172" s="88" t="s">
        <v>215</v>
      </c>
      <c r="H172" s="88" t="s">
        <v>258</v>
      </c>
      <c r="I172" s="88" t="s">
        <v>259</v>
      </c>
      <c r="J172" s="88" t="s">
        <v>244</v>
      </c>
      <c r="K172" s="221">
        <v>225</v>
      </c>
      <c r="L172" s="221">
        <v>0</v>
      </c>
      <c r="M172" s="221">
        <v>0</v>
      </c>
      <c r="N172" s="221">
        <v>0</v>
      </c>
      <c r="O172" s="221">
        <v>0</v>
      </c>
      <c r="P172" s="221">
        <v>0</v>
      </c>
      <c r="Q172" s="221">
        <v>0</v>
      </c>
      <c r="R172" s="221">
        <v>0</v>
      </c>
      <c r="S172" s="221">
        <v>0</v>
      </c>
      <c r="T172" s="221">
        <v>0</v>
      </c>
      <c r="U172" s="221">
        <v>0</v>
      </c>
      <c r="V172" s="221">
        <v>0</v>
      </c>
      <c r="W172" s="221">
        <v>225</v>
      </c>
      <c r="X172" s="221">
        <v>225</v>
      </c>
    </row>
    <row r="173" spans="1:24" hidden="1" outlineLevel="2" x14ac:dyDescent="0.2">
      <c r="A173" s="88" t="s">
        <v>171</v>
      </c>
      <c r="B173" s="88" t="s">
        <v>211</v>
      </c>
      <c r="C173" s="88" t="s">
        <v>124</v>
      </c>
      <c r="D173" s="88" t="s">
        <v>212</v>
      </c>
      <c r="E173" s="88" t="s">
        <v>213</v>
      </c>
      <c r="F173" s="88" t="s">
        <v>214</v>
      </c>
      <c r="G173" s="88" t="s">
        <v>215</v>
      </c>
      <c r="H173" s="88" t="s">
        <v>258</v>
      </c>
      <c r="I173" s="88" t="s">
        <v>259</v>
      </c>
      <c r="J173" s="88" t="s">
        <v>260</v>
      </c>
      <c r="K173" s="221">
        <v>0</v>
      </c>
      <c r="L173" s="221">
        <v>0</v>
      </c>
      <c r="M173" s="221">
        <v>0</v>
      </c>
      <c r="N173" s="221">
        <v>200</v>
      </c>
      <c r="O173" s="221">
        <v>0</v>
      </c>
      <c r="P173" s="221">
        <v>0</v>
      </c>
      <c r="Q173" s="221">
        <v>0</v>
      </c>
      <c r="R173" s="221">
        <v>0</v>
      </c>
      <c r="S173" s="221">
        <v>0</v>
      </c>
      <c r="T173" s="221">
        <v>0</v>
      </c>
      <c r="U173" s="221">
        <v>0</v>
      </c>
      <c r="V173" s="221">
        <v>0</v>
      </c>
      <c r="W173" s="221">
        <v>200</v>
      </c>
      <c r="X173" s="221">
        <v>200</v>
      </c>
    </row>
    <row r="174" spans="1:24" hidden="1" outlineLevel="2" x14ac:dyDescent="0.2">
      <c r="A174" s="88" t="s">
        <v>171</v>
      </c>
      <c r="B174" s="88" t="s">
        <v>211</v>
      </c>
      <c r="C174" s="88" t="s">
        <v>124</v>
      </c>
      <c r="D174" s="88" t="s">
        <v>212</v>
      </c>
      <c r="E174" s="88" t="s">
        <v>213</v>
      </c>
      <c r="F174" s="88" t="s">
        <v>214</v>
      </c>
      <c r="G174" s="88" t="s">
        <v>215</v>
      </c>
      <c r="H174" s="88" t="s">
        <v>258</v>
      </c>
      <c r="I174" s="88" t="s">
        <v>259</v>
      </c>
      <c r="J174" s="88" t="s">
        <v>140</v>
      </c>
      <c r="K174" s="221">
        <v>0</v>
      </c>
      <c r="L174" s="221">
        <v>75</v>
      </c>
      <c r="M174" s="221">
        <v>0</v>
      </c>
      <c r="N174" s="221">
        <v>0</v>
      </c>
      <c r="O174" s="221">
        <v>0</v>
      </c>
      <c r="P174" s="221">
        <v>0</v>
      </c>
      <c r="Q174" s="221">
        <v>0</v>
      </c>
      <c r="R174" s="221">
        <v>0</v>
      </c>
      <c r="S174" s="221">
        <v>0</v>
      </c>
      <c r="T174" s="221">
        <v>0</v>
      </c>
      <c r="U174" s="221">
        <v>0</v>
      </c>
      <c r="V174" s="221">
        <v>0</v>
      </c>
      <c r="W174" s="221">
        <v>75</v>
      </c>
      <c r="X174" s="221">
        <v>75</v>
      </c>
    </row>
    <row r="175" spans="1:24" hidden="1" outlineLevel="2" x14ac:dyDescent="0.2">
      <c r="A175" s="88" t="s">
        <v>171</v>
      </c>
      <c r="B175" s="88" t="s">
        <v>211</v>
      </c>
      <c r="C175" s="88" t="s">
        <v>124</v>
      </c>
      <c r="D175" s="88" t="s">
        <v>212</v>
      </c>
      <c r="E175" s="88" t="s">
        <v>213</v>
      </c>
      <c r="F175" s="88" t="s">
        <v>214</v>
      </c>
      <c r="G175" s="88" t="s">
        <v>215</v>
      </c>
      <c r="H175" s="88" t="s">
        <v>261</v>
      </c>
      <c r="I175" s="88" t="s">
        <v>262</v>
      </c>
      <c r="J175" s="88" t="s">
        <v>263</v>
      </c>
      <c r="K175" s="221">
        <v>177.74</v>
      </c>
      <c r="L175" s="221">
        <v>0</v>
      </c>
      <c r="M175" s="221">
        <v>0</v>
      </c>
      <c r="N175" s="221">
        <v>0</v>
      </c>
      <c r="O175" s="221">
        <v>0</v>
      </c>
      <c r="P175" s="221">
        <v>0</v>
      </c>
      <c r="Q175" s="221">
        <v>0</v>
      </c>
      <c r="R175" s="221">
        <v>0</v>
      </c>
      <c r="S175" s="221">
        <v>0</v>
      </c>
      <c r="T175" s="221">
        <v>0</v>
      </c>
      <c r="U175" s="221">
        <v>0</v>
      </c>
      <c r="V175" s="221">
        <v>0</v>
      </c>
      <c r="W175" s="221">
        <v>177.74</v>
      </c>
      <c r="X175" s="221">
        <v>177.74</v>
      </c>
    </row>
    <row r="176" spans="1:24" hidden="1" outlineLevel="2" x14ac:dyDescent="0.2">
      <c r="A176" s="88" t="s">
        <v>171</v>
      </c>
      <c r="B176" s="88" t="s">
        <v>211</v>
      </c>
      <c r="C176" s="88" t="s">
        <v>124</v>
      </c>
      <c r="D176" s="88" t="s">
        <v>212</v>
      </c>
      <c r="E176" s="88" t="s">
        <v>213</v>
      </c>
      <c r="F176" s="88" t="s">
        <v>214</v>
      </c>
      <c r="G176" s="88" t="s">
        <v>215</v>
      </c>
      <c r="H176" s="88" t="s">
        <v>261</v>
      </c>
      <c r="I176" s="88" t="s">
        <v>262</v>
      </c>
      <c r="J176" s="88" t="s">
        <v>140</v>
      </c>
      <c r="K176" s="221">
        <v>0</v>
      </c>
      <c r="L176" s="221">
        <v>-430.12</v>
      </c>
      <c r="M176" s="221">
        <v>0</v>
      </c>
      <c r="N176" s="221">
        <v>0</v>
      </c>
      <c r="O176" s="221">
        <v>0</v>
      </c>
      <c r="P176" s="221">
        <v>0</v>
      </c>
      <c r="Q176" s="221">
        <v>0</v>
      </c>
      <c r="R176" s="221">
        <v>0</v>
      </c>
      <c r="S176" s="221">
        <v>0</v>
      </c>
      <c r="T176" s="221">
        <v>0</v>
      </c>
      <c r="U176" s="221">
        <v>0</v>
      </c>
      <c r="V176" s="221">
        <v>0</v>
      </c>
      <c r="W176" s="221">
        <v>-430.12</v>
      </c>
      <c r="X176" s="221">
        <v>-430.12</v>
      </c>
    </row>
    <row r="177" spans="1:24" hidden="1" outlineLevel="2" x14ac:dyDescent="0.2">
      <c r="A177" s="88" t="s">
        <v>171</v>
      </c>
      <c r="B177" s="88" t="s">
        <v>211</v>
      </c>
      <c r="C177" s="88" t="s">
        <v>124</v>
      </c>
      <c r="D177" s="88" t="s">
        <v>212</v>
      </c>
      <c r="E177" s="88" t="s">
        <v>213</v>
      </c>
      <c r="F177" s="88" t="s">
        <v>214</v>
      </c>
      <c r="G177" s="88" t="s">
        <v>215</v>
      </c>
      <c r="H177" s="88" t="s">
        <v>261</v>
      </c>
      <c r="I177" s="88" t="s">
        <v>262</v>
      </c>
      <c r="J177" s="88" t="s">
        <v>140</v>
      </c>
      <c r="K177" s="221">
        <v>0</v>
      </c>
      <c r="L177" s="221">
        <v>0</v>
      </c>
      <c r="M177" s="221">
        <v>0</v>
      </c>
      <c r="N177" s="221">
        <v>430.12</v>
      </c>
      <c r="O177" s="221">
        <v>0</v>
      </c>
      <c r="P177" s="221">
        <v>0</v>
      </c>
      <c r="Q177" s="221">
        <v>0</v>
      </c>
      <c r="R177" s="221">
        <v>0</v>
      </c>
      <c r="S177" s="221">
        <v>0</v>
      </c>
      <c r="T177" s="221">
        <v>0</v>
      </c>
      <c r="U177" s="221">
        <v>0</v>
      </c>
      <c r="V177" s="221">
        <v>0</v>
      </c>
      <c r="W177" s="221">
        <v>430.12</v>
      </c>
      <c r="X177" s="221">
        <v>430.12</v>
      </c>
    </row>
    <row r="178" spans="1:24" hidden="1" outlineLevel="1" x14ac:dyDescent="0.2">
      <c r="A178" s="256" t="s">
        <v>296</v>
      </c>
      <c r="P178" s="221">
        <f>SUBTOTAL(9,P165:P177)</f>
        <v>0</v>
      </c>
      <c r="X178" s="221">
        <f>SUBTOTAL(9,X165:X177)</f>
        <v>2406.08</v>
      </c>
    </row>
    <row r="179" spans="1:24" hidden="1" outlineLevel="2" x14ac:dyDescent="0.2">
      <c r="A179" s="88" t="s">
        <v>205</v>
      </c>
      <c r="B179" s="88" t="s">
        <v>211</v>
      </c>
      <c r="C179" s="88" t="s">
        <v>124</v>
      </c>
      <c r="D179" s="88" t="s">
        <v>212</v>
      </c>
      <c r="E179" s="88" t="s">
        <v>213</v>
      </c>
      <c r="F179" s="88" t="s">
        <v>214</v>
      </c>
      <c r="G179" s="88" t="s">
        <v>215</v>
      </c>
      <c r="H179" s="88" t="s">
        <v>264</v>
      </c>
      <c r="I179" s="88" t="s">
        <v>265</v>
      </c>
      <c r="J179" s="88" t="s">
        <v>266</v>
      </c>
      <c r="K179" s="221">
        <v>0</v>
      </c>
      <c r="L179" s="221">
        <v>171.04</v>
      </c>
      <c r="M179" s="221">
        <v>0</v>
      </c>
      <c r="N179" s="221">
        <v>0</v>
      </c>
      <c r="O179" s="221">
        <v>0</v>
      </c>
      <c r="P179" s="221">
        <v>0</v>
      </c>
      <c r="Q179" s="221">
        <v>0</v>
      </c>
      <c r="R179" s="221">
        <v>0</v>
      </c>
      <c r="S179" s="221">
        <v>0</v>
      </c>
      <c r="T179" s="221">
        <v>0</v>
      </c>
      <c r="U179" s="221">
        <v>0</v>
      </c>
      <c r="V179" s="221">
        <v>0</v>
      </c>
      <c r="W179" s="221">
        <v>171.04</v>
      </c>
      <c r="X179" s="221">
        <v>171.04</v>
      </c>
    </row>
    <row r="180" spans="1:24" hidden="1" outlineLevel="2" x14ac:dyDescent="0.2">
      <c r="A180" s="88" t="s">
        <v>205</v>
      </c>
      <c r="B180" s="88" t="s">
        <v>211</v>
      </c>
      <c r="C180" s="88" t="s">
        <v>124</v>
      </c>
      <c r="D180" s="88" t="s">
        <v>212</v>
      </c>
      <c r="E180" s="88" t="s">
        <v>213</v>
      </c>
      <c r="F180" s="88" t="s">
        <v>214</v>
      </c>
      <c r="G180" s="88" t="s">
        <v>215</v>
      </c>
      <c r="H180" s="88" t="s">
        <v>264</v>
      </c>
      <c r="I180" s="88" t="s">
        <v>265</v>
      </c>
      <c r="J180" s="88" t="s">
        <v>267</v>
      </c>
      <c r="K180" s="221">
        <v>0</v>
      </c>
      <c r="L180" s="221">
        <v>0</v>
      </c>
      <c r="M180" s="221">
        <v>0</v>
      </c>
      <c r="N180" s="221">
        <v>833.54</v>
      </c>
      <c r="O180" s="221">
        <v>0</v>
      </c>
      <c r="P180" s="221">
        <v>0</v>
      </c>
      <c r="Q180" s="221">
        <v>0</v>
      </c>
      <c r="R180" s="221">
        <v>0</v>
      </c>
      <c r="S180" s="221">
        <v>0</v>
      </c>
      <c r="T180" s="221">
        <v>0</v>
      </c>
      <c r="U180" s="221">
        <v>0</v>
      </c>
      <c r="V180" s="221">
        <v>0</v>
      </c>
      <c r="W180" s="221">
        <v>833.54</v>
      </c>
      <c r="X180" s="221">
        <v>833.54</v>
      </c>
    </row>
    <row r="181" spans="1:24" hidden="1" outlineLevel="2" x14ac:dyDescent="0.2">
      <c r="A181" s="88" t="s">
        <v>205</v>
      </c>
      <c r="B181" s="88" t="s">
        <v>211</v>
      </c>
      <c r="C181" s="88" t="s">
        <v>124</v>
      </c>
      <c r="D181" s="88" t="s">
        <v>212</v>
      </c>
      <c r="E181" s="88" t="s">
        <v>213</v>
      </c>
      <c r="F181" s="88" t="s">
        <v>214</v>
      </c>
      <c r="G181" s="88" t="s">
        <v>215</v>
      </c>
      <c r="H181" s="88" t="s">
        <v>264</v>
      </c>
      <c r="I181" s="88" t="s">
        <v>265</v>
      </c>
      <c r="J181" s="88" t="s">
        <v>267</v>
      </c>
      <c r="K181" s="221">
        <v>40.299999999999997</v>
      </c>
      <c r="L181" s="221">
        <v>0</v>
      </c>
      <c r="M181" s="221">
        <v>0</v>
      </c>
      <c r="N181" s="221">
        <v>0</v>
      </c>
      <c r="O181" s="221">
        <v>0</v>
      </c>
      <c r="P181" s="221">
        <v>0</v>
      </c>
      <c r="Q181" s="221">
        <v>0</v>
      </c>
      <c r="R181" s="221">
        <v>0</v>
      </c>
      <c r="S181" s="221">
        <v>0</v>
      </c>
      <c r="T181" s="221">
        <v>0</v>
      </c>
      <c r="U181" s="221">
        <v>0</v>
      </c>
      <c r="V181" s="221">
        <v>0</v>
      </c>
      <c r="W181" s="221">
        <v>40.299999999999997</v>
      </c>
      <c r="X181" s="221">
        <v>40.299999999999997</v>
      </c>
    </row>
    <row r="182" spans="1:24" hidden="1" outlineLevel="2" x14ac:dyDescent="0.2">
      <c r="A182" s="88" t="s">
        <v>205</v>
      </c>
      <c r="B182" s="88" t="s">
        <v>211</v>
      </c>
      <c r="C182" s="88" t="s">
        <v>124</v>
      </c>
      <c r="D182" s="88" t="s">
        <v>212</v>
      </c>
      <c r="E182" s="88" t="s">
        <v>213</v>
      </c>
      <c r="F182" s="88" t="s">
        <v>214</v>
      </c>
      <c r="G182" s="88" t="s">
        <v>215</v>
      </c>
      <c r="H182" s="88" t="s">
        <v>264</v>
      </c>
      <c r="I182" s="88" t="s">
        <v>265</v>
      </c>
      <c r="J182" s="88" t="s">
        <v>267</v>
      </c>
      <c r="K182" s="221">
        <v>0</v>
      </c>
      <c r="L182" s="221">
        <v>0</v>
      </c>
      <c r="M182" s="221">
        <v>0</v>
      </c>
      <c r="N182" s="221">
        <v>0</v>
      </c>
      <c r="O182" s="221">
        <v>1630.36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1630.36</v>
      </c>
      <c r="X182" s="221">
        <v>1630.36</v>
      </c>
    </row>
    <row r="183" spans="1:24" hidden="1" outlineLevel="2" x14ac:dyDescent="0.2">
      <c r="A183" s="88" t="s">
        <v>205</v>
      </c>
      <c r="B183" s="88" t="s">
        <v>211</v>
      </c>
      <c r="C183" s="88" t="s">
        <v>124</v>
      </c>
      <c r="D183" s="88" t="s">
        <v>212</v>
      </c>
      <c r="E183" s="88" t="s">
        <v>213</v>
      </c>
      <c r="F183" s="88" t="s">
        <v>214</v>
      </c>
      <c r="G183" s="88" t="s">
        <v>215</v>
      </c>
      <c r="H183" s="88" t="s">
        <v>264</v>
      </c>
      <c r="I183" s="88" t="s">
        <v>265</v>
      </c>
      <c r="J183" s="88" t="s">
        <v>267</v>
      </c>
      <c r="K183" s="221">
        <v>0</v>
      </c>
      <c r="L183" s="221">
        <v>130</v>
      </c>
      <c r="M183" s="221">
        <v>0</v>
      </c>
      <c r="N183" s="221">
        <v>0</v>
      </c>
      <c r="O183" s="221">
        <v>0</v>
      </c>
      <c r="P183" s="221">
        <v>0</v>
      </c>
      <c r="Q183" s="221">
        <v>0</v>
      </c>
      <c r="R183" s="221">
        <v>0</v>
      </c>
      <c r="S183" s="221">
        <v>0</v>
      </c>
      <c r="T183" s="221">
        <v>0</v>
      </c>
      <c r="U183" s="221">
        <v>0</v>
      </c>
      <c r="V183" s="221">
        <v>0</v>
      </c>
      <c r="W183" s="221">
        <v>130</v>
      </c>
      <c r="X183" s="221">
        <v>130</v>
      </c>
    </row>
    <row r="184" spans="1:24" hidden="1" outlineLevel="2" x14ac:dyDescent="0.2">
      <c r="A184" s="88" t="s">
        <v>205</v>
      </c>
      <c r="B184" s="88" t="s">
        <v>211</v>
      </c>
      <c r="C184" s="88" t="s">
        <v>124</v>
      </c>
      <c r="D184" s="88" t="s">
        <v>212</v>
      </c>
      <c r="E184" s="88" t="s">
        <v>213</v>
      </c>
      <c r="F184" s="88" t="s">
        <v>214</v>
      </c>
      <c r="G184" s="88" t="s">
        <v>215</v>
      </c>
      <c r="H184" s="88" t="s">
        <v>264</v>
      </c>
      <c r="I184" s="88" t="s">
        <v>265</v>
      </c>
      <c r="J184" s="88" t="s">
        <v>267</v>
      </c>
      <c r="K184" s="221">
        <v>0</v>
      </c>
      <c r="L184" s="221">
        <v>0</v>
      </c>
      <c r="M184" s="221">
        <v>386.83</v>
      </c>
      <c r="N184" s="221">
        <v>0</v>
      </c>
      <c r="O184" s="221">
        <v>0</v>
      </c>
      <c r="P184" s="221">
        <v>0</v>
      </c>
      <c r="Q184" s="221">
        <v>0</v>
      </c>
      <c r="R184" s="221">
        <v>0</v>
      </c>
      <c r="S184" s="221">
        <v>0</v>
      </c>
      <c r="T184" s="221">
        <v>0</v>
      </c>
      <c r="U184" s="221">
        <v>0</v>
      </c>
      <c r="V184" s="221">
        <v>0</v>
      </c>
      <c r="W184" s="221">
        <v>386.83</v>
      </c>
      <c r="X184" s="221">
        <v>386.83</v>
      </c>
    </row>
    <row r="185" spans="1:24" hidden="1" outlineLevel="2" x14ac:dyDescent="0.2">
      <c r="A185" s="88" t="s">
        <v>205</v>
      </c>
      <c r="B185" s="88" t="s">
        <v>211</v>
      </c>
      <c r="C185" s="88" t="s">
        <v>124</v>
      </c>
      <c r="D185" s="88" t="s">
        <v>212</v>
      </c>
      <c r="E185" s="88" t="s">
        <v>213</v>
      </c>
      <c r="F185" s="88" t="s">
        <v>214</v>
      </c>
      <c r="G185" s="88" t="s">
        <v>215</v>
      </c>
      <c r="H185" s="88" t="s">
        <v>264</v>
      </c>
      <c r="I185" s="88" t="s">
        <v>265</v>
      </c>
      <c r="J185" s="88" t="s">
        <v>140</v>
      </c>
      <c r="K185" s="221">
        <v>0</v>
      </c>
      <c r="L185" s="221">
        <v>0</v>
      </c>
      <c r="M185" s="221">
        <v>0</v>
      </c>
      <c r="N185" s="221">
        <v>724.89</v>
      </c>
      <c r="O185" s="221">
        <v>0</v>
      </c>
      <c r="P185" s="221">
        <v>0</v>
      </c>
      <c r="Q185" s="221">
        <v>0</v>
      </c>
      <c r="R185" s="221">
        <v>0</v>
      </c>
      <c r="S185" s="221">
        <v>0</v>
      </c>
      <c r="T185" s="221">
        <v>0</v>
      </c>
      <c r="U185" s="221">
        <v>0</v>
      </c>
      <c r="V185" s="221">
        <v>0</v>
      </c>
      <c r="W185" s="221">
        <v>724.89</v>
      </c>
      <c r="X185" s="221">
        <v>724.89</v>
      </c>
    </row>
    <row r="186" spans="1:24" hidden="1" outlineLevel="2" x14ac:dyDescent="0.2">
      <c r="A186" s="88" t="s">
        <v>205</v>
      </c>
      <c r="B186" s="88" t="s">
        <v>211</v>
      </c>
      <c r="C186" s="88" t="s">
        <v>124</v>
      </c>
      <c r="D186" s="88" t="s">
        <v>212</v>
      </c>
      <c r="E186" s="88" t="s">
        <v>213</v>
      </c>
      <c r="F186" s="88" t="s">
        <v>214</v>
      </c>
      <c r="G186" s="88" t="s">
        <v>215</v>
      </c>
      <c r="H186" s="88" t="s">
        <v>264</v>
      </c>
      <c r="I186" s="88" t="s">
        <v>265</v>
      </c>
      <c r="J186" s="88" t="s">
        <v>244</v>
      </c>
      <c r="K186" s="221">
        <v>170.49</v>
      </c>
      <c r="L186" s="221">
        <v>0</v>
      </c>
      <c r="M186" s="221">
        <v>0</v>
      </c>
      <c r="N186" s="221">
        <v>0</v>
      </c>
      <c r="O186" s="221">
        <v>0</v>
      </c>
      <c r="P186" s="221">
        <v>0</v>
      </c>
      <c r="Q186" s="221">
        <v>0</v>
      </c>
      <c r="R186" s="221">
        <v>0</v>
      </c>
      <c r="S186" s="221">
        <v>0</v>
      </c>
      <c r="T186" s="221">
        <v>0</v>
      </c>
      <c r="U186" s="221">
        <v>0</v>
      </c>
      <c r="V186" s="221">
        <v>0</v>
      </c>
      <c r="W186" s="221">
        <v>170.49</v>
      </c>
      <c r="X186" s="221">
        <v>170.49</v>
      </c>
    </row>
    <row r="187" spans="1:24" hidden="1" outlineLevel="2" x14ac:dyDescent="0.2">
      <c r="A187" s="88" t="s">
        <v>205</v>
      </c>
      <c r="B187" s="88" t="s">
        <v>211</v>
      </c>
      <c r="C187" s="88" t="s">
        <v>124</v>
      </c>
      <c r="D187" s="88" t="s">
        <v>212</v>
      </c>
      <c r="E187" s="88" t="s">
        <v>213</v>
      </c>
      <c r="F187" s="88" t="s">
        <v>214</v>
      </c>
      <c r="G187" s="88" t="s">
        <v>215</v>
      </c>
      <c r="H187" s="88" t="s">
        <v>264</v>
      </c>
      <c r="I187" s="88" t="s">
        <v>265</v>
      </c>
      <c r="J187" s="88" t="s">
        <v>140</v>
      </c>
      <c r="K187" s="221">
        <v>0</v>
      </c>
      <c r="L187" s="221">
        <v>-724.89</v>
      </c>
      <c r="M187" s="221">
        <v>0</v>
      </c>
      <c r="N187" s="221">
        <v>0</v>
      </c>
      <c r="O187" s="221">
        <v>0</v>
      </c>
      <c r="P187" s="221">
        <v>0</v>
      </c>
      <c r="Q187" s="221">
        <v>0</v>
      </c>
      <c r="R187" s="221">
        <v>0</v>
      </c>
      <c r="S187" s="221">
        <v>0</v>
      </c>
      <c r="T187" s="221">
        <v>0</v>
      </c>
      <c r="U187" s="221">
        <v>0</v>
      </c>
      <c r="V187" s="221">
        <v>0</v>
      </c>
      <c r="W187" s="221">
        <v>-724.89</v>
      </c>
      <c r="X187" s="221">
        <v>-724.89</v>
      </c>
    </row>
    <row r="188" spans="1:24" outlineLevel="2" x14ac:dyDescent="0.2">
      <c r="A188" s="88" t="s">
        <v>205</v>
      </c>
      <c r="B188" s="88" t="s">
        <v>211</v>
      </c>
      <c r="C188" s="88" t="s">
        <v>124</v>
      </c>
      <c r="D188" s="88" t="s">
        <v>212</v>
      </c>
      <c r="E188" s="88" t="s">
        <v>213</v>
      </c>
      <c r="F188" s="88" t="s">
        <v>214</v>
      </c>
      <c r="G188" s="88" t="s">
        <v>215</v>
      </c>
      <c r="H188" s="88" t="s">
        <v>264</v>
      </c>
      <c r="I188" s="88" t="s">
        <v>265</v>
      </c>
      <c r="J188" s="88" t="s">
        <v>267</v>
      </c>
      <c r="K188" s="221">
        <v>0</v>
      </c>
      <c r="L188" s="221">
        <v>0</v>
      </c>
      <c r="M188" s="221">
        <v>0</v>
      </c>
      <c r="N188" s="221">
        <v>0</v>
      </c>
      <c r="O188" s="221">
        <v>0</v>
      </c>
      <c r="P188" s="221">
        <v>1299.28</v>
      </c>
      <c r="Q188" s="221">
        <v>0</v>
      </c>
      <c r="R188" s="221">
        <v>0</v>
      </c>
      <c r="S188" s="221">
        <v>0</v>
      </c>
      <c r="T188" s="221">
        <v>0</v>
      </c>
      <c r="U188" s="221">
        <v>0</v>
      </c>
      <c r="V188" s="221">
        <v>0</v>
      </c>
      <c r="W188" s="221">
        <v>1299.28</v>
      </c>
      <c r="X188" s="221">
        <v>1299.28</v>
      </c>
    </row>
    <row r="189" spans="1:24" outlineLevel="1" x14ac:dyDescent="0.2">
      <c r="A189" s="256" t="s">
        <v>297</v>
      </c>
      <c r="P189" s="221">
        <f>SUBTOTAL(9,P179:P188)</f>
        <v>1299.28</v>
      </c>
      <c r="X189" s="221">
        <f>SUBTOTAL(9,X179:X188)</f>
        <v>4661.84</v>
      </c>
    </row>
    <row r="190" spans="1:24" hidden="1" outlineLevel="2" x14ac:dyDescent="0.2">
      <c r="A190" s="88" t="s">
        <v>200</v>
      </c>
      <c r="B190" s="88" t="s">
        <v>211</v>
      </c>
      <c r="C190" s="88" t="s">
        <v>124</v>
      </c>
      <c r="D190" s="88" t="s">
        <v>212</v>
      </c>
      <c r="E190" s="88" t="s">
        <v>213</v>
      </c>
      <c r="F190" s="88" t="s">
        <v>214</v>
      </c>
      <c r="G190" s="88" t="s">
        <v>215</v>
      </c>
      <c r="H190" s="88" t="s">
        <v>268</v>
      </c>
      <c r="I190" s="88" t="s">
        <v>269</v>
      </c>
      <c r="J190" s="88" t="s">
        <v>140</v>
      </c>
      <c r="K190" s="221">
        <v>0</v>
      </c>
      <c r="L190" s="221">
        <v>5668</v>
      </c>
      <c r="M190" s="221">
        <v>0</v>
      </c>
      <c r="N190" s="221">
        <v>0</v>
      </c>
      <c r="O190" s="221">
        <v>0</v>
      </c>
      <c r="P190" s="221">
        <v>0</v>
      </c>
      <c r="Q190" s="221">
        <v>0</v>
      </c>
      <c r="R190" s="221">
        <v>0</v>
      </c>
      <c r="S190" s="221">
        <v>0</v>
      </c>
      <c r="T190" s="221">
        <v>0</v>
      </c>
      <c r="U190" s="221">
        <v>0</v>
      </c>
      <c r="V190" s="221">
        <v>0</v>
      </c>
      <c r="W190" s="221">
        <v>5668</v>
      </c>
      <c r="X190" s="221">
        <v>5668</v>
      </c>
    </row>
    <row r="191" spans="1:24" hidden="1" outlineLevel="1" x14ac:dyDescent="0.2">
      <c r="A191" s="256" t="s">
        <v>298</v>
      </c>
      <c r="P191" s="221">
        <f>SUBTOTAL(9,P190:P190)</f>
        <v>0</v>
      </c>
      <c r="X191" s="221">
        <f>SUBTOTAL(9,X190:X190)</f>
        <v>5668</v>
      </c>
    </row>
    <row r="192" spans="1:24" hidden="1" outlineLevel="2" x14ac:dyDescent="0.2">
      <c r="A192" s="88" t="s">
        <v>173</v>
      </c>
      <c r="B192" s="88" t="s">
        <v>211</v>
      </c>
      <c r="C192" s="88" t="s">
        <v>124</v>
      </c>
      <c r="D192" s="88" t="s">
        <v>212</v>
      </c>
      <c r="E192" s="88" t="s">
        <v>213</v>
      </c>
      <c r="F192" s="88" t="s">
        <v>214</v>
      </c>
      <c r="G192" s="88" t="s">
        <v>215</v>
      </c>
      <c r="H192" s="88" t="s">
        <v>270</v>
      </c>
      <c r="I192" s="88" t="s">
        <v>271</v>
      </c>
      <c r="J192" s="88" t="s">
        <v>244</v>
      </c>
      <c r="K192" s="221">
        <v>37.840000000000003</v>
      </c>
      <c r="L192" s="221">
        <v>0</v>
      </c>
      <c r="M192" s="221">
        <v>0</v>
      </c>
      <c r="N192" s="221">
        <v>0</v>
      </c>
      <c r="O192" s="221">
        <v>0</v>
      </c>
      <c r="P192" s="221">
        <v>0</v>
      </c>
      <c r="Q192" s="221">
        <v>0</v>
      </c>
      <c r="R192" s="221">
        <v>0</v>
      </c>
      <c r="S192" s="221">
        <v>0</v>
      </c>
      <c r="T192" s="221">
        <v>0</v>
      </c>
      <c r="U192" s="221">
        <v>0</v>
      </c>
      <c r="V192" s="221">
        <v>0</v>
      </c>
      <c r="W192" s="221">
        <v>37.840000000000003</v>
      </c>
      <c r="X192" s="221">
        <v>37.840000000000003</v>
      </c>
    </row>
    <row r="193" spans="1:24" hidden="1" outlineLevel="2" x14ac:dyDescent="0.2">
      <c r="A193" s="88" t="s">
        <v>173</v>
      </c>
      <c r="B193" s="88" t="s">
        <v>211</v>
      </c>
      <c r="C193" s="88" t="s">
        <v>124</v>
      </c>
      <c r="D193" s="88" t="s">
        <v>212</v>
      </c>
      <c r="E193" s="88" t="s">
        <v>213</v>
      </c>
      <c r="F193" s="88" t="s">
        <v>214</v>
      </c>
      <c r="G193" s="88" t="s">
        <v>215</v>
      </c>
      <c r="H193" s="88" t="s">
        <v>272</v>
      </c>
      <c r="I193" s="88" t="s">
        <v>273</v>
      </c>
      <c r="J193" s="88" t="s">
        <v>140</v>
      </c>
      <c r="K193" s="221">
        <v>0</v>
      </c>
      <c r="L193" s="221">
        <v>0</v>
      </c>
      <c r="M193" s="221">
        <v>0</v>
      </c>
      <c r="N193" s="221">
        <v>23.87</v>
      </c>
      <c r="O193" s="221">
        <v>0</v>
      </c>
      <c r="P193" s="221">
        <v>0</v>
      </c>
      <c r="Q193" s="221">
        <v>0</v>
      </c>
      <c r="R193" s="221">
        <v>0</v>
      </c>
      <c r="S193" s="221">
        <v>0</v>
      </c>
      <c r="T193" s="221">
        <v>0</v>
      </c>
      <c r="U193" s="221">
        <v>0</v>
      </c>
      <c r="V193" s="221">
        <v>0</v>
      </c>
      <c r="W193" s="221">
        <v>23.87</v>
      </c>
      <c r="X193" s="221">
        <v>23.87</v>
      </c>
    </row>
    <row r="194" spans="1:24" hidden="1" outlineLevel="2" x14ac:dyDescent="0.2">
      <c r="A194" s="88" t="s">
        <v>173</v>
      </c>
      <c r="B194" s="88" t="s">
        <v>211</v>
      </c>
      <c r="C194" s="88" t="s">
        <v>124</v>
      </c>
      <c r="D194" s="88" t="s">
        <v>212</v>
      </c>
      <c r="E194" s="88" t="s">
        <v>213</v>
      </c>
      <c r="F194" s="88" t="s">
        <v>214</v>
      </c>
      <c r="G194" s="88" t="s">
        <v>215</v>
      </c>
      <c r="H194" s="88" t="s">
        <v>272</v>
      </c>
      <c r="I194" s="88" t="s">
        <v>273</v>
      </c>
      <c r="J194" s="88" t="s">
        <v>244</v>
      </c>
      <c r="K194" s="221">
        <v>1.76</v>
      </c>
      <c r="L194" s="221">
        <v>0</v>
      </c>
      <c r="M194" s="221">
        <v>0</v>
      </c>
      <c r="N194" s="221">
        <v>0</v>
      </c>
      <c r="O194" s="221">
        <v>0</v>
      </c>
      <c r="P194" s="221">
        <v>0</v>
      </c>
      <c r="Q194" s="221">
        <v>0</v>
      </c>
      <c r="R194" s="221">
        <v>0</v>
      </c>
      <c r="S194" s="221">
        <v>0</v>
      </c>
      <c r="T194" s="221">
        <v>0</v>
      </c>
      <c r="U194" s="221">
        <v>0</v>
      </c>
      <c r="V194" s="221">
        <v>0</v>
      </c>
      <c r="W194" s="221">
        <v>1.76</v>
      </c>
      <c r="X194" s="221">
        <v>1.76</v>
      </c>
    </row>
    <row r="195" spans="1:24" hidden="1" outlineLevel="2" x14ac:dyDescent="0.2">
      <c r="A195" s="88" t="s">
        <v>173</v>
      </c>
      <c r="B195" s="88" t="s">
        <v>211</v>
      </c>
      <c r="C195" s="88" t="s">
        <v>124</v>
      </c>
      <c r="D195" s="88" t="s">
        <v>212</v>
      </c>
      <c r="E195" s="88" t="s">
        <v>213</v>
      </c>
      <c r="F195" s="88" t="s">
        <v>214</v>
      </c>
      <c r="G195" s="88" t="s">
        <v>215</v>
      </c>
      <c r="H195" s="88" t="s">
        <v>272</v>
      </c>
      <c r="I195" s="88" t="s">
        <v>273</v>
      </c>
      <c r="J195" s="88" t="s">
        <v>140</v>
      </c>
      <c r="K195" s="221">
        <v>0</v>
      </c>
      <c r="L195" s="221">
        <v>0</v>
      </c>
      <c r="M195" s="221">
        <v>23.87</v>
      </c>
      <c r="N195" s="221">
        <v>0</v>
      </c>
      <c r="O195" s="221">
        <v>0</v>
      </c>
      <c r="P195" s="221">
        <v>0</v>
      </c>
      <c r="Q195" s="221">
        <v>0</v>
      </c>
      <c r="R195" s="221">
        <v>0</v>
      </c>
      <c r="S195" s="221">
        <v>0</v>
      </c>
      <c r="T195" s="221">
        <v>0</v>
      </c>
      <c r="U195" s="221">
        <v>0</v>
      </c>
      <c r="V195" s="221">
        <v>0</v>
      </c>
      <c r="W195" s="221">
        <v>23.87</v>
      </c>
      <c r="X195" s="221">
        <v>23.87</v>
      </c>
    </row>
    <row r="196" spans="1:24" hidden="1" outlineLevel="2" x14ac:dyDescent="0.2">
      <c r="A196" s="88" t="s">
        <v>173</v>
      </c>
      <c r="B196" s="88" t="s">
        <v>211</v>
      </c>
      <c r="C196" s="88" t="s">
        <v>124</v>
      </c>
      <c r="D196" s="88" t="s">
        <v>212</v>
      </c>
      <c r="E196" s="88" t="s">
        <v>213</v>
      </c>
      <c r="F196" s="88" t="s">
        <v>214</v>
      </c>
      <c r="G196" s="88" t="s">
        <v>215</v>
      </c>
      <c r="H196" s="88" t="s">
        <v>272</v>
      </c>
      <c r="I196" s="88" t="s">
        <v>273</v>
      </c>
      <c r="J196" s="88" t="s">
        <v>246</v>
      </c>
      <c r="K196" s="221">
        <v>0</v>
      </c>
      <c r="L196" s="221">
        <v>0</v>
      </c>
      <c r="M196" s="221">
        <v>0</v>
      </c>
      <c r="N196" s="221">
        <v>8.2200000000000006</v>
      </c>
      <c r="O196" s="221">
        <v>0</v>
      </c>
      <c r="P196" s="221">
        <v>0</v>
      </c>
      <c r="Q196" s="221">
        <v>0</v>
      </c>
      <c r="R196" s="221">
        <v>0</v>
      </c>
      <c r="S196" s="221">
        <v>0</v>
      </c>
      <c r="T196" s="221">
        <v>0</v>
      </c>
      <c r="U196" s="221">
        <v>0</v>
      </c>
      <c r="V196" s="221">
        <v>0</v>
      </c>
      <c r="W196" s="221">
        <v>8.2200000000000006</v>
      </c>
      <c r="X196" s="221">
        <v>8.2200000000000006</v>
      </c>
    </row>
    <row r="197" spans="1:24" outlineLevel="2" x14ac:dyDescent="0.2">
      <c r="A197" s="88" t="s">
        <v>173</v>
      </c>
      <c r="B197" s="88" t="s">
        <v>211</v>
      </c>
      <c r="C197" s="88" t="s">
        <v>124</v>
      </c>
      <c r="D197" s="88" t="s">
        <v>212</v>
      </c>
      <c r="E197" s="88" t="s">
        <v>213</v>
      </c>
      <c r="F197" s="88" t="s">
        <v>214</v>
      </c>
      <c r="G197" s="88" t="s">
        <v>215</v>
      </c>
      <c r="H197" s="88" t="s">
        <v>272</v>
      </c>
      <c r="I197" s="88" t="s">
        <v>273</v>
      </c>
      <c r="J197" s="88" t="s">
        <v>140</v>
      </c>
      <c r="K197" s="221">
        <v>0</v>
      </c>
      <c r="L197" s="221">
        <v>0</v>
      </c>
      <c r="M197" s="221">
        <v>0</v>
      </c>
      <c r="N197" s="221">
        <v>0</v>
      </c>
      <c r="O197" s="221">
        <v>0</v>
      </c>
      <c r="P197" s="221">
        <v>44.01</v>
      </c>
      <c r="Q197" s="221">
        <v>0</v>
      </c>
      <c r="R197" s="221">
        <v>0</v>
      </c>
      <c r="S197" s="221">
        <v>0</v>
      </c>
      <c r="T197" s="221">
        <v>0</v>
      </c>
      <c r="U197" s="221">
        <v>0</v>
      </c>
      <c r="V197" s="221">
        <v>0</v>
      </c>
      <c r="W197" s="221">
        <v>44.01</v>
      </c>
      <c r="X197" s="221">
        <v>44.01</v>
      </c>
    </row>
    <row r="198" spans="1:24" outlineLevel="1" x14ac:dyDescent="0.2">
      <c r="A198" s="256" t="s">
        <v>299</v>
      </c>
      <c r="P198" s="221">
        <f>SUBTOTAL(9,P192:P197)</f>
        <v>44.01</v>
      </c>
      <c r="X198" s="221">
        <f>SUBTOTAL(9,X192:X197)</f>
        <v>139.57</v>
      </c>
    </row>
    <row r="199" spans="1:24" x14ac:dyDescent="0.2">
      <c r="A199" s="256" t="s">
        <v>300</v>
      </c>
      <c r="P199" s="221">
        <f>SUBTOTAL(9,P2:P197)</f>
        <v>5188.0800000000045</v>
      </c>
      <c r="X199" s="221">
        <f>SUBTOTAL(9,X2:X197)</f>
        <v>0.32000000010915386</v>
      </c>
    </row>
  </sheetData>
  <phoneticPr fontId="0" type="noConversion"/>
  <pageMargins left="0" right="0" top="0.75" bottom="0" header="0" footer="0.5"/>
  <pageSetup scale="68" orientation="portrait" horizontalDpi="4294967292" r:id="rId1"/>
  <headerFooter alignWithMargins="0">
    <oddHeader xml:space="preserve">&amp;C&amp;"Arial,Bold"&amp;12ENRON NET WORKS
GENERAL LEDGER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opLeftCell="B1" workbookViewId="0">
      <selection activeCell="D7" sqref="D7"/>
    </sheetView>
  </sheetViews>
  <sheetFormatPr defaultRowHeight="12.75" x14ac:dyDescent="0.2"/>
  <cols>
    <col min="1" max="1" width="34.7109375" style="91" customWidth="1"/>
    <col min="2" max="2" width="11.85546875" style="91" customWidth="1"/>
    <col min="3" max="3" width="29.5703125" style="91" customWidth="1"/>
    <col min="4" max="16" width="14.42578125" style="230" customWidth="1"/>
    <col min="17" max="17" width="14.42578125" style="231" customWidth="1"/>
  </cols>
  <sheetData>
    <row r="1" spans="1:17" x14ac:dyDescent="0.2">
      <c r="A1" s="89" t="s">
        <v>99</v>
      </c>
      <c r="B1" s="89" t="s">
        <v>100</v>
      </c>
      <c r="C1" s="89" t="s">
        <v>101</v>
      </c>
      <c r="D1" s="226" t="s">
        <v>102</v>
      </c>
      <c r="E1" s="226" t="s">
        <v>103</v>
      </c>
      <c r="F1" s="226" t="s">
        <v>104</v>
      </c>
      <c r="G1" s="226" t="s">
        <v>105</v>
      </c>
      <c r="H1" s="226" t="s">
        <v>29</v>
      </c>
      <c r="I1" s="226" t="s">
        <v>106</v>
      </c>
      <c r="J1" s="226" t="s">
        <v>107</v>
      </c>
      <c r="K1" s="226" t="s">
        <v>108</v>
      </c>
      <c r="L1" s="226" t="s">
        <v>109</v>
      </c>
      <c r="M1" s="226" t="s">
        <v>110</v>
      </c>
      <c r="N1" s="226" t="s">
        <v>111</v>
      </c>
      <c r="O1" s="226" t="s">
        <v>112</v>
      </c>
      <c r="P1" s="226" t="s">
        <v>113</v>
      </c>
      <c r="Q1" s="227" t="s">
        <v>4</v>
      </c>
    </row>
    <row r="2" spans="1:17" x14ac:dyDescent="0.2">
      <c r="A2" s="90" t="s">
        <v>169</v>
      </c>
      <c r="B2" s="90" t="s">
        <v>247</v>
      </c>
      <c r="C2" s="90" t="s">
        <v>248</v>
      </c>
      <c r="D2" s="228">
        <v>16588</v>
      </c>
      <c r="E2" s="228">
        <v>17252</v>
      </c>
      <c r="F2" s="228">
        <v>17252</v>
      </c>
      <c r="G2" s="228">
        <v>17252</v>
      </c>
      <c r="H2" s="228">
        <v>17252</v>
      </c>
      <c r="I2" s="228">
        <v>17252</v>
      </c>
      <c r="J2" s="228">
        <v>17252</v>
      </c>
      <c r="K2" s="228">
        <v>17252</v>
      </c>
      <c r="L2" s="228">
        <v>17252</v>
      </c>
      <c r="M2" s="228">
        <v>17252</v>
      </c>
      <c r="N2" s="228">
        <v>17252</v>
      </c>
      <c r="O2" s="228">
        <v>17252</v>
      </c>
      <c r="P2" s="228">
        <v>206360</v>
      </c>
      <c r="Q2" s="229">
        <v>102848</v>
      </c>
    </row>
    <row r="3" spans="1:17" x14ac:dyDescent="0.2">
      <c r="A3" s="90" t="s">
        <v>196</v>
      </c>
      <c r="B3" s="90" t="s">
        <v>216</v>
      </c>
      <c r="C3" s="90" t="s">
        <v>217</v>
      </c>
      <c r="D3" s="228">
        <v>-25390</v>
      </c>
      <c r="E3" s="228">
        <v>-25390</v>
      </c>
      <c r="F3" s="228">
        <v>-25390</v>
      </c>
      <c r="G3" s="228">
        <v>-25390</v>
      </c>
      <c r="H3" s="228">
        <v>-25390</v>
      </c>
      <c r="I3" s="228">
        <v>-25390</v>
      </c>
      <c r="J3" s="228">
        <v>-25390</v>
      </c>
      <c r="K3" s="228">
        <v>-25390</v>
      </c>
      <c r="L3" s="228">
        <v>-25390</v>
      </c>
      <c r="M3" s="228">
        <v>-25390</v>
      </c>
      <c r="N3" s="228">
        <v>-25390</v>
      </c>
      <c r="O3" s="228">
        <v>-25390</v>
      </c>
      <c r="P3" s="228">
        <v>-304680</v>
      </c>
      <c r="Q3" s="229">
        <v>-152340</v>
      </c>
    </row>
    <row r="4" spans="1:17" x14ac:dyDescent="0.2">
      <c r="A4" s="90" t="s">
        <v>170</v>
      </c>
      <c r="B4" s="90" t="s">
        <v>225</v>
      </c>
      <c r="C4" s="90" t="s">
        <v>226</v>
      </c>
      <c r="D4" s="228">
        <v>2751</v>
      </c>
      <c r="E4" s="228">
        <v>2813</v>
      </c>
      <c r="F4" s="228">
        <v>2813</v>
      </c>
      <c r="G4" s="228">
        <v>2813</v>
      </c>
      <c r="H4" s="228">
        <v>2813</v>
      </c>
      <c r="I4" s="228">
        <v>2813</v>
      </c>
      <c r="J4" s="228">
        <v>2813</v>
      </c>
      <c r="K4" s="228">
        <v>2813</v>
      </c>
      <c r="L4" s="228">
        <v>2813</v>
      </c>
      <c r="M4" s="228">
        <v>2813</v>
      </c>
      <c r="N4" s="228">
        <v>2813</v>
      </c>
      <c r="O4" s="228">
        <v>2813</v>
      </c>
      <c r="P4" s="228">
        <v>33694</v>
      </c>
      <c r="Q4" s="229">
        <v>16816</v>
      </c>
    </row>
    <row r="5" spans="1:17" x14ac:dyDescent="0.2">
      <c r="A5" s="90" t="s">
        <v>170</v>
      </c>
      <c r="B5" s="90" t="s">
        <v>227</v>
      </c>
      <c r="C5" s="90" t="s">
        <v>228</v>
      </c>
      <c r="D5" s="228">
        <v>1493</v>
      </c>
      <c r="E5" s="228">
        <v>1553</v>
      </c>
      <c r="F5" s="228">
        <v>1553</v>
      </c>
      <c r="G5" s="228">
        <v>1553</v>
      </c>
      <c r="H5" s="228">
        <v>1553</v>
      </c>
      <c r="I5" s="228">
        <v>1553</v>
      </c>
      <c r="J5" s="228">
        <v>1553</v>
      </c>
      <c r="K5" s="228">
        <v>1553</v>
      </c>
      <c r="L5" s="228">
        <v>1553</v>
      </c>
      <c r="M5" s="228">
        <v>1553</v>
      </c>
      <c r="N5" s="228">
        <v>1553</v>
      </c>
      <c r="O5" s="228">
        <v>1553</v>
      </c>
      <c r="P5" s="228">
        <v>18576</v>
      </c>
      <c r="Q5" s="229">
        <v>9258</v>
      </c>
    </row>
    <row r="6" spans="1:17" x14ac:dyDescent="0.2">
      <c r="A6" s="90" t="s">
        <v>171</v>
      </c>
      <c r="B6" s="90" t="s">
        <v>274</v>
      </c>
      <c r="C6" s="90" t="s">
        <v>275</v>
      </c>
      <c r="D6" s="228">
        <v>141</v>
      </c>
      <c r="E6" s="228">
        <v>141</v>
      </c>
      <c r="F6" s="228">
        <v>591</v>
      </c>
      <c r="G6" s="228">
        <v>141</v>
      </c>
      <c r="H6" s="228">
        <v>141</v>
      </c>
      <c r="I6" s="228">
        <v>591</v>
      </c>
      <c r="J6" s="228">
        <v>141</v>
      </c>
      <c r="K6" s="228">
        <v>141</v>
      </c>
      <c r="L6" s="228">
        <v>591</v>
      </c>
      <c r="M6" s="228">
        <v>141</v>
      </c>
      <c r="N6" s="228">
        <v>141</v>
      </c>
      <c r="O6" s="228">
        <v>591</v>
      </c>
      <c r="P6" s="228">
        <v>3492</v>
      </c>
      <c r="Q6" s="229">
        <v>1746</v>
      </c>
    </row>
    <row r="7" spans="1:17" x14ac:dyDescent="0.2">
      <c r="A7" s="90" t="s">
        <v>171</v>
      </c>
      <c r="B7" s="90" t="s">
        <v>254</v>
      </c>
      <c r="C7" s="90" t="s">
        <v>255</v>
      </c>
      <c r="D7" s="228">
        <v>1124</v>
      </c>
      <c r="E7" s="228">
        <v>324</v>
      </c>
      <c r="F7" s="228">
        <v>324</v>
      </c>
      <c r="G7" s="228">
        <v>1124</v>
      </c>
      <c r="H7" s="228">
        <v>924</v>
      </c>
      <c r="I7" s="228">
        <v>324</v>
      </c>
      <c r="J7" s="228">
        <v>1124</v>
      </c>
      <c r="K7" s="228">
        <v>324</v>
      </c>
      <c r="L7" s="228">
        <v>324</v>
      </c>
      <c r="M7" s="228">
        <v>324</v>
      </c>
      <c r="N7" s="228">
        <v>324</v>
      </c>
      <c r="O7" s="228">
        <v>324</v>
      </c>
      <c r="P7" s="228">
        <v>6888</v>
      </c>
      <c r="Q7" s="229">
        <v>4144</v>
      </c>
    </row>
    <row r="8" spans="1:17" x14ac:dyDescent="0.2">
      <c r="A8" s="90" t="s">
        <v>171</v>
      </c>
      <c r="B8" s="90" t="s">
        <v>258</v>
      </c>
      <c r="C8" s="90" t="s">
        <v>259</v>
      </c>
      <c r="D8" s="228">
        <v>21</v>
      </c>
      <c r="E8" s="228">
        <v>21</v>
      </c>
      <c r="F8" s="228">
        <v>21</v>
      </c>
      <c r="G8" s="228">
        <v>21</v>
      </c>
      <c r="H8" s="228">
        <v>21</v>
      </c>
      <c r="I8" s="228">
        <v>21</v>
      </c>
      <c r="J8" s="228">
        <v>21</v>
      </c>
      <c r="K8" s="228">
        <v>21</v>
      </c>
      <c r="L8" s="228">
        <v>21</v>
      </c>
      <c r="M8" s="228">
        <v>21</v>
      </c>
      <c r="N8" s="228">
        <v>21</v>
      </c>
      <c r="O8" s="228">
        <v>21</v>
      </c>
      <c r="P8" s="228">
        <v>252</v>
      </c>
      <c r="Q8" s="229">
        <v>126</v>
      </c>
    </row>
    <row r="9" spans="1:17" x14ac:dyDescent="0.2">
      <c r="A9" s="90" t="s">
        <v>171</v>
      </c>
      <c r="B9" s="90" t="s">
        <v>261</v>
      </c>
      <c r="C9" s="90" t="s">
        <v>262</v>
      </c>
      <c r="D9" s="228">
        <v>50</v>
      </c>
      <c r="E9" s="228">
        <v>50</v>
      </c>
      <c r="F9" s="228">
        <v>50</v>
      </c>
      <c r="G9" s="228">
        <v>50</v>
      </c>
      <c r="H9" s="228">
        <v>50</v>
      </c>
      <c r="I9" s="228">
        <v>50</v>
      </c>
      <c r="J9" s="228">
        <v>50</v>
      </c>
      <c r="K9" s="228">
        <v>50</v>
      </c>
      <c r="L9" s="228">
        <v>50</v>
      </c>
      <c r="M9" s="228">
        <v>50</v>
      </c>
      <c r="N9" s="228">
        <v>50</v>
      </c>
      <c r="O9" s="228">
        <v>50</v>
      </c>
      <c r="P9" s="228">
        <v>600</v>
      </c>
      <c r="Q9" s="229">
        <v>300</v>
      </c>
    </row>
    <row r="10" spans="1:17" x14ac:dyDescent="0.2">
      <c r="A10" s="90" t="s">
        <v>173</v>
      </c>
      <c r="B10" s="90" t="s">
        <v>272</v>
      </c>
      <c r="C10" s="90" t="s">
        <v>273</v>
      </c>
      <c r="D10" s="228">
        <v>276</v>
      </c>
      <c r="E10" s="228">
        <v>276</v>
      </c>
      <c r="F10" s="228">
        <v>276</v>
      </c>
      <c r="G10" s="228">
        <v>276</v>
      </c>
      <c r="H10" s="228">
        <v>276</v>
      </c>
      <c r="I10" s="228">
        <v>276</v>
      </c>
      <c r="J10" s="228">
        <v>276</v>
      </c>
      <c r="K10" s="228">
        <v>276</v>
      </c>
      <c r="L10" s="228">
        <v>276</v>
      </c>
      <c r="M10" s="228">
        <v>276</v>
      </c>
      <c r="N10" s="228">
        <v>276</v>
      </c>
      <c r="O10" s="228">
        <v>246</v>
      </c>
      <c r="P10" s="228">
        <v>3282</v>
      </c>
      <c r="Q10" s="229">
        <v>1656</v>
      </c>
    </row>
    <row r="11" spans="1:17" x14ac:dyDescent="0.2">
      <c r="A11" s="90" t="s">
        <v>199</v>
      </c>
      <c r="B11" s="90" t="s">
        <v>242</v>
      </c>
      <c r="C11" s="90" t="s">
        <v>243</v>
      </c>
      <c r="D11" s="228">
        <v>108</v>
      </c>
      <c r="E11" s="228">
        <v>108</v>
      </c>
      <c r="F11" s="228">
        <v>108</v>
      </c>
      <c r="G11" s="228">
        <v>108</v>
      </c>
      <c r="H11" s="228">
        <v>108</v>
      </c>
      <c r="I11" s="228">
        <v>108</v>
      </c>
      <c r="J11" s="228">
        <v>108</v>
      </c>
      <c r="K11" s="228">
        <v>108</v>
      </c>
      <c r="L11" s="228">
        <v>108</v>
      </c>
      <c r="M11" s="228">
        <v>108</v>
      </c>
      <c r="N11" s="228">
        <v>108</v>
      </c>
      <c r="O11" s="228">
        <v>108</v>
      </c>
      <c r="P11" s="228">
        <v>1296</v>
      </c>
      <c r="Q11" s="229">
        <v>648</v>
      </c>
    </row>
    <row r="12" spans="1:17" x14ac:dyDescent="0.2">
      <c r="A12" s="90" t="s">
        <v>207</v>
      </c>
      <c r="B12" s="90" t="s">
        <v>235</v>
      </c>
      <c r="C12" s="90" t="s">
        <v>236</v>
      </c>
      <c r="D12" s="228">
        <v>870</v>
      </c>
      <c r="E12" s="228">
        <v>870</v>
      </c>
      <c r="F12" s="228">
        <v>870</v>
      </c>
      <c r="G12" s="228">
        <v>870</v>
      </c>
      <c r="H12" s="228">
        <v>870</v>
      </c>
      <c r="I12" s="228">
        <v>870</v>
      </c>
      <c r="J12" s="228">
        <v>870</v>
      </c>
      <c r="K12" s="228">
        <v>870</v>
      </c>
      <c r="L12" s="228">
        <v>870</v>
      </c>
      <c r="M12" s="228">
        <v>870</v>
      </c>
      <c r="N12" s="228">
        <v>870</v>
      </c>
      <c r="O12" s="228">
        <v>870</v>
      </c>
      <c r="P12" s="228">
        <v>10440</v>
      </c>
      <c r="Q12" s="229">
        <v>5220</v>
      </c>
    </row>
    <row r="13" spans="1:17" x14ac:dyDescent="0.2">
      <c r="A13" s="90" t="s">
        <v>205</v>
      </c>
      <c r="B13" s="90" t="s">
        <v>264</v>
      </c>
      <c r="C13" s="90" t="s">
        <v>265</v>
      </c>
      <c r="D13" s="228">
        <v>1650</v>
      </c>
      <c r="E13" s="228">
        <v>1650</v>
      </c>
      <c r="F13" s="228">
        <v>1650</v>
      </c>
      <c r="G13" s="228">
        <v>1650</v>
      </c>
      <c r="H13" s="228">
        <v>1650</v>
      </c>
      <c r="I13" s="228">
        <v>1650</v>
      </c>
      <c r="J13" s="228">
        <v>1650</v>
      </c>
      <c r="K13" s="228">
        <v>1650</v>
      </c>
      <c r="L13" s="228">
        <v>1650</v>
      </c>
      <c r="M13" s="228">
        <v>1650</v>
      </c>
      <c r="N13" s="228">
        <v>1650</v>
      </c>
      <c r="O13" s="228">
        <v>1650</v>
      </c>
      <c r="P13" s="228">
        <v>19800</v>
      </c>
      <c r="Q13" s="229">
        <v>9900</v>
      </c>
    </row>
    <row r="14" spans="1:17" x14ac:dyDescent="0.2">
      <c r="A14" s="90"/>
      <c r="B14" s="90"/>
      <c r="C14" s="90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</row>
    <row r="15" spans="1:17" x14ac:dyDescent="0.2">
      <c r="A15" s="90"/>
      <c r="B15" s="90"/>
      <c r="C15" s="90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9"/>
    </row>
    <row r="16" spans="1:17" x14ac:dyDescent="0.2">
      <c r="A16" s="90"/>
      <c r="B16" s="90"/>
      <c r="C16" s="90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/>
    </row>
    <row r="17" spans="1:17" x14ac:dyDescent="0.2">
      <c r="A17" s="90"/>
      <c r="B17" s="90"/>
      <c r="C17" s="90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9"/>
    </row>
    <row r="18" spans="1:17" x14ac:dyDescent="0.2">
      <c r="A18" s="90"/>
      <c r="B18" s="90"/>
      <c r="C18" s="90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9"/>
    </row>
  </sheetData>
  <phoneticPr fontId="0" type="noConversion"/>
  <printOptions horizontalCentered="1"/>
  <pageMargins left="0" right="0" top="0.75" bottom="1" header="0" footer="0.5"/>
  <pageSetup scale="49" orientation="landscape" r:id="rId1"/>
  <headerFooter alignWithMargins="0">
    <oddHeader>&amp;C&amp;"Arial,Bold"&amp;12ENRON NET WORKS
2001 PLAN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="65" workbookViewId="0">
      <selection activeCell="B3" sqref="B3"/>
    </sheetView>
  </sheetViews>
  <sheetFormatPr defaultRowHeight="12.75" x14ac:dyDescent="0.2"/>
  <cols>
    <col min="1" max="1" width="7.5703125" style="60" customWidth="1"/>
    <col min="2" max="2" width="35.140625" style="60" customWidth="1"/>
    <col min="3" max="3" width="13.140625" style="60" customWidth="1"/>
    <col min="4" max="10" width="13.28515625" style="60" customWidth="1"/>
    <col min="11" max="11" width="15.140625" style="60" customWidth="1"/>
    <col min="12" max="12" width="13.28515625" style="60" customWidth="1"/>
    <col min="13" max="13" width="15" style="60" customWidth="1"/>
    <col min="14" max="15" width="14.28515625" style="60" customWidth="1"/>
    <col min="16" max="16" width="6.42578125" style="59" customWidth="1"/>
    <col min="17" max="17" width="9.28515625" style="60" customWidth="1"/>
    <col min="18" max="18" width="12" style="60" customWidth="1"/>
    <col min="19" max="19" width="15.140625" style="60" customWidth="1"/>
    <col min="20" max="16384" width="9.140625" style="60"/>
  </cols>
  <sheetData>
    <row r="1" spans="1:18" ht="15.75" x14ac:dyDescent="0.25">
      <c r="A1" s="57"/>
      <c r="B1" s="238" t="s">
        <v>167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15.75" x14ac:dyDescent="0.25">
      <c r="A2" s="61"/>
      <c r="B2" s="238" t="s">
        <v>166</v>
      </c>
    </row>
    <row r="3" spans="1:18" ht="15.75" x14ac:dyDescent="0.25">
      <c r="A3" s="62"/>
      <c r="B3" s="238">
        <f>'Monthly Expense Categories'!A5:L5</f>
        <v>0</v>
      </c>
    </row>
    <row r="4" spans="1:18" ht="15.75" x14ac:dyDescent="0.25">
      <c r="A4" s="63"/>
      <c r="O4" s="64">
        <v>2000</v>
      </c>
    </row>
    <row r="5" spans="1:18" ht="15.75" x14ac:dyDescent="0.25">
      <c r="C5" s="65" t="s">
        <v>25</v>
      </c>
      <c r="D5" s="65" t="s">
        <v>26</v>
      </c>
      <c r="E5" s="65" t="s">
        <v>27</v>
      </c>
      <c r="F5" s="65" t="s">
        <v>28</v>
      </c>
      <c r="G5" s="65" t="s">
        <v>29</v>
      </c>
      <c r="H5" s="65" t="s">
        <v>30</v>
      </c>
      <c r="I5" s="65" t="s">
        <v>31</v>
      </c>
      <c r="J5" s="65" t="s">
        <v>32</v>
      </c>
      <c r="K5" s="65" t="s">
        <v>33</v>
      </c>
      <c r="L5" s="65" t="s">
        <v>34</v>
      </c>
      <c r="M5" s="65" t="s">
        <v>35</v>
      </c>
      <c r="N5" s="65" t="s">
        <v>36</v>
      </c>
      <c r="O5" s="66" t="s">
        <v>37</v>
      </c>
    </row>
    <row r="6" spans="1:18" ht="15.75" x14ac:dyDescent="0.25"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4"/>
    </row>
    <row r="7" spans="1:18" s="68" customFormat="1" ht="15.75" x14ac:dyDescent="0.25">
      <c r="A7" s="68" t="s">
        <v>38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9">
        <f>SUM(C7:N7)</f>
        <v>0</v>
      </c>
      <c r="P7" s="70"/>
    </row>
    <row r="8" spans="1:18" ht="15" x14ac:dyDescent="0.2">
      <c r="O8" s="71"/>
      <c r="P8" s="72" t="s">
        <v>24</v>
      </c>
      <c r="Q8" s="72" t="s">
        <v>39</v>
      </c>
      <c r="R8" s="59" t="s">
        <v>2</v>
      </c>
    </row>
    <row r="9" spans="1:18" s="68" customFormat="1" ht="15.75" x14ac:dyDescent="0.25">
      <c r="A9" s="68" t="s">
        <v>40</v>
      </c>
      <c r="C9" s="73"/>
      <c r="O9" s="69"/>
      <c r="P9" s="72" t="s">
        <v>41</v>
      </c>
      <c r="Q9" s="72" t="s">
        <v>42</v>
      </c>
      <c r="R9" s="74" t="s">
        <v>89</v>
      </c>
    </row>
    <row r="10" spans="1:18" ht="15" x14ac:dyDescent="0.2">
      <c r="B10" s="60" t="s">
        <v>43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1">
        <f t="shared" ref="O10:O50" si="0">SUM(C10:N10)</f>
        <v>0</v>
      </c>
      <c r="P10" s="59">
        <v>1</v>
      </c>
      <c r="Q10" s="60">
        <v>901</v>
      </c>
      <c r="R10" s="60">
        <v>53</v>
      </c>
    </row>
    <row r="11" spans="1:18" ht="15" x14ac:dyDescent="0.2">
      <c r="B11" s="60" t="s">
        <v>44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1">
        <f t="shared" si="0"/>
        <v>0</v>
      </c>
      <c r="P11" s="59">
        <v>11</v>
      </c>
      <c r="Q11" s="60">
        <v>989</v>
      </c>
    </row>
    <row r="12" spans="1:18" ht="15" x14ac:dyDescent="0.2">
      <c r="B12" s="60" t="s">
        <v>45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1">
        <f t="shared" si="0"/>
        <v>0</v>
      </c>
      <c r="P12" s="59">
        <v>12</v>
      </c>
      <c r="Q12" s="60">
        <v>916</v>
      </c>
    </row>
    <row r="13" spans="1:18" ht="15.75" x14ac:dyDescent="0.25">
      <c r="B13" s="60" t="s">
        <v>46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1">
        <f t="shared" si="0"/>
        <v>0</v>
      </c>
      <c r="P13" s="59">
        <v>60</v>
      </c>
      <c r="Q13" s="60">
        <v>912</v>
      </c>
      <c r="R13" s="61">
        <v>180</v>
      </c>
    </row>
    <row r="14" spans="1:18" ht="15.75" x14ac:dyDescent="0.25">
      <c r="B14" s="60" t="s">
        <v>47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1">
        <f t="shared" si="0"/>
        <v>0</v>
      </c>
      <c r="P14" s="59">
        <v>62</v>
      </c>
      <c r="Q14" s="60">
        <v>913</v>
      </c>
      <c r="R14" s="61">
        <v>329</v>
      </c>
    </row>
    <row r="15" spans="1:18" ht="15" x14ac:dyDescent="0.2">
      <c r="B15" s="60" t="s">
        <v>48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1">
        <f t="shared" si="0"/>
        <v>0</v>
      </c>
      <c r="P15" s="59">
        <v>82</v>
      </c>
      <c r="Q15" s="60">
        <v>954</v>
      </c>
      <c r="R15" s="60">
        <v>629</v>
      </c>
    </row>
    <row r="16" spans="1:18" ht="15" x14ac:dyDescent="0.2">
      <c r="B16" s="60" t="s">
        <v>49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1">
        <f t="shared" si="0"/>
        <v>0</v>
      </c>
      <c r="P16" s="59">
        <v>82</v>
      </c>
      <c r="Q16" s="60">
        <v>954</v>
      </c>
    </row>
    <row r="17" spans="2:18" ht="15.75" x14ac:dyDescent="0.25">
      <c r="B17" s="60" t="s">
        <v>50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1">
        <f t="shared" si="0"/>
        <v>0</v>
      </c>
      <c r="P17" s="59">
        <v>85</v>
      </c>
      <c r="Q17" s="60">
        <v>915</v>
      </c>
      <c r="R17" s="61">
        <v>35</v>
      </c>
    </row>
    <row r="18" spans="2:18" ht="15.75" x14ac:dyDescent="0.25">
      <c r="B18" s="60" t="s">
        <v>51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1">
        <f t="shared" si="0"/>
        <v>0</v>
      </c>
      <c r="P18" s="59">
        <v>105</v>
      </c>
      <c r="Q18" s="60">
        <v>919</v>
      </c>
      <c r="R18" s="61"/>
    </row>
    <row r="19" spans="2:18" ht="15.75" x14ac:dyDescent="0.25">
      <c r="B19" s="60" t="s">
        <v>52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1">
        <f t="shared" si="0"/>
        <v>0</v>
      </c>
      <c r="P19" s="59">
        <v>119</v>
      </c>
      <c r="Q19" s="60">
        <v>920</v>
      </c>
      <c r="R19" s="61"/>
    </row>
    <row r="20" spans="2:18" ht="15.75" x14ac:dyDescent="0.25">
      <c r="B20" s="60" t="s">
        <v>53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1">
        <f t="shared" si="0"/>
        <v>0</v>
      </c>
      <c r="P20" s="59">
        <v>172</v>
      </c>
      <c r="Q20" s="60">
        <v>927</v>
      </c>
      <c r="R20" s="61">
        <v>195</v>
      </c>
    </row>
    <row r="21" spans="2:18" ht="15.75" x14ac:dyDescent="0.25">
      <c r="B21" s="60" t="s">
        <v>54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1">
        <f t="shared" si="0"/>
        <v>0</v>
      </c>
      <c r="P21" s="59">
        <v>179</v>
      </c>
      <c r="Q21" s="60">
        <v>930</v>
      </c>
      <c r="R21" s="61">
        <v>982</v>
      </c>
    </row>
    <row r="22" spans="2:18" ht="15" x14ac:dyDescent="0.2">
      <c r="B22" s="60" t="s">
        <v>55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1">
        <f t="shared" si="0"/>
        <v>0</v>
      </c>
      <c r="P22" s="59">
        <v>359</v>
      </c>
      <c r="Q22" s="60">
        <v>953</v>
      </c>
    </row>
    <row r="23" spans="2:18" ht="15.75" x14ac:dyDescent="0.25">
      <c r="B23" s="60" t="s">
        <v>56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1">
        <f t="shared" si="0"/>
        <v>0</v>
      </c>
      <c r="P23" s="59">
        <v>366</v>
      </c>
      <c r="Q23" s="60">
        <v>936</v>
      </c>
      <c r="R23" s="61">
        <v>274</v>
      </c>
    </row>
    <row r="24" spans="2:18" ht="15" x14ac:dyDescent="0.2">
      <c r="B24" s="60" t="s">
        <v>57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1">
        <f t="shared" si="0"/>
        <v>0</v>
      </c>
      <c r="P24" s="59">
        <v>370</v>
      </c>
      <c r="Q24" s="60">
        <v>938</v>
      </c>
    </row>
    <row r="25" spans="2:18" ht="15" x14ac:dyDescent="0.2">
      <c r="B25" s="60" t="s">
        <v>58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1">
        <f t="shared" si="0"/>
        <v>0</v>
      </c>
      <c r="P25" s="59">
        <v>404</v>
      </c>
      <c r="Q25" s="60">
        <v>942</v>
      </c>
      <c r="R25" s="60">
        <v>59</v>
      </c>
    </row>
    <row r="26" spans="2:18" ht="15.75" x14ac:dyDescent="0.25">
      <c r="B26" s="60" t="s">
        <v>59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1">
        <f t="shared" si="0"/>
        <v>0</v>
      </c>
      <c r="P26" s="59">
        <v>413</v>
      </c>
      <c r="Q26" s="60">
        <v>909</v>
      </c>
      <c r="R26" s="61">
        <v>1411</v>
      </c>
    </row>
    <row r="27" spans="2:18" ht="15" x14ac:dyDescent="0.2">
      <c r="B27" s="60" t="s">
        <v>90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1">
        <f t="shared" si="0"/>
        <v>0</v>
      </c>
      <c r="P27" s="59">
        <v>419</v>
      </c>
      <c r="R27" s="60">
        <v>12</v>
      </c>
    </row>
    <row r="28" spans="2:18" ht="15" x14ac:dyDescent="0.2">
      <c r="B28" s="60" t="s">
        <v>60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1">
        <f t="shared" si="0"/>
        <v>0</v>
      </c>
      <c r="P28" s="59">
        <v>422</v>
      </c>
      <c r="Q28" s="60">
        <v>948</v>
      </c>
    </row>
    <row r="29" spans="2:18" ht="15" x14ac:dyDescent="0.2">
      <c r="B29" s="60" t="s">
        <v>61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1">
        <f t="shared" si="0"/>
        <v>0</v>
      </c>
      <c r="P29" s="59">
        <v>423</v>
      </c>
      <c r="Q29" s="60">
        <v>949</v>
      </c>
    </row>
    <row r="30" spans="2:18" ht="15" x14ac:dyDescent="0.2">
      <c r="B30" s="60" t="s">
        <v>62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1">
        <f t="shared" si="0"/>
        <v>0</v>
      </c>
      <c r="P30" s="59">
        <v>436</v>
      </c>
      <c r="Q30" s="60">
        <v>951</v>
      </c>
      <c r="R30" s="60">
        <v>136</v>
      </c>
    </row>
    <row r="31" spans="2:18" ht="15" x14ac:dyDescent="0.2">
      <c r="B31" s="60" t="s">
        <v>63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1">
        <f t="shared" si="0"/>
        <v>0</v>
      </c>
      <c r="P31" s="59">
        <v>460</v>
      </c>
      <c r="Q31" s="60">
        <v>946</v>
      </c>
      <c r="R31" s="60">
        <v>95</v>
      </c>
    </row>
    <row r="32" spans="2:18" ht="15" x14ac:dyDescent="0.2">
      <c r="B32" s="60" t="s">
        <v>64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1">
        <f t="shared" si="0"/>
        <v>0</v>
      </c>
      <c r="P32" s="59">
        <v>507</v>
      </c>
      <c r="Q32" s="60">
        <v>958</v>
      </c>
    </row>
    <row r="33" spans="2:18" ht="15" x14ac:dyDescent="0.2">
      <c r="B33" s="60" t="s">
        <v>65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1">
        <f t="shared" si="0"/>
        <v>0</v>
      </c>
      <c r="P33" s="59">
        <v>508</v>
      </c>
      <c r="Q33" s="60">
        <v>959</v>
      </c>
    </row>
    <row r="34" spans="2:18" ht="15" x14ac:dyDescent="0.2">
      <c r="B34" s="60" t="s">
        <v>66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1">
        <f t="shared" si="0"/>
        <v>0</v>
      </c>
      <c r="P34" s="59">
        <v>543</v>
      </c>
      <c r="Q34" s="60">
        <v>965</v>
      </c>
    </row>
    <row r="35" spans="2:18" ht="15" x14ac:dyDescent="0.2">
      <c r="B35" s="60" t="s">
        <v>67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1">
        <f t="shared" si="0"/>
        <v>0</v>
      </c>
      <c r="P35" s="59">
        <v>548</v>
      </c>
      <c r="Q35" s="60">
        <v>973</v>
      </c>
    </row>
    <row r="36" spans="2:18" ht="15" x14ac:dyDescent="0.2">
      <c r="B36" s="60" t="s">
        <v>68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1">
        <f t="shared" si="0"/>
        <v>0</v>
      </c>
      <c r="P36" s="59">
        <v>583</v>
      </c>
      <c r="Q36" s="60">
        <v>981</v>
      </c>
      <c r="R36" s="60">
        <v>41</v>
      </c>
    </row>
    <row r="37" spans="2:18" ht="15.75" x14ac:dyDescent="0.25">
      <c r="B37" s="60" t="s">
        <v>69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1">
        <f t="shared" si="0"/>
        <v>0</v>
      </c>
      <c r="P37" s="59">
        <v>584</v>
      </c>
      <c r="Q37" s="60">
        <v>983</v>
      </c>
      <c r="R37" s="61">
        <v>150</v>
      </c>
    </row>
    <row r="38" spans="2:18" ht="15" x14ac:dyDescent="0.2">
      <c r="B38" s="60" t="s">
        <v>70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1">
        <f t="shared" si="0"/>
        <v>0</v>
      </c>
      <c r="P38" s="59">
        <v>901</v>
      </c>
      <c r="Q38" s="60">
        <v>910</v>
      </c>
      <c r="R38" s="60">
        <v>79</v>
      </c>
    </row>
    <row r="39" spans="2:18" ht="15" x14ac:dyDescent="0.2">
      <c r="B39" s="60" t="s">
        <v>71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1">
        <f t="shared" si="0"/>
        <v>0</v>
      </c>
      <c r="P39" s="59">
        <v>912</v>
      </c>
      <c r="Q39" s="60">
        <v>908</v>
      </c>
      <c r="R39" s="60">
        <v>27</v>
      </c>
    </row>
    <row r="40" spans="2:18" ht="15.75" x14ac:dyDescent="0.25">
      <c r="B40" s="60" t="s">
        <v>91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1">
        <f t="shared" si="0"/>
        <v>0</v>
      </c>
      <c r="P40" s="59">
        <v>963</v>
      </c>
      <c r="R40" s="61">
        <v>967</v>
      </c>
    </row>
    <row r="41" spans="2:18" ht="15" x14ac:dyDescent="0.2">
      <c r="B41" s="60" t="s">
        <v>72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1">
        <f t="shared" si="0"/>
        <v>0</v>
      </c>
      <c r="P41" s="59">
        <v>969</v>
      </c>
      <c r="Q41" s="60">
        <v>988</v>
      </c>
      <c r="R41" s="60">
        <v>94</v>
      </c>
    </row>
    <row r="42" spans="2:18" ht="15" x14ac:dyDescent="0.2">
      <c r="B42" s="60" t="s">
        <v>73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1">
        <f t="shared" si="0"/>
        <v>0</v>
      </c>
      <c r="P42" s="59">
        <v>972</v>
      </c>
      <c r="Q42" s="60">
        <v>925</v>
      </c>
    </row>
    <row r="43" spans="2:18" ht="15.75" x14ac:dyDescent="0.25">
      <c r="B43" s="60" t="s">
        <v>92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1">
        <f t="shared" si="0"/>
        <v>0</v>
      </c>
      <c r="P43" s="59">
        <v>985</v>
      </c>
      <c r="Q43" s="60">
        <v>924</v>
      </c>
      <c r="R43" s="61">
        <v>970</v>
      </c>
    </row>
    <row r="44" spans="2:18" ht="15" x14ac:dyDescent="0.2">
      <c r="B44" s="60" t="s">
        <v>93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1">
        <f t="shared" si="0"/>
        <v>0</v>
      </c>
      <c r="P44" s="59" t="s">
        <v>74</v>
      </c>
      <c r="Q44" s="60">
        <v>922</v>
      </c>
      <c r="R44" s="60">
        <v>1759</v>
      </c>
    </row>
    <row r="45" spans="2:18" ht="15" x14ac:dyDescent="0.2">
      <c r="B45" s="60" t="s">
        <v>75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1">
        <f t="shared" si="0"/>
        <v>0</v>
      </c>
      <c r="P45" s="59" t="s">
        <v>76</v>
      </c>
      <c r="Q45" s="60">
        <v>991</v>
      </c>
      <c r="R45" s="60">
        <v>333</v>
      </c>
    </row>
    <row r="46" spans="2:18" ht="15" x14ac:dyDescent="0.2">
      <c r="B46" s="60" t="s">
        <v>77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1">
        <f t="shared" si="0"/>
        <v>0</v>
      </c>
      <c r="P46" s="59" t="s">
        <v>78</v>
      </c>
      <c r="Q46" s="60">
        <v>984</v>
      </c>
      <c r="R46" s="60">
        <v>22</v>
      </c>
    </row>
    <row r="47" spans="2:18" ht="15" x14ac:dyDescent="0.2">
      <c r="B47" s="60" t="s">
        <v>79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1">
        <f t="shared" si="0"/>
        <v>0</v>
      </c>
      <c r="P47" s="59" t="s">
        <v>80</v>
      </c>
      <c r="Q47" s="60">
        <v>985</v>
      </c>
    </row>
    <row r="48" spans="2:18" ht="15" x14ac:dyDescent="0.2">
      <c r="B48" s="60" t="s">
        <v>81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1">
        <f t="shared" si="0"/>
        <v>0</v>
      </c>
      <c r="P48" s="59" t="s">
        <v>82</v>
      </c>
      <c r="Q48" s="60">
        <v>921</v>
      </c>
    </row>
    <row r="49" spans="1:18" ht="15" x14ac:dyDescent="0.2">
      <c r="B49" s="60" t="s">
        <v>83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1">
        <f t="shared" si="0"/>
        <v>0</v>
      </c>
      <c r="P49" s="59" t="s">
        <v>84</v>
      </c>
      <c r="Q49" s="60">
        <v>923</v>
      </c>
    </row>
    <row r="50" spans="1:18" ht="15.75" x14ac:dyDescent="0.25">
      <c r="B50" s="60" t="s">
        <v>94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1">
        <f t="shared" si="0"/>
        <v>0</v>
      </c>
      <c r="P50" s="59" t="s">
        <v>85</v>
      </c>
      <c r="Q50" s="60">
        <v>992</v>
      </c>
      <c r="R50" s="61">
        <v>176</v>
      </c>
    </row>
    <row r="51" spans="1:18" ht="15.75" x14ac:dyDescent="0.25">
      <c r="A51" s="68" t="s">
        <v>86</v>
      </c>
      <c r="C51" s="76">
        <f t="shared" ref="C51:O51" si="1">SUM(C10:C50)</f>
        <v>0</v>
      </c>
      <c r="D51" s="76">
        <f t="shared" si="1"/>
        <v>0</v>
      </c>
      <c r="E51" s="76">
        <f t="shared" si="1"/>
        <v>0</v>
      </c>
      <c r="F51" s="76">
        <f t="shared" si="1"/>
        <v>0</v>
      </c>
      <c r="G51" s="76">
        <f t="shared" si="1"/>
        <v>0</v>
      </c>
      <c r="H51" s="76">
        <f t="shared" si="1"/>
        <v>0</v>
      </c>
      <c r="I51" s="76">
        <f t="shared" si="1"/>
        <v>0</v>
      </c>
      <c r="J51" s="76">
        <f t="shared" si="1"/>
        <v>0</v>
      </c>
      <c r="K51" s="76">
        <f t="shared" si="1"/>
        <v>0</v>
      </c>
      <c r="L51" s="76">
        <f t="shared" si="1"/>
        <v>0</v>
      </c>
      <c r="M51" s="76">
        <f t="shared" si="1"/>
        <v>0</v>
      </c>
      <c r="N51" s="76">
        <f t="shared" si="1"/>
        <v>0</v>
      </c>
      <c r="O51" s="76">
        <f t="shared" si="1"/>
        <v>0</v>
      </c>
      <c r="R51" s="77">
        <v>10086</v>
      </c>
    </row>
    <row r="52" spans="1:18" s="78" customFormat="1" x14ac:dyDescent="0.2">
      <c r="P52" s="79"/>
      <c r="R52" s="78">
        <v>4417</v>
      </c>
    </row>
    <row r="53" spans="1:18" ht="16.5" thickBot="1" x14ac:dyDescent="0.3">
      <c r="A53" s="68" t="s">
        <v>87</v>
      </c>
      <c r="C53" s="80">
        <f t="shared" ref="C53:O53" si="2">+C7+C51</f>
        <v>0</v>
      </c>
      <c r="D53" s="80">
        <f t="shared" si="2"/>
        <v>0</v>
      </c>
      <c r="E53" s="80">
        <f t="shared" si="2"/>
        <v>0</v>
      </c>
      <c r="F53" s="80">
        <f t="shared" si="2"/>
        <v>0</v>
      </c>
      <c r="G53" s="80">
        <f t="shared" si="2"/>
        <v>0</v>
      </c>
      <c r="H53" s="80">
        <f t="shared" si="2"/>
        <v>0</v>
      </c>
      <c r="I53" s="80">
        <f t="shared" si="2"/>
        <v>0</v>
      </c>
      <c r="J53" s="80">
        <f t="shared" si="2"/>
        <v>0</v>
      </c>
      <c r="K53" s="80">
        <f t="shared" si="2"/>
        <v>0</v>
      </c>
      <c r="L53" s="80">
        <f t="shared" si="2"/>
        <v>0</v>
      </c>
      <c r="M53" s="80">
        <f t="shared" si="2"/>
        <v>0</v>
      </c>
      <c r="N53" s="80">
        <f t="shared" si="2"/>
        <v>0</v>
      </c>
      <c r="O53" s="80">
        <f t="shared" si="2"/>
        <v>0</v>
      </c>
    </row>
    <row r="54" spans="1:18" ht="13.5" thickTop="1" x14ac:dyDescent="0.2"/>
    <row r="55" spans="1:18" x14ac:dyDescent="0.2">
      <c r="B55" s="81" t="s">
        <v>96</v>
      </c>
      <c r="C55" s="60">
        <f>-C51</f>
        <v>0</v>
      </c>
      <c r="D55" s="60">
        <f t="shared" ref="D55:N55" si="3">+-D51+C55</f>
        <v>0</v>
      </c>
      <c r="E55" s="60">
        <f t="shared" si="3"/>
        <v>0</v>
      </c>
      <c r="F55" s="60">
        <f t="shared" si="3"/>
        <v>0</v>
      </c>
      <c r="G55" s="60">
        <f t="shared" si="3"/>
        <v>0</v>
      </c>
      <c r="H55" s="60">
        <f t="shared" si="3"/>
        <v>0</v>
      </c>
      <c r="I55" s="60">
        <f t="shared" si="3"/>
        <v>0</v>
      </c>
      <c r="J55" s="60">
        <f t="shared" si="3"/>
        <v>0</v>
      </c>
      <c r="K55" s="60">
        <f t="shared" si="3"/>
        <v>0</v>
      </c>
      <c r="L55" s="60">
        <f t="shared" si="3"/>
        <v>0</v>
      </c>
      <c r="M55" s="60">
        <f t="shared" si="3"/>
        <v>0</v>
      </c>
      <c r="N55" s="60">
        <f t="shared" si="3"/>
        <v>0</v>
      </c>
      <c r="P55" s="60"/>
    </row>
    <row r="58" spans="1:18" ht="15.75" x14ac:dyDescent="0.25">
      <c r="A58" s="82" t="s">
        <v>88</v>
      </c>
    </row>
    <row r="59" spans="1:18" x14ac:dyDescent="0.2">
      <c r="N59" s="81" t="s">
        <v>98</v>
      </c>
      <c r="O59" s="81" t="s">
        <v>97</v>
      </c>
    </row>
    <row r="60" spans="1:18" ht="15" x14ac:dyDescent="0.2">
      <c r="B60" s="83" t="s">
        <v>95</v>
      </c>
      <c r="N60" s="60">
        <f>+'Monthly Expense Categories'!H37</f>
        <v>154354.32</v>
      </c>
      <c r="O60" s="85">
        <f>-'Monthly Expense Categories'!H58</f>
        <v>0</v>
      </c>
    </row>
    <row r="65" spans="1:16" s="84" customFormat="1" ht="15.75" x14ac:dyDescent="0.25">
      <c r="A65" s="61"/>
      <c r="P65" s="72"/>
    </row>
  </sheetData>
  <phoneticPr fontId="0" type="noConversion"/>
  <printOptions horizontalCentered="1" verticalCentered="1"/>
  <pageMargins left="0.25" right="0.25" top="0.5" bottom="0.5" header="0.5" footer="0.5"/>
  <pageSetup scale="55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opLeftCell="B8" workbookViewId="0">
      <selection activeCell="B18" sqref="A18:IV18"/>
    </sheetView>
  </sheetViews>
  <sheetFormatPr defaultRowHeight="12.75" outlineLevelRow="2" x14ac:dyDescent="0.2"/>
  <cols>
    <col min="1" max="1" width="0" hidden="1" customWidth="1"/>
    <col min="6" max="6" width="10.140625" bestFit="1" customWidth="1"/>
    <col min="7" max="7" width="29.85546875" bestFit="1" customWidth="1"/>
  </cols>
  <sheetData>
    <row r="1" spans="1:34" hidden="1" x14ac:dyDescent="0.2">
      <c r="A1" t="s">
        <v>2</v>
      </c>
      <c r="V1" t="s">
        <v>133</v>
      </c>
      <c r="W1" s="92">
        <v>1</v>
      </c>
      <c r="X1" s="92">
        <v>2</v>
      </c>
      <c r="Y1" s="92">
        <v>3</v>
      </c>
      <c r="Z1" s="92">
        <v>4</v>
      </c>
      <c r="AA1" s="92">
        <v>5</v>
      </c>
      <c r="AB1" s="92">
        <v>6</v>
      </c>
      <c r="AC1" s="92">
        <v>7</v>
      </c>
      <c r="AD1" s="92">
        <v>8</v>
      </c>
      <c r="AE1" s="92">
        <v>9</v>
      </c>
      <c r="AF1" s="92">
        <v>10</v>
      </c>
      <c r="AG1" s="92">
        <v>11</v>
      </c>
      <c r="AH1" s="92">
        <v>12</v>
      </c>
    </row>
    <row r="2" spans="1:34" hidden="1" x14ac:dyDescent="0.2">
      <c r="V2" t="s">
        <v>5</v>
      </c>
      <c r="W2" s="93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34" hidden="1" x14ac:dyDescent="0.2">
      <c r="A3" t="str">
        <f>"Current Info for " &amp; 'Monthly Detail'!C2</f>
        <v>Current Info for Jun</v>
      </c>
      <c r="V3" t="s">
        <v>6</v>
      </c>
      <c r="W3" s="94">
        <v>3</v>
      </c>
      <c r="X3" s="94">
        <v>3</v>
      </c>
      <c r="Y3" s="94">
        <v>3</v>
      </c>
      <c r="Z3" s="94">
        <v>3</v>
      </c>
      <c r="AA3" s="94">
        <v>3</v>
      </c>
      <c r="AB3" s="94">
        <v>3</v>
      </c>
      <c r="AC3" s="94">
        <v>3</v>
      </c>
      <c r="AD3" s="94">
        <v>3</v>
      </c>
      <c r="AE3" s="94">
        <v>3</v>
      </c>
      <c r="AF3" s="94">
        <v>3</v>
      </c>
      <c r="AG3" s="94">
        <v>3</v>
      </c>
      <c r="AH3" s="94">
        <v>3</v>
      </c>
    </row>
    <row r="4" spans="1:34" hidden="1" x14ac:dyDescent="0.2">
      <c r="A4" t="s">
        <v>6</v>
      </c>
      <c r="B4" t="s">
        <v>5</v>
      </c>
      <c r="C4" t="s">
        <v>22</v>
      </c>
    </row>
    <row r="5" spans="1:34" hidden="1" x14ac:dyDescent="0.2">
      <c r="A5">
        <f>SUMIF(B13:M13,Month,B15:M15)</f>
        <v>3</v>
      </c>
      <c r="B5">
        <f>SUMIF(B13:M13,Month,B14:M14)</f>
        <v>0</v>
      </c>
      <c r="C5">
        <v>0</v>
      </c>
    </row>
    <row r="6" spans="1:34" hidden="1" x14ac:dyDescent="0.2"/>
    <row r="7" spans="1:34" hidden="1" x14ac:dyDescent="0.2"/>
    <row r="8" spans="1:34" ht="15.75" x14ac:dyDescent="0.25">
      <c r="B8" s="273" t="s">
        <v>160</v>
      </c>
      <c r="C8" s="273"/>
      <c r="D8" s="273"/>
      <c r="E8" s="273"/>
      <c r="F8" s="273"/>
      <c r="G8" s="273"/>
      <c r="H8" s="273"/>
    </row>
    <row r="9" spans="1:34" ht="15.75" x14ac:dyDescent="0.25">
      <c r="B9" s="273" t="s">
        <v>2</v>
      </c>
      <c r="C9" s="273"/>
      <c r="D9" s="273"/>
      <c r="E9" s="273"/>
      <c r="F9" s="273"/>
      <c r="G9" s="273"/>
      <c r="H9" s="273"/>
    </row>
    <row r="10" spans="1:34" ht="15.75" x14ac:dyDescent="0.25">
      <c r="B10" s="273" t="s">
        <v>276</v>
      </c>
      <c r="C10" s="273"/>
      <c r="D10" s="273"/>
      <c r="E10" s="273"/>
      <c r="F10" s="273"/>
      <c r="G10" s="273"/>
      <c r="H10" s="273"/>
    </row>
    <row r="11" spans="1:34" x14ac:dyDescent="0.2">
      <c r="B11" s="274"/>
      <c r="C11" s="274"/>
      <c r="D11" s="274"/>
      <c r="E11" s="274"/>
      <c r="F11" s="274"/>
      <c r="G11" s="274"/>
      <c r="H11" s="274"/>
    </row>
    <row r="12" spans="1:34" ht="13.5" hidden="1" customHeight="1" x14ac:dyDescent="0.2">
      <c r="B12" s="244"/>
      <c r="C12" s="244"/>
      <c r="D12" s="244"/>
      <c r="E12" s="244"/>
      <c r="F12" s="244"/>
      <c r="G12" s="244"/>
      <c r="H12" s="244"/>
    </row>
    <row r="13" spans="1:34" hidden="1" x14ac:dyDescent="0.2">
      <c r="A13" t="s">
        <v>133</v>
      </c>
      <c r="B13" s="245">
        <v>1</v>
      </c>
      <c r="C13" s="245">
        <v>2</v>
      </c>
      <c r="D13" s="245">
        <v>3</v>
      </c>
      <c r="E13" s="245">
        <v>4</v>
      </c>
      <c r="F13" s="245"/>
      <c r="G13" s="245"/>
      <c r="H13" s="245">
        <v>5</v>
      </c>
      <c r="I13" s="92">
        <v>6</v>
      </c>
      <c r="J13" s="92">
        <v>7</v>
      </c>
      <c r="K13" s="92"/>
      <c r="L13" s="92"/>
      <c r="M13" s="92">
        <v>10</v>
      </c>
      <c r="N13" s="92">
        <v>11</v>
      </c>
      <c r="O13" s="92">
        <v>12</v>
      </c>
    </row>
    <row r="14" spans="1:34" hidden="1" x14ac:dyDescent="0.2">
      <c r="A14" t="s">
        <v>5</v>
      </c>
      <c r="B14" s="246">
        <f t="shared" ref="B14:E15" si="0">IF(ISBLANK(Y2),0,Y2)</f>
        <v>0</v>
      </c>
      <c r="C14" s="246">
        <f t="shared" si="0"/>
        <v>0</v>
      </c>
      <c r="D14" s="246">
        <f t="shared" si="0"/>
        <v>0</v>
      </c>
      <c r="E14" s="246">
        <f t="shared" si="0"/>
        <v>0</v>
      </c>
      <c r="F14" s="246"/>
      <c r="G14" s="246"/>
      <c r="H14" s="246">
        <f t="shared" ref="H14:O15" si="1">IF(ISBLANK(AC2),0,AC2)</f>
        <v>0</v>
      </c>
      <c r="I14" s="93">
        <f t="shared" si="1"/>
        <v>0</v>
      </c>
      <c r="J14" s="93">
        <f t="shared" si="1"/>
        <v>0</v>
      </c>
      <c r="K14" s="93"/>
      <c r="L14" s="93"/>
      <c r="M14" s="93">
        <f t="shared" si="1"/>
        <v>0</v>
      </c>
      <c r="N14" s="93">
        <f t="shared" si="1"/>
        <v>0</v>
      </c>
      <c r="O14" s="93">
        <f t="shared" si="1"/>
        <v>0</v>
      </c>
    </row>
    <row r="15" spans="1:34" hidden="1" x14ac:dyDescent="0.2">
      <c r="A15" t="s">
        <v>6</v>
      </c>
      <c r="B15" s="246">
        <f t="shared" si="0"/>
        <v>3</v>
      </c>
      <c r="C15" s="246">
        <f t="shared" si="0"/>
        <v>3</v>
      </c>
      <c r="D15" s="246">
        <f t="shared" si="0"/>
        <v>3</v>
      </c>
      <c r="E15" s="246">
        <f t="shared" si="0"/>
        <v>3</v>
      </c>
      <c r="F15" s="246"/>
      <c r="G15" s="246"/>
      <c r="H15" s="246">
        <f t="shared" si="1"/>
        <v>3</v>
      </c>
      <c r="I15" s="93">
        <f t="shared" si="1"/>
        <v>3</v>
      </c>
      <c r="J15" s="93">
        <f t="shared" si="1"/>
        <v>3</v>
      </c>
      <c r="K15" s="93"/>
      <c r="L15" s="93"/>
      <c r="M15" s="93">
        <f t="shared" si="1"/>
        <v>3</v>
      </c>
      <c r="N15" s="93">
        <f t="shared" si="1"/>
        <v>0</v>
      </c>
      <c r="O15" s="93">
        <f t="shared" si="1"/>
        <v>0</v>
      </c>
    </row>
    <row r="16" spans="1:34" hidden="1" x14ac:dyDescent="0.2">
      <c r="B16" s="244"/>
      <c r="C16" s="244"/>
      <c r="D16" s="244"/>
      <c r="E16" s="244"/>
      <c r="F16" s="244"/>
      <c r="G16" s="244"/>
      <c r="H16" s="244"/>
    </row>
    <row r="17" spans="2:11" x14ac:dyDescent="0.2">
      <c r="B17" s="272"/>
      <c r="C17" s="272"/>
      <c r="D17" s="272"/>
      <c r="E17" s="272"/>
      <c r="F17" s="272"/>
      <c r="G17" s="272"/>
      <c r="H17" s="272"/>
    </row>
    <row r="18" spans="2:11" ht="13.5" thickBot="1" x14ac:dyDescent="0.25">
      <c r="B18" s="247" t="s">
        <v>277</v>
      </c>
      <c r="C18" s="247" t="s">
        <v>278</v>
      </c>
      <c r="D18" s="247" t="s">
        <v>279</v>
      </c>
      <c r="E18" s="247" t="s">
        <v>280</v>
      </c>
      <c r="F18" s="247" t="s">
        <v>281</v>
      </c>
      <c r="G18" s="247" t="s">
        <v>282</v>
      </c>
      <c r="H18" s="247" t="s">
        <v>283</v>
      </c>
      <c r="K18" s="32"/>
    </row>
    <row r="19" spans="2:11" ht="13.5" outlineLevel="2" thickTop="1" x14ac:dyDescent="0.2">
      <c r="B19" s="248" t="s">
        <v>284</v>
      </c>
      <c r="C19" s="249" t="s">
        <v>285</v>
      </c>
      <c r="D19" s="248" t="s">
        <v>286</v>
      </c>
      <c r="E19" s="248" t="s">
        <v>286</v>
      </c>
      <c r="F19" s="32" t="s">
        <v>287</v>
      </c>
      <c r="G19" s="32" t="s">
        <v>288</v>
      </c>
      <c r="H19" s="32">
        <v>103832</v>
      </c>
    </row>
    <row r="20" spans="2:11" outlineLevel="1" x14ac:dyDescent="0.2">
      <c r="B20" s="248"/>
      <c r="C20" s="249"/>
      <c r="D20" s="248"/>
      <c r="E20" s="248"/>
      <c r="F20" s="32"/>
      <c r="G20" s="242" t="s">
        <v>289</v>
      </c>
      <c r="H20" s="32">
        <f>SUBTOTAL(3,H19:H19)</f>
        <v>1</v>
      </c>
    </row>
  </sheetData>
  <mergeCells count="5">
    <mergeCell ref="B17:H17"/>
    <mergeCell ref="B8:H8"/>
    <mergeCell ref="B9:H9"/>
    <mergeCell ref="B10:H10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55</vt:i4>
      </vt:variant>
    </vt:vector>
  </HeadingPairs>
  <TitlesOfParts>
    <vt:vector size="63" baseType="lpstr">
      <vt:lpstr>Graph</vt:lpstr>
      <vt:lpstr>Cost Center Summary</vt:lpstr>
      <vt:lpstr>Data</vt:lpstr>
      <vt:lpstr>Monthly Expense Categories</vt:lpstr>
      <vt:lpstr>Monthly Detail</vt:lpstr>
      <vt:lpstr>Monthly Plan</vt:lpstr>
      <vt:lpstr>Allocations</vt:lpstr>
      <vt:lpstr>Headcount</vt:lpstr>
      <vt:lpstr>ActualClear</vt:lpstr>
      <vt:lpstr>AprA</vt:lpstr>
      <vt:lpstr>AprAY</vt:lpstr>
      <vt:lpstr>AprP</vt:lpstr>
      <vt:lpstr>AugA</vt:lpstr>
      <vt:lpstr>AugAY</vt:lpstr>
      <vt:lpstr>AugP</vt:lpstr>
      <vt:lpstr>AYTD</vt:lpstr>
      <vt:lpstr>DecA</vt:lpstr>
      <vt:lpstr>DecAY</vt:lpstr>
      <vt:lpstr>DecP</vt:lpstr>
      <vt:lpstr>FebA</vt:lpstr>
      <vt:lpstr>FebP</vt:lpstr>
      <vt:lpstr>graph</vt:lpstr>
      <vt:lpstr>Headcount</vt:lpstr>
      <vt:lpstr>JanA</vt:lpstr>
      <vt:lpstr>JanP</vt:lpstr>
      <vt:lpstr>JulA</vt:lpstr>
      <vt:lpstr>JulAY</vt:lpstr>
      <vt:lpstr>JulP</vt:lpstr>
      <vt:lpstr>JunA</vt:lpstr>
      <vt:lpstr>JunAY</vt:lpstr>
      <vt:lpstr>JunP</vt:lpstr>
      <vt:lpstr>MarA</vt:lpstr>
      <vt:lpstr>MarP</vt:lpstr>
      <vt:lpstr>MayA</vt:lpstr>
      <vt:lpstr>MayAY</vt:lpstr>
      <vt:lpstr>MayP</vt:lpstr>
      <vt:lpstr>Month</vt:lpstr>
      <vt:lpstr>MonthlyClear</vt:lpstr>
      <vt:lpstr>Names</vt:lpstr>
      <vt:lpstr>NovA</vt:lpstr>
      <vt:lpstr>NovAY</vt:lpstr>
      <vt:lpstr>NovP</vt:lpstr>
      <vt:lpstr>OctA</vt:lpstr>
      <vt:lpstr>OctAY</vt:lpstr>
      <vt:lpstr>OctP</vt:lpstr>
      <vt:lpstr>PlanClear</vt:lpstr>
      <vt:lpstr>Allocations!Print_Area</vt:lpstr>
      <vt:lpstr>'Cost Center Summary'!Print_Area</vt:lpstr>
      <vt:lpstr>Data!Print_Area</vt:lpstr>
      <vt:lpstr>Graph!Print_Area</vt:lpstr>
      <vt:lpstr>Headcount!Print_Area</vt:lpstr>
      <vt:lpstr>'Monthly Detail'!Print_Area</vt:lpstr>
      <vt:lpstr>'Monthly Expense Categories'!Print_Area</vt:lpstr>
      <vt:lpstr>'Monthly Plan'!Print_Area</vt:lpstr>
      <vt:lpstr>'Monthly Detail'!Print_Titles</vt:lpstr>
      <vt:lpstr>'Monthly Plan'!Print_Titles</vt:lpstr>
      <vt:lpstr>PYTD</vt:lpstr>
      <vt:lpstr>Salaries_and_Wages</vt:lpstr>
      <vt:lpstr>SepA</vt:lpstr>
      <vt:lpstr>SepAY</vt:lpstr>
      <vt:lpstr>SepP</vt:lpstr>
      <vt:lpstr>totalplan</vt:lpstr>
      <vt:lpstr>YTDP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sbrown</dc:creator>
  <dc:description>- Oracle 8i ODBC QueryFix Applied</dc:description>
  <cp:lastModifiedBy>Jan Havlíček</cp:lastModifiedBy>
  <cp:lastPrinted>2001-06-08T13:31:06Z</cp:lastPrinted>
  <dcterms:created xsi:type="dcterms:W3CDTF">2000-03-26T17:35:47Z</dcterms:created>
  <dcterms:modified xsi:type="dcterms:W3CDTF">2023-09-17T20:25:12Z</dcterms:modified>
</cp:coreProperties>
</file>