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9BBFACA-6B71-4C43-B63E-2FE4E85906B7}" xr6:coauthVersionLast="47" xr6:coauthVersionMax="47" xr10:uidLastSave="{00000000-0000-0000-0000-000000000000}"/>
  <bookViews>
    <workbookView xWindow="-120" yWindow="-120" windowWidth="38640" windowHeight="15720" activeTab="1"/>
  </bookViews>
  <sheets>
    <sheet name="Chart1" sheetId="2" r:id="rId1"/>
    <sheet name="BMSPT066" sheetId="1" r:id="rId2"/>
  </sheets>
  <externalReferences>
    <externalReference r:id="rId3"/>
    <externalReference r:id="rId4"/>
    <externalReference r:id="rId5"/>
    <externalReference r:id="rId6"/>
    <externalReference r:id="rId7"/>
  </externalReferences>
  <definedNames>
    <definedName name="_xlnm.Print_Area" localSheetId="1">BMSPT066!$A$1:$W$47</definedName>
    <definedName name="_xlnm.Print_Titles" localSheetId="1">BMSPT066!$A:$A</definedName>
  </definedNames>
  <calcPr calcId="0" fullCalcOnLoad="1" iterate="1" iterateCount="1"/>
</workbook>
</file>

<file path=xl/calcChain.xml><?xml version="1.0" encoding="utf-8"?>
<calcChain xmlns="http://schemas.openxmlformats.org/spreadsheetml/2006/main">
  <c r="N5" i="1" l="1"/>
  <c r="E6" i="1"/>
  <c r="H6" i="1"/>
  <c r="I6" i="1"/>
  <c r="K6" i="1"/>
  <c r="L6" i="1"/>
  <c r="M6" i="1"/>
  <c r="N6" i="1"/>
  <c r="O6" i="1"/>
  <c r="Q6" i="1"/>
  <c r="E8" i="1"/>
  <c r="H8" i="1"/>
  <c r="I8" i="1"/>
  <c r="J8" i="1"/>
  <c r="K8" i="1"/>
  <c r="N8" i="1"/>
  <c r="O8" i="1"/>
  <c r="Q8" i="1"/>
  <c r="R8" i="1"/>
  <c r="S8" i="1"/>
  <c r="U8" i="1"/>
  <c r="V8" i="1"/>
  <c r="W8" i="1"/>
  <c r="X8" i="1"/>
  <c r="A9" i="1"/>
  <c r="E9" i="1"/>
  <c r="H9" i="1"/>
  <c r="I9" i="1"/>
  <c r="J9" i="1"/>
  <c r="K9" i="1"/>
  <c r="L9" i="1"/>
  <c r="M9" i="1"/>
  <c r="N9" i="1"/>
  <c r="O9" i="1"/>
  <c r="Q9" i="1"/>
  <c r="R9" i="1"/>
  <c r="S9" i="1"/>
  <c r="U9" i="1"/>
  <c r="V9" i="1"/>
  <c r="W9" i="1"/>
  <c r="X9" i="1"/>
  <c r="A10" i="1"/>
  <c r="E10" i="1"/>
  <c r="H10" i="1"/>
  <c r="I10" i="1"/>
  <c r="J10" i="1"/>
  <c r="K10" i="1"/>
  <c r="L10" i="1"/>
  <c r="M10" i="1"/>
  <c r="N10" i="1"/>
  <c r="O10" i="1"/>
  <c r="Q10" i="1"/>
  <c r="R10" i="1"/>
  <c r="S10" i="1"/>
  <c r="U10" i="1"/>
  <c r="V10" i="1"/>
  <c r="W10" i="1"/>
  <c r="X10" i="1"/>
  <c r="A11" i="1"/>
  <c r="E11" i="1"/>
  <c r="H11" i="1"/>
  <c r="I11" i="1"/>
  <c r="J11" i="1"/>
  <c r="K11" i="1"/>
  <c r="L11" i="1"/>
  <c r="M11" i="1"/>
  <c r="N11" i="1"/>
  <c r="O11" i="1"/>
  <c r="Q11" i="1"/>
  <c r="R11" i="1"/>
  <c r="S11" i="1"/>
  <c r="U11" i="1"/>
  <c r="V11" i="1"/>
  <c r="W11" i="1"/>
  <c r="X11" i="1"/>
  <c r="A12" i="1"/>
  <c r="E12" i="1"/>
  <c r="H12" i="1"/>
  <c r="I12" i="1"/>
  <c r="J12" i="1"/>
  <c r="K12" i="1"/>
  <c r="L12" i="1"/>
  <c r="M12" i="1"/>
  <c r="N12" i="1"/>
  <c r="O12" i="1"/>
  <c r="Q12" i="1"/>
  <c r="R12" i="1"/>
  <c r="S12" i="1"/>
  <c r="U12" i="1"/>
  <c r="V12" i="1"/>
  <c r="W12" i="1"/>
  <c r="X12" i="1"/>
  <c r="A13" i="1"/>
  <c r="E13" i="1"/>
  <c r="H13" i="1"/>
  <c r="I13" i="1"/>
  <c r="J13" i="1"/>
  <c r="K13" i="1"/>
  <c r="L13" i="1"/>
  <c r="M13" i="1"/>
  <c r="N13" i="1"/>
  <c r="O13" i="1"/>
  <c r="Q13" i="1"/>
  <c r="R13" i="1"/>
  <c r="S13" i="1"/>
  <c r="U13" i="1"/>
  <c r="V13" i="1"/>
  <c r="W13" i="1"/>
  <c r="X13" i="1"/>
  <c r="A14" i="1"/>
  <c r="E14" i="1"/>
  <c r="H14" i="1"/>
  <c r="I14" i="1"/>
  <c r="J14" i="1"/>
  <c r="K14" i="1"/>
  <c r="L14" i="1"/>
  <c r="M14" i="1"/>
  <c r="N14" i="1"/>
  <c r="O14" i="1"/>
  <c r="Q14" i="1"/>
  <c r="R14" i="1"/>
  <c r="S14" i="1"/>
  <c r="U14" i="1"/>
  <c r="V14" i="1"/>
  <c r="W14" i="1"/>
  <c r="X14" i="1"/>
  <c r="A15" i="1"/>
  <c r="E15" i="1"/>
  <c r="H15" i="1"/>
  <c r="I15" i="1"/>
  <c r="J15" i="1"/>
  <c r="K15" i="1"/>
  <c r="L15" i="1"/>
  <c r="M15" i="1"/>
  <c r="N15" i="1"/>
  <c r="O15" i="1"/>
  <c r="Q15" i="1"/>
  <c r="R15" i="1"/>
  <c r="S15" i="1"/>
  <c r="U15" i="1"/>
  <c r="V15" i="1"/>
  <c r="W15" i="1"/>
  <c r="X15" i="1"/>
  <c r="A16" i="1"/>
  <c r="E16" i="1"/>
  <c r="H16" i="1"/>
  <c r="I16" i="1"/>
  <c r="J16" i="1"/>
  <c r="K16" i="1"/>
  <c r="L16" i="1"/>
  <c r="M16" i="1"/>
  <c r="N16" i="1"/>
  <c r="O16" i="1"/>
  <c r="Q16" i="1"/>
  <c r="R16" i="1"/>
  <c r="S16" i="1"/>
  <c r="U16" i="1"/>
  <c r="V16" i="1"/>
  <c r="W16" i="1"/>
  <c r="X16" i="1"/>
  <c r="A17" i="1"/>
  <c r="E17" i="1"/>
  <c r="H17" i="1"/>
  <c r="I17" i="1"/>
  <c r="J17" i="1"/>
  <c r="K17" i="1"/>
  <c r="L17" i="1"/>
  <c r="M17" i="1"/>
  <c r="N17" i="1"/>
  <c r="O17" i="1"/>
  <c r="Q17" i="1"/>
  <c r="R17" i="1"/>
  <c r="S17" i="1"/>
  <c r="U17" i="1"/>
  <c r="V17" i="1"/>
  <c r="W17" i="1"/>
  <c r="X17" i="1"/>
  <c r="A18" i="1"/>
  <c r="E18" i="1"/>
  <c r="H18" i="1"/>
  <c r="I18" i="1"/>
  <c r="J18" i="1"/>
  <c r="K18" i="1"/>
  <c r="L18" i="1"/>
  <c r="M18" i="1"/>
  <c r="N18" i="1"/>
  <c r="O18" i="1"/>
  <c r="Q18" i="1"/>
  <c r="R18" i="1"/>
  <c r="S18" i="1"/>
  <c r="U18" i="1"/>
  <c r="V18" i="1"/>
  <c r="W18" i="1"/>
  <c r="X18" i="1"/>
  <c r="A19" i="1"/>
  <c r="E19" i="1"/>
  <c r="H19" i="1"/>
  <c r="I19" i="1"/>
  <c r="J19" i="1"/>
  <c r="K19" i="1"/>
  <c r="L19" i="1"/>
  <c r="M19" i="1"/>
  <c r="N19" i="1"/>
  <c r="O19" i="1"/>
  <c r="Q19" i="1"/>
  <c r="R19" i="1"/>
  <c r="S19" i="1"/>
  <c r="U19" i="1"/>
  <c r="V19" i="1"/>
  <c r="W19" i="1"/>
  <c r="X19" i="1"/>
  <c r="A20" i="1"/>
  <c r="E20" i="1"/>
  <c r="H20" i="1"/>
  <c r="I20" i="1"/>
  <c r="J20" i="1"/>
  <c r="K20" i="1"/>
  <c r="L20" i="1"/>
  <c r="M20" i="1"/>
  <c r="N20" i="1"/>
  <c r="O20" i="1"/>
  <c r="Q20" i="1"/>
  <c r="R20" i="1"/>
  <c r="S20" i="1"/>
  <c r="U20" i="1"/>
  <c r="V20" i="1"/>
  <c r="W20" i="1"/>
  <c r="X20" i="1"/>
  <c r="A21" i="1"/>
  <c r="E21" i="1"/>
  <c r="H21" i="1"/>
  <c r="I21" i="1"/>
  <c r="J21" i="1"/>
  <c r="K21" i="1"/>
  <c r="L21" i="1"/>
  <c r="M21" i="1"/>
  <c r="N21" i="1"/>
  <c r="O21" i="1"/>
  <c r="Q21" i="1"/>
  <c r="R21" i="1"/>
  <c r="S21" i="1"/>
  <c r="U21" i="1"/>
  <c r="V21" i="1"/>
  <c r="W21" i="1"/>
  <c r="X21" i="1"/>
  <c r="A22" i="1"/>
  <c r="E22" i="1"/>
  <c r="H22" i="1"/>
  <c r="I22" i="1"/>
  <c r="J22" i="1"/>
  <c r="K22" i="1"/>
  <c r="L22" i="1"/>
  <c r="M22" i="1"/>
  <c r="N22" i="1"/>
  <c r="O22" i="1"/>
  <c r="Q22" i="1"/>
  <c r="R22" i="1"/>
  <c r="S22" i="1"/>
  <c r="U22" i="1"/>
  <c r="V22" i="1"/>
  <c r="W22" i="1"/>
  <c r="X22" i="1"/>
  <c r="A23" i="1"/>
  <c r="E23" i="1"/>
  <c r="H23" i="1"/>
  <c r="I23" i="1"/>
  <c r="J23" i="1"/>
  <c r="K23" i="1"/>
  <c r="L23" i="1"/>
  <c r="M23" i="1"/>
  <c r="N23" i="1"/>
  <c r="O23" i="1"/>
  <c r="Q23" i="1"/>
  <c r="R23" i="1"/>
  <c r="S23" i="1"/>
  <c r="U23" i="1"/>
  <c r="V23" i="1"/>
  <c r="W23" i="1"/>
  <c r="X23" i="1"/>
  <c r="A24" i="1"/>
  <c r="E24" i="1"/>
  <c r="H24" i="1"/>
  <c r="I24" i="1"/>
  <c r="J24" i="1"/>
  <c r="K24" i="1"/>
  <c r="L24" i="1"/>
  <c r="M24" i="1"/>
  <c r="N24" i="1"/>
  <c r="O24" i="1"/>
  <c r="Q24" i="1"/>
  <c r="R24" i="1"/>
  <c r="S24" i="1"/>
  <c r="U24" i="1"/>
  <c r="V24" i="1"/>
  <c r="W24" i="1"/>
  <c r="X24" i="1"/>
  <c r="A25" i="1"/>
  <c r="E25" i="1"/>
  <c r="H25" i="1"/>
  <c r="I25" i="1"/>
  <c r="J25" i="1"/>
  <c r="K25" i="1"/>
  <c r="L25" i="1"/>
  <c r="M25" i="1"/>
  <c r="N25" i="1"/>
  <c r="O25" i="1"/>
  <c r="Q25" i="1"/>
  <c r="R25" i="1"/>
  <c r="S25" i="1"/>
  <c r="U25" i="1"/>
  <c r="V25" i="1"/>
  <c r="W25" i="1"/>
  <c r="X25" i="1"/>
  <c r="A26" i="1"/>
  <c r="E26" i="1"/>
  <c r="H26" i="1"/>
  <c r="I26" i="1"/>
  <c r="J26" i="1"/>
  <c r="K26" i="1"/>
  <c r="L26" i="1"/>
  <c r="M26" i="1"/>
  <c r="N26" i="1"/>
  <c r="O26" i="1"/>
  <c r="Q26" i="1"/>
  <c r="R26" i="1"/>
  <c r="S26" i="1"/>
  <c r="U26" i="1"/>
  <c r="V26" i="1"/>
  <c r="W26" i="1"/>
  <c r="X26" i="1"/>
  <c r="A27" i="1"/>
  <c r="E27" i="1"/>
  <c r="H27" i="1"/>
  <c r="I27" i="1"/>
  <c r="J27" i="1"/>
  <c r="K27" i="1"/>
  <c r="L27" i="1"/>
  <c r="M27" i="1"/>
  <c r="N27" i="1"/>
  <c r="O27" i="1"/>
  <c r="Q27" i="1"/>
  <c r="R27" i="1"/>
  <c r="S27" i="1"/>
  <c r="U27" i="1"/>
  <c r="V27" i="1"/>
  <c r="W27" i="1"/>
  <c r="X27" i="1"/>
  <c r="A28" i="1"/>
  <c r="E28" i="1"/>
  <c r="H28" i="1"/>
  <c r="I28" i="1"/>
  <c r="J28" i="1"/>
  <c r="K28" i="1"/>
  <c r="L28" i="1"/>
  <c r="M28" i="1"/>
  <c r="N28" i="1"/>
  <c r="O28" i="1"/>
  <c r="Q28" i="1"/>
  <c r="R28" i="1"/>
  <c r="S28" i="1"/>
  <c r="U28" i="1"/>
  <c r="V28" i="1"/>
  <c r="W28" i="1"/>
  <c r="X28" i="1"/>
  <c r="A29" i="1"/>
  <c r="E29" i="1"/>
  <c r="H29" i="1"/>
  <c r="I29" i="1"/>
  <c r="J29" i="1"/>
  <c r="K29" i="1"/>
  <c r="L29" i="1"/>
  <c r="M29" i="1"/>
  <c r="N29" i="1"/>
  <c r="O29" i="1"/>
  <c r="Q29" i="1"/>
  <c r="R29" i="1"/>
  <c r="S29" i="1"/>
  <c r="U29" i="1"/>
  <c r="V29" i="1"/>
  <c r="W29" i="1"/>
  <c r="X29" i="1"/>
  <c r="A30" i="1"/>
  <c r="E30" i="1"/>
  <c r="H30" i="1"/>
  <c r="I30" i="1"/>
  <c r="J30" i="1"/>
  <c r="K30" i="1"/>
  <c r="L30" i="1"/>
  <c r="M30" i="1"/>
  <c r="N30" i="1"/>
  <c r="O30" i="1"/>
  <c r="Q30" i="1"/>
  <c r="R30" i="1"/>
  <c r="S30" i="1"/>
  <c r="U30" i="1"/>
  <c r="V30" i="1"/>
  <c r="W30" i="1"/>
  <c r="X30" i="1"/>
  <c r="A31" i="1"/>
  <c r="E31" i="1"/>
  <c r="H31" i="1"/>
  <c r="I31" i="1"/>
  <c r="J31" i="1"/>
  <c r="K31" i="1"/>
  <c r="L31" i="1"/>
  <c r="M31" i="1"/>
  <c r="N31" i="1"/>
  <c r="O31" i="1"/>
  <c r="Q31" i="1"/>
  <c r="R31" i="1"/>
  <c r="S31" i="1"/>
  <c r="U31" i="1"/>
  <c r="V31" i="1"/>
  <c r="W31" i="1"/>
  <c r="X31" i="1"/>
  <c r="A32" i="1"/>
  <c r="E32" i="1"/>
  <c r="H32" i="1"/>
  <c r="I32" i="1"/>
  <c r="J32" i="1"/>
  <c r="K32" i="1"/>
  <c r="L32" i="1"/>
  <c r="M32" i="1"/>
  <c r="N32" i="1"/>
  <c r="O32" i="1"/>
  <c r="Q32" i="1"/>
  <c r="R32" i="1"/>
  <c r="S32" i="1"/>
  <c r="U32" i="1"/>
  <c r="V32" i="1"/>
  <c r="W32" i="1"/>
  <c r="X32" i="1"/>
  <c r="A33" i="1"/>
  <c r="E33" i="1"/>
  <c r="H33" i="1"/>
  <c r="I33" i="1"/>
  <c r="J33" i="1"/>
  <c r="K33" i="1"/>
  <c r="L33" i="1"/>
  <c r="M33" i="1"/>
  <c r="N33" i="1"/>
  <c r="O33" i="1"/>
  <c r="Q33" i="1"/>
  <c r="R33" i="1"/>
  <c r="S33" i="1"/>
  <c r="U33" i="1"/>
  <c r="V33" i="1"/>
  <c r="W33" i="1"/>
  <c r="X33" i="1"/>
  <c r="A34" i="1"/>
  <c r="E34" i="1"/>
  <c r="H34" i="1"/>
  <c r="I34" i="1"/>
  <c r="J34" i="1"/>
  <c r="K34" i="1"/>
  <c r="L34" i="1"/>
  <c r="M34" i="1"/>
  <c r="N34" i="1"/>
  <c r="O34" i="1"/>
  <c r="Q34" i="1"/>
  <c r="R34" i="1"/>
  <c r="S34" i="1"/>
  <c r="U34" i="1"/>
  <c r="V34" i="1"/>
  <c r="W34" i="1"/>
  <c r="X34" i="1"/>
  <c r="A35" i="1"/>
  <c r="E35" i="1"/>
  <c r="H35" i="1"/>
  <c r="I35" i="1"/>
  <c r="J35" i="1"/>
  <c r="K35" i="1"/>
  <c r="L35" i="1"/>
  <c r="M35" i="1"/>
  <c r="N35" i="1"/>
  <c r="O35" i="1"/>
  <c r="Q35" i="1"/>
  <c r="R35" i="1"/>
  <c r="S35" i="1"/>
  <c r="U35" i="1"/>
  <c r="V35" i="1"/>
  <c r="W35" i="1"/>
  <c r="X35" i="1"/>
  <c r="A36" i="1"/>
  <c r="E36" i="1"/>
  <c r="H36" i="1"/>
  <c r="I36" i="1"/>
  <c r="J36" i="1"/>
  <c r="K36" i="1"/>
  <c r="L36" i="1"/>
  <c r="M36" i="1"/>
  <c r="N36" i="1"/>
  <c r="O36" i="1"/>
  <c r="Q36" i="1"/>
  <c r="R36" i="1"/>
  <c r="S36" i="1"/>
  <c r="U36" i="1"/>
  <c r="V36" i="1"/>
  <c r="W36" i="1"/>
  <c r="X36" i="1"/>
  <c r="A37" i="1"/>
  <c r="E37" i="1"/>
  <c r="H37" i="1"/>
  <c r="I37" i="1"/>
  <c r="J37" i="1"/>
  <c r="K37" i="1"/>
  <c r="L37" i="1"/>
  <c r="M37" i="1"/>
  <c r="N37" i="1"/>
  <c r="O37" i="1"/>
  <c r="Q37" i="1"/>
  <c r="R37" i="1"/>
  <c r="S37" i="1"/>
  <c r="U37" i="1"/>
  <c r="V37" i="1"/>
  <c r="W37" i="1"/>
  <c r="X37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Q40" i="1"/>
  <c r="R40" i="1"/>
  <c r="S40" i="1"/>
  <c r="U40" i="1"/>
  <c r="V40" i="1"/>
  <c r="W40" i="1"/>
  <c r="X40" i="1"/>
  <c r="Y40" i="1"/>
  <c r="AA40" i="1"/>
  <c r="AA41" i="1"/>
  <c r="E42" i="1"/>
  <c r="H42" i="1"/>
  <c r="I42" i="1"/>
  <c r="K42" i="1"/>
  <c r="L42" i="1"/>
  <c r="M42" i="1"/>
  <c r="N42" i="1"/>
  <c r="AA42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Q43" i="1"/>
  <c r="R43" i="1"/>
  <c r="S43" i="1"/>
  <c r="U43" i="1"/>
  <c r="V43" i="1"/>
  <c r="W43" i="1"/>
  <c r="K44" i="1"/>
  <c r="Q44" i="1"/>
  <c r="R44" i="1"/>
  <c r="S44" i="1"/>
  <c r="U44" i="1"/>
  <c r="V44" i="1"/>
  <c r="W44" i="1"/>
  <c r="K45" i="1"/>
  <c r="K46" i="1"/>
  <c r="W46" i="1"/>
  <c r="K47" i="1"/>
</calcChain>
</file>

<file path=xl/sharedStrings.xml><?xml version="1.0" encoding="utf-8"?>
<sst xmlns="http://schemas.openxmlformats.org/spreadsheetml/2006/main" count="74" uniqueCount="43">
  <si>
    <t>SWING CONTRACT VOLUMES</t>
  </si>
  <si>
    <t>3rd Party</t>
  </si>
  <si>
    <t>ECT TOTAL</t>
  </si>
  <si>
    <t xml:space="preserve"> TOTAL</t>
  </si>
  <si>
    <t>HL&amp;P</t>
  </si>
  <si>
    <t>TUFCO</t>
  </si>
  <si>
    <t>TOTAL</t>
  </si>
  <si>
    <t>CURRENT DAY</t>
  </si>
  <si>
    <t>Beginning Balance</t>
  </si>
  <si>
    <t>Ending Balance</t>
  </si>
  <si>
    <t>Variances:</t>
  </si>
  <si>
    <t>Total Projected</t>
  </si>
  <si>
    <t>VOLUME SPLIT BY Counterparties</t>
  </si>
  <si>
    <t>CP&amp;L</t>
  </si>
  <si>
    <t>TUFCO/ HL&amp;P/ CP&amp;L SWING VOLUME</t>
  </si>
  <si>
    <t>ECT LONG OR (SHORT)</t>
  </si>
  <si>
    <t>ECT LONG/(SHORT)</t>
  </si>
  <si>
    <t>Total</t>
  </si>
  <si>
    <t>MTD Adjustment</t>
  </si>
  <si>
    <t>ECT FIRST OF THE MONTH</t>
  </si>
  <si>
    <t>HPLC Total</t>
  </si>
  <si>
    <t>LONG/(SHORT)</t>
  </si>
  <si>
    <t>HPLC Excluding 3rd Party</t>
  </si>
  <si>
    <t>Net LONG/ (SHORT)</t>
  </si>
  <si>
    <t>Reinject Fees</t>
  </si>
  <si>
    <t>Value</t>
  </si>
  <si>
    <t xml:space="preserve">  </t>
  </si>
  <si>
    <t>Index:</t>
  </si>
  <si>
    <t>Fuel:</t>
  </si>
  <si>
    <t>Fuel Rate:</t>
  </si>
  <si>
    <t>Prod.Tx Rate:</t>
  </si>
  <si>
    <t>Variance:</t>
  </si>
  <si>
    <t>Previous Position:</t>
  </si>
  <si>
    <t>HPL INDEX</t>
  </si>
  <si>
    <t>HPL FIXED PRICE</t>
  </si>
  <si>
    <t>Injected Volume</t>
  </si>
  <si>
    <t>BAMMEL STORAGE ACTIVITY</t>
  </si>
  <si>
    <t>Estimated</t>
  </si>
  <si>
    <t>March 31 thru April 6</t>
  </si>
  <si>
    <t>April 14 thru April 20</t>
  </si>
  <si>
    <t>April 21 thru April 27</t>
  </si>
  <si>
    <t>April 7 thru April 13</t>
  </si>
  <si>
    <t>Scheduled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</si>
</sst>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8" formatCode="&quot;$&quot;#,##0.00_);[Red]\(&quot;$&quot;#,##0.00\)"/>
    <numFmt numFmtId="165" formatCode="mm/dd/yy"/>
    <numFmt numFmtId="166" formatCode="&quot;$&quot;#,##0.0000_);[Red]\(&quot;$&quot;#,##0.0000\)"/>
    <numFmt numFmtId="168" formatCode="&quot;$&quot;#,##0.000_);[Red]\(&quot;$&quot;#,##0.000\)"/>
    <numFmt numFmtId="169" formatCode="0.000%"/>
    <numFmt numFmtId="170" formatCode="&quot;$&quot;#,##0.00000_);[Red]\(&quot;$&quot;#,##0.00000\)"/>
  </numFmts>
  <fonts count="25" x14ac:knownFonts="1">
    <font>
      <sz val="10"/>
      <name val="Arial"/>
    </font>
    <font>
      <b/>
      <sz val="10"/>
      <name val="Arial"/>
    </font>
    <font>
      <b/>
      <i/>
      <sz val="10"/>
      <name val="Arial"/>
    </font>
    <font>
      <sz val="10"/>
      <name val="Arial"/>
    </font>
    <font>
      <sz val="7"/>
      <name val="MS Sans Serif"/>
    </font>
    <font>
      <b/>
      <sz val="12"/>
      <name val="Arial"/>
    </font>
    <font>
      <b/>
      <sz val="8"/>
      <name val="MS Sans Serif"/>
    </font>
    <font>
      <b/>
      <sz val="8"/>
      <name val="Arial"/>
    </font>
    <font>
      <b/>
      <sz val="10"/>
      <name val="MS Sans Serif"/>
      <family val="2"/>
    </font>
    <font>
      <sz val="9"/>
      <name val="Arial"/>
    </font>
    <font>
      <b/>
      <sz val="20"/>
      <name val="Arial"/>
      <family val="2"/>
    </font>
    <font>
      <sz val="7"/>
      <name val="MS Sans Serif"/>
      <family val="2"/>
    </font>
    <font>
      <b/>
      <sz val="8"/>
      <name val="Arial"/>
      <family val="2"/>
    </font>
    <font>
      <b/>
      <sz val="18"/>
      <name val="Arial"/>
      <family val="2"/>
    </font>
    <font>
      <sz val="7"/>
      <name val="Arial"/>
      <family val="2"/>
    </font>
    <font>
      <sz val="10"/>
      <color indexed="12"/>
      <name val="Arial"/>
    </font>
    <font>
      <sz val="7"/>
      <color indexed="12"/>
      <name val="MS Sans Serif"/>
      <family val="2"/>
    </font>
    <font>
      <b/>
      <sz val="10"/>
      <color indexed="12"/>
      <name val="Arial"/>
      <family val="2"/>
    </font>
    <font>
      <b/>
      <sz val="10"/>
      <color indexed="20"/>
      <name val="Arial"/>
      <family val="2"/>
    </font>
    <font>
      <b/>
      <sz val="10"/>
      <color indexed="20"/>
      <name val="MS Sans Serif"/>
      <family val="2"/>
    </font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40"/>
      <name val="MS Sans Serif"/>
      <family val="2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dotted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91">
    <xf numFmtId="0" fontId="0" fillId="0" borderId="0" xfId="0"/>
    <xf numFmtId="38" fontId="4" fillId="0" borderId="0" xfId="0" applyNumberFormat="1" applyFont="1" applyAlignment="1">
      <alignment horizontal="center"/>
    </xf>
    <xf numFmtId="38" fontId="6" fillId="0" borderId="0" xfId="0" applyNumberFormat="1" applyFont="1" applyBorder="1" applyAlignment="1">
      <alignment horizontal="center"/>
    </xf>
    <xf numFmtId="0" fontId="7" fillId="0" borderId="0" xfId="0" applyFont="1" applyAlignment="1">
      <alignment horizontal="center"/>
    </xf>
    <xf numFmtId="38" fontId="4" fillId="0" borderId="0" xfId="0" applyNumberFormat="1" applyFont="1" applyBorder="1" applyAlignment="1">
      <alignment horizontal="center"/>
    </xf>
    <xf numFmtId="38" fontId="8" fillId="0" borderId="0" xfId="0" applyNumberFormat="1" applyFont="1" applyAlignment="1">
      <alignment horizontal="center"/>
    </xf>
    <xf numFmtId="38" fontId="4" fillId="0" borderId="1" xfId="0" applyNumberFormat="1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1" fillId="0" borderId="0" xfId="0" applyFont="1" applyBorder="1" applyAlignment="1">
      <alignment horizontal="centerContinuous"/>
    </xf>
    <xf numFmtId="0" fontId="0" fillId="0" borderId="3" xfId="0" applyBorder="1" applyAlignment="1">
      <alignment horizontal="centerContinuous"/>
    </xf>
    <xf numFmtId="0" fontId="0" fillId="0" borderId="4" xfId="0" applyBorder="1" applyAlignment="1">
      <alignment horizontal="centerContinuous"/>
    </xf>
    <xf numFmtId="0" fontId="0" fillId="0" borderId="5" xfId="0" applyBorder="1" applyAlignment="1">
      <alignment horizontal="centerContinuous"/>
    </xf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Continuous"/>
    </xf>
    <xf numFmtId="0" fontId="0" fillId="0" borderId="0" xfId="0" applyBorder="1" applyAlignment="1">
      <alignment horizontal="center"/>
    </xf>
    <xf numFmtId="0" fontId="7" fillId="0" borderId="6" xfId="0" applyFont="1" applyBorder="1" applyAlignment="1">
      <alignment horizontal="center" wrapText="1"/>
    </xf>
    <xf numFmtId="0" fontId="7" fillId="0" borderId="7" xfId="0" applyFont="1" applyBorder="1" applyAlignment="1">
      <alignment horizontal="center" wrapText="1"/>
    </xf>
    <xf numFmtId="38" fontId="1" fillId="0" borderId="0" xfId="0" applyNumberFormat="1" applyFont="1" applyBorder="1" applyAlignment="1">
      <alignment horizontal="center"/>
    </xf>
    <xf numFmtId="38" fontId="8" fillId="0" borderId="0" xfId="0" applyNumberFormat="1" applyFont="1" applyBorder="1" applyAlignment="1">
      <alignment horizontal="center"/>
    </xf>
    <xf numFmtId="0" fontId="0" fillId="0" borderId="0" xfId="0" applyAlignment="1"/>
    <xf numFmtId="0" fontId="1" fillId="0" borderId="0" xfId="0" applyFont="1" applyAlignment="1"/>
    <xf numFmtId="0" fontId="7" fillId="0" borderId="8" xfId="0" applyFont="1" applyBorder="1" applyAlignment="1">
      <alignment horizontal="center"/>
    </xf>
    <xf numFmtId="0" fontId="0" fillId="0" borderId="0" xfId="0" applyBorder="1" applyAlignment="1"/>
    <xf numFmtId="0" fontId="7" fillId="0" borderId="0" xfId="0" applyFont="1" applyBorder="1" applyAlignment="1">
      <alignment horizontal="center"/>
    </xf>
    <xf numFmtId="38" fontId="4" fillId="0" borderId="1" xfId="0" applyNumberFormat="1" applyFont="1" applyBorder="1" applyAlignment="1"/>
    <xf numFmtId="0" fontId="0" fillId="0" borderId="2" xfId="0" applyBorder="1" applyAlignment="1"/>
    <xf numFmtId="0" fontId="3" fillId="0" borderId="2" xfId="0" applyFont="1" applyBorder="1" applyAlignment="1"/>
    <xf numFmtId="38" fontId="4" fillId="0" borderId="0" xfId="0" applyNumberFormat="1" applyFont="1" applyBorder="1" applyAlignment="1"/>
    <xf numFmtId="38" fontId="4" fillId="0" borderId="0" xfId="0" applyNumberFormat="1" applyFont="1" applyAlignment="1"/>
    <xf numFmtId="38" fontId="1" fillId="0" borderId="0" xfId="0" applyNumberFormat="1" applyFont="1" applyAlignment="1"/>
    <xf numFmtId="38" fontId="11" fillId="0" borderId="0" xfId="0" applyNumberFormat="1" applyFont="1" applyFill="1" applyAlignment="1"/>
    <xf numFmtId="40" fontId="0" fillId="0" borderId="0" xfId="0" applyNumberFormat="1" applyBorder="1" applyAlignment="1"/>
    <xf numFmtId="165" fontId="1" fillId="0" borderId="0" xfId="0" applyNumberFormat="1" applyFont="1" applyBorder="1" applyAlignment="1"/>
    <xf numFmtId="38" fontId="0" fillId="0" borderId="0" xfId="0" applyNumberFormat="1" applyBorder="1" applyAlignment="1"/>
    <xf numFmtId="166" fontId="0" fillId="0" borderId="0" xfId="0" applyNumberFormat="1" applyBorder="1" applyAlignment="1"/>
    <xf numFmtId="8" fontId="0" fillId="0" borderId="0" xfId="0" applyNumberFormat="1" applyBorder="1" applyAlignment="1"/>
    <xf numFmtId="38" fontId="4" fillId="0" borderId="0" xfId="0" applyNumberFormat="1" applyFont="1" applyFill="1" applyAlignment="1"/>
    <xf numFmtId="38" fontId="0" fillId="0" borderId="0" xfId="0" applyNumberFormat="1" applyAlignment="1"/>
    <xf numFmtId="0" fontId="3" fillId="0" borderId="0" xfId="0" applyFont="1" applyAlignment="1"/>
    <xf numFmtId="165" fontId="0" fillId="0" borderId="0" xfId="0" applyNumberFormat="1" applyBorder="1" applyAlignment="1"/>
    <xf numFmtId="38" fontId="6" fillId="0" borderId="9" xfId="0" applyNumberFormat="1" applyFont="1" applyBorder="1" applyAlignment="1"/>
    <xf numFmtId="38" fontId="1" fillId="0" borderId="9" xfId="0" applyNumberFormat="1" applyFont="1" applyBorder="1" applyAlignment="1"/>
    <xf numFmtId="38" fontId="1" fillId="0" borderId="0" xfId="0" applyNumberFormat="1" applyFont="1" applyBorder="1" applyAlignment="1"/>
    <xf numFmtId="38" fontId="2" fillId="0" borderId="0" xfId="0" applyNumberFormat="1" applyFont="1" applyAlignment="1"/>
    <xf numFmtId="0" fontId="3" fillId="0" borderId="0" xfId="0" applyFont="1" applyBorder="1" applyAlignment="1"/>
    <xf numFmtId="8" fontId="1" fillId="0" borderId="0" xfId="0" applyNumberFormat="1" applyFont="1" applyBorder="1" applyAlignment="1"/>
    <xf numFmtId="38" fontId="9" fillId="0" borderId="2" xfId="0" applyNumberFormat="1" applyFont="1" applyBorder="1" applyAlignment="1"/>
    <xf numFmtId="0" fontId="12" fillId="0" borderId="0" xfId="0" applyFont="1" applyAlignment="1">
      <alignment horizontal="center" wrapText="1"/>
    </xf>
    <xf numFmtId="38" fontId="11" fillId="0" borderId="0" xfId="0" applyNumberFormat="1" applyFont="1" applyAlignment="1"/>
    <xf numFmtId="0" fontId="10" fillId="0" borderId="0" xfId="0" applyFont="1" applyAlignment="1">
      <alignment horizontal="center"/>
    </xf>
    <xf numFmtId="38" fontId="1" fillId="0" borderId="0" xfId="0" applyNumberFormat="1" applyFont="1" applyAlignment="1">
      <alignment horizontal="center"/>
    </xf>
    <xf numFmtId="17" fontId="5" fillId="0" borderId="0" xfId="0" applyNumberFormat="1" applyFont="1" applyAlignment="1">
      <alignment horizontal="center"/>
    </xf>
    <xf numFmtId="17" fontId="5" fillId="0" borderId="10" xfId="0" applyNumberFormat="1" applyFont="1" applyBorder="1" applyAlignment="1">
      <alignment horizontal="center"/>
    </xf>
    <xf numFmtId="38" fontId="8" fillId="0" borderId="0" xfId="0" applyNumberFormat="1" applyFont="1" applyAlignment="1"/>
    <xf numFmtId="38" fontId="8" fillId="0" borderId="0" xfId="0" applyNumberFormat="1" applyFont="1" applyBorder="1" applyAlignment="1"/>
    <xf numFmtId="0" fontId="7" fillId="0" borderId="11" xfId="0" applyFont="1" applyBorder="1" applyAlignment="1">
      <alignment horizontal="center" wrapText="1"/>
    </xf>
    <xf numFmtId="0" fontId="0" fillId="0" borderId="12" xfId="0" applyBorder="1" applyAlignment="1">
      <alignment horizontal="center"/>
    </xf>
    <xf numFmtId="0" fontId="7" fillId="0" borderId="12" xfId="0" applyFont="1" applyBorder="1" applyAlignment="1">
      <alignment horizontal="center" wrapText="1"/>
    </xf>
    <xf numFmtId="0" fontId="7" fillId="0" borderId="8" xfId="0" applyFont="1" applyBorder="1" applyAlignment="1">
      <alignment horizontal="center" wrapText="1"/>
    </xf>
    <xf numFmtId="0" fontId="15" fillId="0" borderId="0" xfId="0" applyFont="1" applyBorder="1" applyAlignment="1"/>
    <xf numFmtId="38" fontId="16" fillId="0" borderId="0" xfId="0" applyNumberFormat="1" applyFont="1" applyFill="1" applyAlignment="1"/>
    <xf numFmtId="0" fontId="17" fillId="0" borderId="0" xfId="0" applyFont="1" applyAlignment="1">
      <alignment horizontal="left"/>
    </xf>
    <xf numFmtId="38" fontId="18" fillId="0" borderId="0" xfId="0" applyNumberFormat="1" applyFont="1" applyBorder="1" applyAlignment="1"/>
    <xf numFmtId="38" fontId="19" fillId="0" borderId="0" xfId="0" applyNumberFormat="1" applyFont="1" applyAlignment="1">
      <alignment horizontal="center"/>
    </xf>
    <xf numFmtId="38" fontId="19" fillId="0" borderId="0" xfId="0" applyNumberFormat="1" applyFont="1" applyFill="1" applyAlignment="1">
      <alignment horizontal="center"/>
    </xf>
    <xf numFmtId="170" fontId="1" fillId="0" borderId="0" xfId="0" applyNumberFormat="1" applyFont="1" applyBorder="1" applyAlignment="1"/>
    <xf numFmtId="170" fontId="22" fillId="0" borderId="0" xfId="0" applyNumberFormat="1" applyFont="1" applyBorder="1" applyAlignment="1"/>
    <xf numFmtId="38" fontId="23" fillId="0" borderId="0" xfId="0" applyNumberFormat="1" applyFont="1" applyBorder="1" applyAlignment="1">
      <alignment shrinkToFit="1"/>
    </xf>
    <xf numFmtId="0" fontId="3" fillId="0" borderId="0" xfId="0" applyFont="1" applyBorder="1" applyAlignment="1">
      <alignment shrinkToFit="1"/>
    </xf>
    <xf numFmtId="38" fontId="24" fillId="0" borderId="0" xfId="0" applyNumberFormat="1" applyFont="1" applyBorder="1" applyAlignment="1">
      <alignment horizontal="center"/>
    </xf>
    <xf numFmtId="168" fontId="24" fillId="0" borderId="0" xfId="0" applyNumberFormat="1" applyFont="1" applyBorder="1" applyAlignment="1">
      <alignment horizontal="center"/>
    </xf>
    <xf numFmtId="169" fontId="24" fillId="0" borderId="0" xfId="1" applyNumberFormat="1" applyFont="1" applyBorder="1" applyAlignment="1">
      <alignment horizontal="center"/>
    </xf>
    <xf numFmtId="38" fontId="1" fillId="0" borderId="0" xfId="0" applyNumberFormat="1" applyFont="1" applyBorder="1" applyAlignment="1">
      <alignment horizontal="left"/>
    </xf>
    <xf numFmtId="38" fontId="9" fillId="0" borderId="13" xfId="0" applyNumberFormat="1" applyFont="1" applyBorder="1" applyAlignment="1">
      <alignment horizontal="center"/>
    </xf>
    <xf numFmtId="38" fontId="9" fillId="0" borderId="2" xfId="0" applyNumberFormat="1" applyFont="1" applyBorder="1" applyAlignment="1">
      <alignment horizontal="center"/>
    </xf>
    <xf numFmtId="0" fontId="14" fillId="0" borderId="0" xfId="0" applyFont="1" applyAlignment="1">
      <alignment horizontal="center" wrapText="1"/>
    </xf>
    <xf numFmtId="1" fontId="7" fillId="0" borderId="0" xfId="0" applyNumberFormat="1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38" fontId="6" fillId="0" borderId="0" xfId="0" applyNumberFormat="1" applyFont="1" applyBorder="1" applyAlignment="1">
      <alignment horizontal="center"/>
    </xf>
    <xf numFmtId="0" fontId="13" fillId="0" borderId="14" xfId="0" applyFont="1" applyBorder="1" applyAlignment="1">
      <alignment horizontal="center"/>
    </xf>
    <xf numFmtId="0" fontId="13" fillId="0" borderId="15" xfId="0" applyFont="1" applyBorder="1" applyAlignment="1">
      <alignment horizontal="center"/>
    </xf>
    <xf numFmtId="0" fontId="13" fillId="0" borderId="16" xfId="0" applyFont="1" applyBorder="1" applyAlignment="1">
      <alignment horizontal="center"/>
    </xf>
    <xf numFmtId="38" fontId="1" fillId="0" borderId="17" xfId="0" applyNumberFormat="1" applyFont="1" applyBorder="1" applyAlignment="1">
      <alignment horizontal="center"/>
    </xf>
    <xf numFmtId="38" fontId="1" fillId="0" borderId="0" xfId="0" applyNumberFormat="1" applyFont="1" applyBorder="1" applyAlignment="1">
      <alignment horizontal="center"/>
    </xf>
    <xf numFmtId="38" fontId="1" fillId="0" borderId="18" xfId="0" applyNumberFormat="1" applyFont="1" applyBorder="1" applyAlignment="1">
      <alignment horizontal="center"/>
    </xf>
    <xf numFmtId="17" fontId="5" fillId="0" borderId="19" xfId="0" applyNumberFormat="1" applyFont="1" applyBorder="1" applyAlignment="1">
      <alignment horizontal="center"/>
    </xf>
    <xf numFmtId="17" fontId="5" fillId="0" borderId="20" xfId="0" applyNumberFormat="1" applyFont="1" applyBorder="1" applyAlignment="1">
      <alignment horizontal="center"/>
    </xf>
    <xf numFmtId="17" fontId="5" fillId="0" borderId="21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externalLink" Target="externalLinks/externalLink4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3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2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911209766925645E-2"/>
          <c:y val="3.4257748776508973E-2"/>
          <c:w val="0.85238623751387343"/>
          <c:h val="0.8531810766721044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BMSPT066!$C$43:$D$43</c:f>
              <c:strCache>
                <c:ptCount val="2"/>
                <c:pt idx="0">
                  <c:v>0 </c:v>
                </c:pt>
                <c:pt idx="1">
                  <c:v>0 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BMSPT066!$E$42:$W$42</c:f>
              <c:numCache>
                <c:formatCode>#,##0_);[Red]\(#,##0\)</c:formatCode>
                <c:ptCount val="19"/>
                <c:pt idx="0">
                  <c:v>71750.750000001863</c:v>
                </c:pt>
                <c:pt idx="3">
                  <c:v>0</c:v>
                </c:pt>
                <c:pt idx="4">
                  <c:v>0</c:v>
                </c:pt>
                <c:pt idx="6">
                  <c:v>71750.750000003725</c:v>
                </c:pt>
                <c:pt idx="7">
                  <c:v>0</c:v>
                </c:pt>
                <c:pt idx="8">
                  <c:v>0</c:v>
                </c:pt>
                <c:pt idx="9">
                  <c:v>-54166</c:v>
                </c:pt>
              </c:numCache>
            </c:numRef>
          </c:cat>
          <c:val>
            <c:numRef>
              <c:f>BMSPT066!$E$43:$W$43</c:f>
              <c:numCache>
                <c:formatCode>#,##0_);[Red]\(#,##0\)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DE-42EB-9966-0209214C7F30}"/>
            </c:ext>
          </c:extLst>
        </c:ser>
        <c:ser>
          <c:idx val="1"/>
          <c:order val="1"/>
          <c:tx>
            <c:strRef>
              <c:f>BMSPT066!$C$44:$D$44</c:f>
              <c:strCache>
                <c:ptCount val="2"/>
                <c:pt idx="0">
                  <c:v>0 </c:v>
                </c:pt>
                <c:pt idx="1">
                  <c:v>0 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BMSPT066!$E$42:$W$42</c:f>
              <c:numCache>
                <c:formatCode>#,##0_);[Red]\(#,##0\)</c:formatCode>
                <c:ptCount val="19"/>
                <c:pt idx="0">
                  <c:v>71750.750000001863</c:v>
                </c:pt>
                <c:pt idx="3">
                  <c:v>0</c:v>
                </c:pt>
                <c:pt idx="4">
                  <c:v>0</c:v>
                </c:pt>
                <c:pt idx="6">
                  <c:v>71750.750000003725</c:v>
                </c:pt>
                <c:pt idx="7">
                  <c:v>0</c:v>
                </c:pt>
                <c:pt idx="8">
                  <c:v>0</c:v>
                </c:pt>
                <c:pt idx="9">
                  <c:v>-54166</c:v>
                </c:pt>
              </c:numCache>
            </c:numRef>
          </c:cat>
          <c:val>
            <c:numRef>
              <c:f>BMSPT066!$E$44:$W$44</c:f>
              <c:numCache>
                <c:formatCode>"$"#,##0.00_);[Red]\("$"#,##0.00\)</c:formatCode>
                <c:ptCount val="19"/>
                <c:pt idx="6" formatCode="#,##0_);[Red]\(#,##0\)">
                  <c:v>790405.9</c:v>
                </c:pt>
                <c:pt idx="12" formatCode="#,##0_);[Red]\(#,##0\)">
                  <c:v>0</c:v>
                </c:pt>
                <c:pt idx="13" formatCode="#,##0_);[Red]\(#,##0\)">
                  <c:v>0</c:v>
                </c:pt>
                <c:pt idx="14" formatCode="#,##0_);[Red]\(#,##0\)">
                  <c:v>0</c:v>
                </c:pt>
                <c:pt idx="16" formatCode="#,##0_);[Red]\(#,##0\)">
                  <c:v>0</c:v>
                </c:pt>
                <c:pt idx="17" formatCode="#,##0_);[Red]\(#,##0\)">
                  <c:v>0</c:v>
                </c:pt>
                <c:pt idx="18" formatCode="#,##0_);[Red]\(#,##0\)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DE-42EB-9966-0209214C7F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4928639"/>
        <c:axId val="1"/>
      </c:barChart>
      <c:catAx>
        <c:axId val="234928639"/>
        <c:scaling>
          <c:orientation val="minMax"/>
        </c:scaling>
        <c:delete val="0"/>
        <c:axPos val="b"/>
        <c:numFmt formatCode="#,##0_);[Red]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[Red]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4928639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450610432852389"/>
          <c:y val="0.42577487765089722"/>
          <c:w val="5.1054384017758046E-2"/>
          <c:h val="7.0146818923327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"/>
  <sheetViews>
    <sheetView workbookViewId="0" zoomToFit="1"/>
  </sheetViews>
  <pageMargins left="0.75" right="0.75" top="1" bottom="1" header="0.5" footer="0.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23D79C82-5796-97B8-BF8F-EB360269D85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BAM-3R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BAM-EG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BAM-hplr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Logistics/TUFCO/TUFCO%20200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BMSPT03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mmel Cumulative"/>
      <sheetName val="BAM-3RD"/>
    </sheetNames>
    <sheetDataSet>
      <sheetData sheetId="0"/>
      <sheetData sheetId="1">
        <row r="2436">
          <cell r="BK2436">
            <v>39913</v>
          </cell>
        </row>
        <row r="2437">
          <cell r="BK2437">
            <v>39913</v>
          </cell>
        </row>
        <row r="2438">
          <cell r="BK2438">
            <v>38570</v>
          </cell>
        </row>
        <row r="2439">
          <cell r="BK2439">
            <v>38005</v>
          </cell>
        </row>
        <row r="2440">
          <cell r="BK2440">
            <v>38305</v>
          </cell>
        </row>
        <row r="2441">
          <cell r="BK2441">
            <v>38207</v>
          </cell>
        </row>
        <row r="2442">
          <cell r="BK2442">
            <v>38207</v>
          </cell>
        </row>
        <row r="2443">
          <cell r="BK2443">
            <v>38207</v>
          </cell>
        </row>
        <row r="2444">
          <cell r="BK2444">
            <v>38207</v>
          </cell>
        </row>
        <row r="2445">
          <cell r="BK2445">
            <v>38604</v>
          </cell>
        </row>
        <row r="2446">
          <cell r="BK2446">
            <v>38604</v>
          </cell>
        </row>
        <row r="2447">
          <cell r="BK2447">
            <v>38604</v>
          </cell>
        </row>
        <row r="2448">
          <cell r="BK2448">
            <v>39318</v>
          </cell>
        </row>
        <row r="2449">
          <cell r="BK2449">
            <v>39318</v>
          </cell>
        </row>
        <row r="2450">
          <cell r="BK2450">
            <v>39318</v>
          </cell>
        </row>
        <row r="2451">
          <cell r="BK2451">
            <v>39318</v>
          </cell>
        </row>
        <row r="2452">
          <cell r="BK2452">
            <v>39318</v>
          </cell>
        </row>
        <row r="2453">
          <cell r="BK2453">
            <v>37138</v>
          </cell>
        </row>
        <row r="2454">
          <cell r="BK2454">
            <v>37573</v>
          </cell>
        </row>
        <row r="2455">
          <cell r="BK2455">
            <v>37573</v>
          </cell>
        </row>
        <row r="2456">
          <cell r="BK2456">
            <v>37573</v>
          </cell>
        </row>
        <row r="2457">
          <cell r="BK2457">
            <v>37573</v>
          </cell>
        </row>
        <row r="2458">
          <cell r="BK2458">
            <v>37573</v>
          </cell>
        </row>
        <row r="2459">
          <cell r="BK2459">
            <v>37895</v>
          </cell>
        </row>
        <row r="2460">
          <cell r="BK2460">
            <v>37937</v>
          </cell>
        </row>
        <row r="2461">
          <cell r="BK2461">
            <v>37937.199999999997</v>
          </cell>
        </row>
        <row r="2462">
          <cell r="BK2462">
            <v>37937.199999999997</v>
          </cell>
        </row>
        <row r="2463">
          <cell r="BK2463">
            <v>37937.19999999999</v>
          </cell>
        </row>
        <row r="2464">
          <cell r="BK2464">
            <v>37937.199999999997</v>
          </cell>
        </row>
        <row r="2465">
          <cell r="BK2465">
            <v>37937.200000000012</v>
          </cell>
        </row>
        <row r="2468">
          <cell r="BK2468">
            <v>1150456.9999999998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BAM-EGS"/>
    </sheetNames>
    <sheetDataSet>
      <sheetData sheetId="0"/>
      <sheetData sheetId="1">
        <row r="9">
          <cell r="BB9">
            <v>3000000</v>
          </cell>
        </row>
        <row r="12">
          <cell r="BB12">
            <v>0</v>
          </cell>
        </row>
        <row r="13">
          <cell r="BB13">
            <v>0</v>
          </cell>
        </row>
        <row r="14">
          <cell r="BB14">
            <v>0</v>
          </cell>
        </row>
        <row r="15">
          <cell r="BB15">
            <v>0</v>
          </cell>
        </row>
        <row r="16">
          <cell r="BB16">
            <v>0</v>
          </cell>
        </row>
        <row r="17">
          <cell r="BB17">
            <v>0</v>
          </cell>
        </row>
        <row r="18">
          <cell r="BB18">
            <v>0</v>
          </cell>
        </row>
        <row r="19">
          <cell r="BB19">
            <v>0</v>
          </cell>
        </row>
        <row r="20">
          <cell r="BB20">
            <v>0</v>
          </cell>
        </row>
        <row r="21">
          <cell r="BB21">
            <v>0</v>
          </cell>
        </row>
        <row r="22">
          <cell r="BB22">
            <v>0</v>
          </cell>
        </row>
        <row r="23">
          <cell r="BB23">
            <v>0</v>
          </cell>
        </row>
        <row r="24">
          <cell r="BB24">
            <v>0</v>
          </cell>
        </row>
        <row r="25">
          <cell r="BB25">
            <v>0</v>
          </cell>
        </row>
        <row r="26">
          <cell r="BB26">
            <v>0</v>
          </cell>
        </row>
        <row r="27">
          <cell r="BB27">
            <v>1000000</v>
          </cell>
        </row>
        <row r="28">
          <cell r="BB28">
            <v>0</v>
          </cell>
        </row>
        <row r="29">
          <cell r="BB29">
            <v>0</v>
          </cell>
        </row>
        <row r="30">
          <cell r="BB30">
            <v>0</v>
          </cell>
        </row>
        <row r="31">
          <cell r="BB31">
            <v>1000000</v>
          </cell>
        </row>
        <row r="32">
          <cell r="BB32">
            <v>0</v>
          </cell>
        </row>
        <row r="33">
          <cell r="BB33">
            <v>0</v>
          </cell>
        </row>
        <row r="34">
          <cell r="BB34">
            <v>0</v>
          </cell>
        </row>
        <row r="35">
          <cell r="BB35">
            <v>0</v>
          </cell>
        </row>
        <row r="36">
          <cell r="BB36">
            <v>0</v>
          </cell>
        </row>
        <row r="37">
          <cell r="BB37">
            <v>1000000</v>
          </cell>
        </row>
        <row r="38">
          <cell r="BB38">
            <v>0</v>
          </cell>
        </row>
        <row r="39">
          <cell r="BB39">
            <v>0</v>
          </cell>
        </row>
        <row r="40">
          <cell r="BB40">
            <v>0</v>
          </cell>
        </row>
        <row r="41">
          <cell r="BB41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BAM-EGS"/>
    </sheetNames>
    <sheetDataSet>
      <sheetData sheetId="0"/>
      <sheetData sheetId="1">
        <row r="9">
          <cell r="BB9">
            <v>3416983</v>
          </cell>
        </row>
        <row r="12">
          <cell r="BB12">
            <v>-19956.05</v>
          </cell>
        </row>
        <row r="13">
          <cell r="BB13">
            <v>16773.95</v>
          </cell>
        </row>
        <row r="14">
          <cell r="BB14">
            <v>144985.5</v>
          </cell>
        </row>
        <row r="15">
          <cell r="BB15">
            <v>109065.75</v>
          </cell>
        </row>
        <row r="16">
          <cell r="BB16">
            <v>15320.75</v>
          </cell>
        </row>
        <row r="17">
          <cell r="BB17">
            <v>18914.05</v>
          </cell>
        </row>
        <row r="18">
          <cell r="BB18">
            <v>301004.05</v>
          </cell>
        </row>
        <row r="19">
          <cell r="BB19">
            <v>310574.05</v>
          </cell>
        </row>
        <row r="20">
          <cell r="BB20">
            <v>288794.05</v>
          </cell>
        </row>
        <row r="21">
          <cell r="BB21">
            <v>222416.6</v>
          </cell>
        </row>
        <row r="22">
          <cell r="BB22">
            <v>212406.6</v>
          </cell>
        </row>
        <row r="23">
          <cell r="BB23">
            <v>279016.59999999998</v>
          </cell>
        </row>
        <row r="24">
          <cell r="BB24">
            <v>306229.7</v>
          </cell>
        </row>
        <row r="25">
          <cell r="BB25">
            <v>217749.7</v>
          </cell>
        </row>
        <row r="26">
          <cell r="BB26">
            <v>236239.7</v>
          </cell>
        </row>
        <row r="27">
          <cell r="BB27">
            <v>-781140.3</v>
          </cell>
        </row>
        <row r="28">
          <cell r="BB28">
            <v>127459.7</v>
          </cell>
        </row>
        <row r="29">
          <cell r="BB29">
            <v>178602.7</v>
          </cell>
        </row>
        <row r="30">
          <cell r="BB30">
            <v>154222.95000000001</v>
          </cell>
        </row>
        <row r="31">
          <cell r="BB31">
            <v>-829887.05</v>
          </cell>
        </row>
        <row r="32">
          <cell r="BB32">
            <v>300702.95</v>
          </cell>
        </row>
        <row r="33">
          <cell r="BB33">
            <v>315932.95</v>
          </cell>
        </row>
        <row r="34">
          <cell r="BB34">
            <v>286022.95</v>
          </cell>
        </row>
        <row r="35">
          <cell r="BB35">
            <v>293965.2</v>
          </cell>
        </row>
        <row r="36">
          <cell r="BB36">
            <v>285262.7</v>
          </cell>
        </row>
        <row r="37">
          <cell r="BB37">
            <v>-678697</v>
          </cell>
        </row>
        <row r="38">
          <cell r="BB38">
            <v>319443</v>
          </cell>
        </row>
        <row r="39">
          <cell r="BB39">
            <v>309483</v>
          </cell>
        </row>
        <row r="40">
          <cell r="BB40">
            <v>310163</v>
          </cell>
        </row>
        <row r="41">
          <cell r="BB41">
            <v>237662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***01"/>
      <sheetName val="***02"/>
      <sheetName val="***03"/>
      <sheetName val="***04"/>
      <sheetName val="***05"/>
      <sheetName val="***06"/>
      <sheetName val="***07"/>
      <sheetName val="***08"/>
      <sheetName val="***09"/>
      <sheetName val="***10"/>
      <sheetName val="***11"/>
      <sheetName val="***12"/>
      <sheetName val="***13"/>
      <sheetName val="***14"/>
      <sheetName val="***15"/>
      <sheetName val="***16"/>
      <sheetName val="***17"/>
      <sheetName val="***18"/>
      <sheetName val="***19"/>
      <sheetName val="***21"/>
      <sheetName val="Jan"/>
      <sheetName val="Jan 99a"/>
      <sheetName val="Feb"/>
      <sheetName val="Mar"/>
      <sheetName val="Apr"/>
      <sheetName val="May"/>
      <sheetName val="June"/>
      <sheetName val="Notes"/>
      <sheetName val="Obligation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>
        <row r="10">
          <cell r="J10">
            <v>30000</v>
          </cell>
        </row>
        <row r="16">
          <cell r="K16">
            <v>35000</v>
          </cell>
        </row>
        <row r="17">
          <cell r="K17">
            <v>42500</v>
          </cell>
        </row>
        <row r="18">
          <cell r="K18">
            <v>0</v>
          </cell>
        </row>
        <row r="19">
          <cell r="K19">
            <v>20000</v>
          </cell>
        </row>
        <row r="20">
          <cell r="K20">
            <v>24917</v>
          </cell>
        </row>
        <row r="21">
          <cell r="K21">
            <v>40000</v>
          </cell>
        </row>
        <row r="22">
          <cell r="K22">
            <v>40000</v>
          </cell>
        </row>
        <row r="23">
          <cell r="K23">
            <v>31667</v>
          </cell>
        </row>
        <row r="24">
          <cell r="K24">
            <v>51667</v>
          </cell>
        </row>
        <row r="25">
          <cell r="K25">
            <v>40000</v>
          </cell>
        </row>
        <row r="26">
          <cell r="K26">
            <v>12500</v>
          </cell>
        </row>
        <row r="27">
          <cell r="K27">
            <v>8750</v>
          </cell>
        </row>
        <row r="28">
          <cell r="K28">
            <v>55000</v>
          </cell>
        </row>
        <row r="29">
          <cell r="K29">
            <v>55000</v>
          </cell>
        </row>
        <row r="30">
          <cell r="K30">
            <v>55000</v>
          </cell>
        </row>
        <row r="31">
          <cell r="K31">
            <v>30000</v>
          </cell>
        </row>
        <row r="32">
          <cell r="K32">
            <v>50000</v>
          </cell>
        </row>
        <row r="33">
          <cell r="K33">
            <v>17500</v>
          </cell>
        </row>
        <row r="34">
          <cell r="K34">
            <v>8333</v>
          </cell>
        </row>
        <row r="35">
          <cell r="K35">
            <v>25000</v>
          </cell>
        </row>
        <row r="36">
          <cell r="K36">
            <v>15625</v>
          </cell>
        </row>
        <row r="37">
          <cell r="K37">
            <v>25500</v>
          </cell>
        </row>
        <row r="38">
          <cell r="K38">
            <v>30208</v>
          </cell>
        </row>
        <row r="39">
          <cell r="K39">
            <v>16667</v>
          </cell>
        </row>
        <row r="40">
          <cell r="K40">
            <v>55000</v>
          </cell>
        </row>
        <row r="41">
          <cell r="K41">
            <v>60000</v>
          </cell>
        </row>
        <row r="42">
          <cell r="K42">
            <v>0</v>
          </cell>
        </row>
        <row r="43">
          <cell r="K43">
            <v>0</v>
          </cell>
        </row>
        <row r="44">
          <cell r="K44">
            <v>0</v>
          </cell>
        </row>
        <row r="45">
          <cell r="K45">
            <v>0</v>
          </cell>
        </row>
      </sheetData>
      <sheetData sheetId="25"/>
      <sheetData sheetId="26"/>
      <sheetData sheetId="27"/>
      <sheetData sheetId="28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hart1"/>
      <sheetName val="BMSPT066"/>
    </sheetNames>
    <sheetDataSet>
      <sheetData sheetId="0" refreshError="1"/>
      <sheetData sheetId="1">
        <row r="37">
          <cell r="K37">
            <v>105390</v>
          </cell>
        </row>
        <row r="38">
          <cell r="K38">
            <v>224120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O50"/>
  <sheetViews>
    <sheetView tabSelected="1" topLeftCell="A27" workbookViewId="0">
      <selection activeCell="F55" sqref="F55"/>
    </sheetView>
  </sheetViews>
  <sheetFormatPr defaultRowHeight="12.75" x14ac:dyDescent="0.2"/>
  <cols>
    <col min="1" max="1" width="8.42578125" style="21" customWidth="1"/>
    <col min="2" max="3" width="10.7109375" style="20" customWidth="1"/>
    <col min="4" max="4" width="9.42578125" style="20" customWidth="1"/>
    <col min="5" max="5" width="11.42578125" style="39" customWidth="1"/>
    <col min="6" max="6" width="10.42578125" style="39" customWidth="1"/>
    <col min="7" max="7" width="8.140625" style="39" customWidth="1"/>
    <col min="8" max="8" width="11.5703125" style="39" customWidth="1"/>
    <col min="9" max="9" width="10.28515625" style="39" customWidth="1"/>
    <col min="10" max="10" width="11.42578125" style="39" customWidth="1"/>
    <col min="11" max="11" width="11.42578125" style="38" customWidth="1"/>
    <col min="12" max="12" width="6.5703125" style="20" customWidth="1"/>
    <col min="13" max="13" width="6.85546875" style="20" customWidth="1"/>
    <col min="14" max="15" width="10.7109375" style="20" bestFit="1" customWidth="1"/>
    <col min="16" max="16" width="2.140625" style="20" customWidth="1"/>
    <col min="17" max="17" width="13.7109375" style="20" customWidth="1"/>
    <col min="18" max="18" width="12.42578125" style="20" customWidth="1"/>
    <col min="19" max="19" width="12.85546875" style="20" customWidth="1"/>
    <col min="20" max="20" width="1.85546875" style="20" customWidth="1"/>
    <col min="21" max="21" width="12" style="20" customWidth="1"/>
    <col min="22" max="22" width="12.140625" style="20" customWidth="1"/>
    <col min="23" max="23" width="13.5703125" style="20" customWidth="1"/>
    <col min="24" max="24" width="10.42578125" style="20" customWidth="1"/>
    <col min="25" max="25" width="11.7109375" style="20" customWidth="1"/>
    <col min="26" max="26" width="10" style="20" customWidth="1"/>
    <col min="27" max="27" width="10.28515625" style="20" customWidth="1"/>
    <col min="28" max="28" width="10.140625" style="20" customWidth="1"/>
    <col min="29" max="30" width="9.140625" style="20"/>
    <col min="31" max="31" width="8.140625" style="20" customWidth="1"/>
    <col min="32" max="32" width="9.7109375" style="20" customWidth="1"/>
    <col min="33" max="33" width="10.5703125" style="20" customWidth="1"/>
    <col min="34" max="35" width="11.28515625" style="20" customWidth="1"/>
    <col min="36" max="36" width="9.28515625" style="20" customWidth="1"/>
    <col min="37" max="37" width="9.140625" style="20"/>
    <col min="38" max="38" width="12" style="20" customWidth="1"/>
    <col min="39" max="39" width="12.7109375" style="20" customWidth="1"/>
    <col min="40" max="16384" width="9.140625" style="20"/>
  </cols>
  <sheetData>
    <row r="1" spans="1:41" ht="38.25" customHeight="1" thickTop="1" x14ac:dyDescent="0.4">
      <c r="A1" s="82" t="s">
        <v>36</v>
      </c>
      <c r="B1" s="83"/>
      <c r="C1" s="83"/>
      <c r="D1" s="83"/>
      <c r="E1" s="84"/>
      <c r="F1" s="50" t="s">
        <v>26</v>
      </c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</row>
    <row r="2" spans="1:41" ht="16.5" customHeight="1" thickBot="1" x14ac:dyDescent="0.25">
      <c r="A2" s="85" t="s">
        <v>12</v>
      </c>
      <c r="B2" s="86"/>
      <c r="C2" s="86"/>
      <c r="D2" s="86"/>
      <c r="E2" s="87"/>
      <c r="F2" s="51"/>
      <c r="G2" s="51"/>
      <c r="H2" s="51"/>
      <c r="I2" s="51"/>
      <c r="J2" s="51"/>
      <c r="K2" s="51"/>
      <c r="T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</row>
    <row r="3" spans="1:41" ht="16.5" customHeight="1" thickBot="1" x14ac:dyDescent="0.3">
      <c r="A3" s="88">
        <v>36982</v>
      </c>
      <c r="B3" s="89"/>
      <c r="C3" s="89"/>
      <c r="D3" s="89"/>
      <c r="E3" s="90"/>
      <c r="F3" s="52"/>
      <c r="G3" s="52"/>
      <c r="H3" s="52"/>
      <c r="I3" s="52"/>
      <c r="J3" s="52"/>
      <c r="K3" s="53"/>
      <c r="L3" s="9" t="s">
        <v>0</v>
      </c>
      <c r="M3" s="10"/>
      <c r="N3" s="10"/>
      <c r="O3" s="11"/>
      <c r="Q3" s="78" t="s">
        <v>16</v>
      </c>
      <c r="R3" s="79"/>
      <c r="S3" s="79"/>
      <c r="T3" s="57"/>
      <c r="U3" s="78" t="s">
        <v>21</v>
      </c>
      <c r="V3" s="79"/>
      <c r="W3" s="80"/>
      <c r="X3" s="14"/>
      <c r="Y3" s="15"/>
      <c r="Z3" s="15"/>
      <c r="AA3" s="15"/>
      <c r="AB3" s="15"/>
      <c r="AC3" s="23"/>
      <c r="AD3" s="23"/>
      <c r="AE3" s="23"/>
      <c r="AF3" s="23"/>
      <c r="AG3" s="23"/>
      <c r="AH3" s="23"/>
      <c r="AI3" s="23"/>
    </row>
    <row r="4" spans="1:41" ht="47.25" customHeight="1" thickTop="1" thickBot="1" x14ac:dyDescent="0.25">
      <c r="C4" s="81" t="s">
        <v>33</v>
      </c>
      <c r="D4" s="81"/>
      <c r="E4" s="81"/>
      <c r="F4" s="81" t="s">
        <v>34</v>
      </c>
      <c r="G4" s="81"/>
      <c r="H4" s="81"/>
      <c r="I4" s="81"/>
      <c r="J4" s="81"/>
      <c r="K4" s="3" t="s">
        <v>3</v>
      </c>
      <c r="L4" s="22" t="s">
        <v>4</v>
      </c>
      <c r="M4" s="22" t="s">
        <v>13</v>
      </c>
      <c r="N4" s="22" t="s">
        <v>5</v>
      </c>
      <c r="O4" s="22" t="s">
        <v>6</v>
      </c>
      <c r="P4" s="3"/>
      <c r="Q4" s="17" t="s">
        <v>19</v>
      </c>
      <c r="R4" s="16" t="s">
        <v>14</v>
      </c>
      <c r="S4" s="56" t="s">
        <v>15</v>
      </c>
      <c r="T4" s="58"/>
      <c r="U4" s="59" t="s">
        <v>2</v>
      </c>
      <c r="V4" s="59" t="s">
        <v>22</v>
      </c>
      <c r="W4" s="59" t="s">
        <v>23</v>
      </c>
      <c r="X4" s="24"/>
      <c r="Y4" s="24"/>
      <c r="Z4" s="24"/>
      <c r="AA4" s="24"/>
      <c r="AB4" s="24"/>
      <c r="AC4" s="23"/>
      <c r="AD4" s="23"/>
      <c r="AE4" s="12"/>
      <c r="AF4" s="8"/>
      <c r="AG4" s="8"/>
      <c r="AH4" s="13"/>
      <c r="AI4" s="13"/>
      <c r="AJ4" s="8"/>
      <c r="AK4" s="8"/>
      <c r="AL4" s="13"/>
      <c r="AM4" s="13"/>
      <c r="AN4" s="23"/>
      <c r="AO4" s="23"/>
    </row>
    <row r="5" spans="1:41" ht="22.5" x14ac:dyDescent="0.2">
      <c r="C5" s="48" t="s">
        <v>18</v>
      </c>
      <c r="D5" s="48" t="s">
        <v>7</v>
      </c>
      <c r="E5" s="2" t="s">
        <v>17</v>
      </c>
      <c r="F5" s="48" t="s">
        <v>18</v>
      </c>
      <c r="G5" s="48" t="s">
        <v>7</v>
      </c>
      <c r="H5" s="2" t="s">
        <v>17</v>
      </c>
      <c r="I5" s="2" t="s">
        <v>1</v>
      </c>
      <c r="J5" s="2" t="s">
        <v>20</v>
      </c>
      <c r="K5" s="3"/>
      <c r="L5" s="24">
        <v>0</v>
      </c>
      <c r="M5" s="24">
        <v>0</v>
      </c>
      <c r="N5" s="77">
        <f>[4]Apr!$J$10</f>
        <v>30000</v>
      </c>
      <c r="O5" s="24"/>
      <c r="P5" s="3"/>
      <c r="Q5" s="24"/>
      <c r="R5" s="24"/>
      <c r="S5" s="24"/>
      <c r="T5" s="24"/>
      <c r="U5" s="24"/>
      <c r="V5" s="24"/>
      <c r="W5" s="24"/>
      <c r="X5" s="4" t="s">
        <v>24</v>
      </c>
      <c r="Y5" s="4"/>
      <c r="Z5" s="24"/>
      <c r="AA5" s="24"/>
      <c r="AB5" s="24"/>
      <c r="AC5" s="23"/>
      <c r="AD5" s="23"/>
      <c r="AE5" s="12"/>
      <c r="AF5" s="8"/>
      <c r="AG5" s="8"/>
      <c r="AH5" s="13"/>
      <c r="AI5" s="13"/>
      <c r="AJ5" s="8"/>
      <c r="AK5" s="8"/>
      <c r="AL5" s="13"/>
      <c r="AM5" s="13"/>
      <c r="AN5" s="23"/>
      <c r="AO5" s="23"/>
    </row>
    <row r="6" spans="1:41" ht="29.25" customHeight="1" x14ac:dyDescent="0.2">
      <c r="B6" s="21"/>
      <c r="C6" s="21"/>
      <c r="D6" s="21"/>
      <c r="E6" s="25">
        <f>+'[3]BAM-EGS'!$BB$9</f>
        <v>3416983</v>
      </c>
      <c r="F6" s="25"/>
      <c r="G6" s="25"/>
      <c r="H6" s="25">
        <f>+'[2]BAM-EGS'!$BB$9</f>
        <v>3000000</v>
      </c>
      <c r="I6" s="6">
        <f>'[1]BAM-3RD'!$BK$2468</f>
        <v>1150456.9999999998</v>
      </c>
      <c r="J6" s="6"/>
      <c r="K6" s="6">
        <f>SUM(E6,H6,I6)</f>
        <v>7567440</v>
      </c>
      <c r="L6" s="4">
        <f>L5*30</f>
        <v>0</v>
      </c>
      <c r="M6" s="4">
        <f>M5*30</f>
        <v>0</v>
      </c>
      <c r="N6" s="4">
        <f>N5*30</f>
        <v>900000</v>
      </c>
      <c r="O6" s="4">
        <f>SUM(L6:N6)</f>
        <v>900000</v>
      </c>
      <c r="P6" s="4"/>
      <c r="Q6" s="25">
        <f>+'[3]BAM-EGS'!$BB$9+'[2]BAM-EGS'!$BB$9</f>
        <v>6416983</v>
      </c>
      <c r="R6" s="4"/>
      <c r="S6" s="4"/>
      <c r="T6" s="4"/>
      <c r="U6" s="4"/>
      <c r="V6" s="4"/>
      <c r="W6" s="4"/>
      <c r="X6" s="76" t="s">
        <v>35</v>
      </c>
      <c r="Y6" s="4" t="s">
        <v>25</v>
      </c>
      <c r="Z6" s="4"/>
      <c r="AA6" s="4"/>
      <c r="AB6" s="4"/>
      <c r="AC6" s="14"/>
      <c r="AD6" s="14"/>
      <c r="AE6" s="12"/>
      <c r="AF6" s="13"/>
      <c r="AG6" s="13"/>
      <c r="AH6" s="12"/>
      <c r="AI6" s="12"/>
      <c r="AJ6" s="13"/>
      <c r="AK6" s="13"/>
      <c r="AL6" s="12"/>
      <c r="AM6" s="12"/>
      <c r="AN6" s="23"/>
      <c r="AO6" s="23"/>
    </row>
    <row r="7" spans="1:41" x14ac:dyDescent="0.2">
      <c r="A7" s="21" t="s">
        <v>8</v>
      </c>
      <c r="B7" s="21"/>
      <c r="C7" s="21"/>
      <c r="D7" s="21"/>
      <c r="E7" s="74"/>
      <c r="F7" s="75"/>
      <c r="G7" s="47"/>
      <c r="H7" s="26"/>
      <c r="I7" s="7"/>
      <c r="J7" s="7"/>
      <c r="K7" s="27"/>
      <c r="L7" s="23"/>
      <c r="M7" s="23"/>
      <c r="N7" s="60"/>
      <c r="O7" s="23"/>
      <c r="P7" s="23"/>
      <c r="Q7" s="23"/>
      <c r="R7" s="23"/>
      <c r="S7" s="23"/>
      <c r="T7" s="23"/>
      <c r="U7" s="23"/>
      <c r="V7" s="23"/>
      <c r="W7" s="4"/>
      <c r="X7" s="4"/>
      <c r="Y7" s="23"/>
      <c r="Z7" s="23"/>
      <c r="AA7" s="23"/>
      <c r="AB7" s="23"/>
      <c r="AC7" s="15"/>
      <c r="AD7" s="15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</row>
    <row r="8" spans="1:41" x14ac:dyDescent="0.2">
      <c r="A8" s="21">
        <v>1</v>
      </c>
      <c r="B8" s="62" t="s">
        <v>42</v>
      </c>
      <c r="C8" s="49"/>
      <c r="D8" s="49"/>
      <c r="E8" s="55">
        <f>+'[3]BAM-EGS'!$BB12</f>
        <v>-19956.05</v>
      </c>
      <c r="F8" s="49"/>
      <c r="G8" s="28"/>
      <c r="H8" s="54">
        <f>+'[2]BAM-EGS'!$BB12</f>
        <v>0</v>
      </c>
      <c r="I8" s="29">
        <f>'[1]BAM-3RD'!$BK2436</f>
        <v>39913</v>
      </c>
      <c r="J8" s="54">
        <f>SUM(H8:I8)</f>
        <v>39913</v>
      </c>
      <c r="K8" s="30">
        <f>SUM(E8,H8,I8)</f>
        <v>19956.95</v>
      </c>
      <c r="L8" s="31">
        <v>0</v>
      </c>
      <c r="M8" s="29">
        <v>0</v>
      </c>
      <c r="N8" s="61">
        <f>[4]Apr!$K16</f>
        <v>35000</v>
      </c>
      <c r="O8" s="4">
        <f>SUM(L8:N8)</f>
        <v>35000</v>
      </c>
      <c r="P8" s="5"/>
      <c r="Q8" s="5">
        <f>$Q$6/30</f>
        <v>213899.43333333332</v>
      </c>
      <c r="R8" s="64">
        <f t="shared" ref="R8:R34" si="0">IF(L8&gt;0,$L$5-L8,0)+($M$5-M8)+($N$5-N8)</f>
        <v>-5000</v>
      </c>
      <c r="S8" s="5">
        <f>E8-Q8-R8</f>
        <v>-228855.48333333331</v>
      </c>
      <c r="T8" s="5"/>
      <c r="U8" s="5">
        <f>SUM(Q8:S8)</f>
        <v>-19956.049999999988</v>
      </c>
      <c r="V8" s="19">
        <f>SUM(H8)</f>
        <v>0</v>
      </c>
      <c r="W8" s="19">
        <f>SUM(U8:V8)</f>
        <v>-19956.049999999988</v>
      </c>
      <c r="X8" s="4">
        <f>IF(K8&gt;0,K8,0)</f>
        <v>19956.95</v>
      </c>
      <c r="Y8" s="19"/>
      <c r="Z8" s="19"/>
      <c r="AA8" s="19"/>
      <c r="AB8" s="19"/>
      <c r="AC8" s="32"/>
      <c r="AD8" s="23"/>
      <c r="AE8" s="33"/>
      <c r="AF8" s="34"/>
      <c r="AG8" s="34"/>
      <c r="AH8" s="34"/>
      <c r="AI8" s="34"/>
      <c r="AJ8" s="35"/>
      <c r="AK8" s="35"/>
      <c r="AL8" s="35"/>
      <c r="AM8" s="36"/>
      <c r="AN8" s="23"/>
      <c r="AO8" s="23"/>
    </row>
    <row r="9" spans="1:41" x14ac:dyDescent="0.2">
      <c r="A9" s="21">
        <f t="shared" ref="A9:A36" si="1">A8+1</f>
        <v>2</v>
      </c>
      <c r="B9" s="62" t="s">
        <v>42</v>
      </c>
      <c r="C9" s="49"/>
      <c r="D9" s="49"/>
      <c r="E9" s="55">
        <f>+'[3]BAM-EGS'!$BB13</f>
        <v>16773.95</v>
      </c>
      <c r="F9" s="49"/>
      <c r="G9" s="28"/>
      <c r="H9" s="54">
        <f>+'[2]BAM-EGS'!$BB13</f>
        <v>0</v>
      </c>
      <c r="I9" s="29">
        <f>'[1]BAM-3RD'!$BK2437</f>
        <v>39913</v>
      </c>
      <c r="J9" s="54">
        <f t="shared" ref="J9:J36" si="2">SUM(H9:I9)</f>
        <v>39913</v>
      </c>
      <c r="K9" s="30">
        <f t="shared" ref="K9:K36" si="3">SUM(E9,H9,I9)</f>
        <v>56686.95</v>
      </c>
      <c r="L9" s="37">
        <f>((L$6)-SUM(L$8:L8))/($A$37-$A8)</f>
        <v>0</v>
      </c>
      <c r="M9" s="37">
        <f>((M$6)-SUM(M$8:M8))/($A$37-$A8)</f>
        <v>0</v>
      </c>
      <c r="N9" s="61">
        <f>[4]Apr!$K17</f>
        <v>42500</v>
      </c>
      <c r="O9" s="4">
        <f t="shared" ref="O9:O36" si="4">SUM(L9:N9)</f>
        <v>42500</v>
      </c>
      <c r="P9" s="5"/>
      <c r="Q9" s="5">
        <f t="shared" ref="Q9:Q36" si="5">$Q$6/30</f>
        <v>213899.43333333332</v>
      </c>
      <c r="R9" s="64">
        <f t="shared" si="0"/>
        <v>-12500</v>
      </c>
      <c r="S9" s="5">
        <f t="shared" ref="S9:S36" si="6">E9-Q9-R9</f>
        <v>-184625.48333333331</v>
      </c>
      <c r="T9" s="5"/>
      <c r="U9" s="5">
        <f t="shared" ref="U9:U36" si="7">SUM(Q9:S9)</f>
        <v>16773.950000000012</v>
      </c>
      <c r="V9" s="19">
        <f t="shared" ref="V9:V36" si="8">SUM(H9)</f>
        <v>0</v>
      </c>
      <c r="W9" s="19">
        <f t="shared" ref="W9:W36" si="9">SUM(U9:V9)</f>
        <v>16773.950000000012</v>
      </c>
      <c r="X9" s="4">
        <f t="shared" ref="X9:X36" si="10">IF(K9&gt;0,K9,0)</f>
        <v>56686.95</v>
      </c>
      <c r="Y9" s="19"/>
      <c r="Z9" s="19"/>
      <c r="AA9" s="19"/>
      <c r="AB9" s="19"/>
      <c r="AC9" s="32"/>
      <c r="AD9" s="23"/>
      <c r="AE9" s="33"/>
      <c r="AF9" s="34"/>
      <c r="AG9" s="34"/>
      <c r="AH9" s="34"/>
      <c r="AI9" s="34"/>
      <c r="AJ9" s="35"/>
      <c r="AK9" s="35"/>
      <c r="AL9" s="35"/>
      <c r="AM9" s="36"/>
      <c r="AN9" s="23"/>
      <c r="AO9" s="23"/>
    </row>
    <row r="10" spans="1:41" x14ac:dyDescent="0.2">
      <c r="A10" s="21">
        <f t="shared" si="1"/>
        <v>3</v>
      </c>
      <c r="B10" s="62" t="s">
        <v>42</v>
      </c>
      <c r="C10" s="49"/>
      <c r="D10" s="49"/>
      <c r="E10" s="55">
        <f>+'[3]BAM-EGS'!$BB14</f>
        <v>144985.5</v>
      </c>
      <c r="F10" s="49"/>
      <c r="G10" s="28"/>
      <c r="H10" s="54">
        <f>+'[2]BAM-EGS'!$BB14</f>
        <v>0</v>
      </c>
      <c r="I10" s="29">
        <f>'[1]BAM-3RD'!$BK2438</f>
        <v>38570</v>
      </c>
      <c r="J10" s="54">
        <f t="shared" si="2"/>
        <v>38570</v>
      </c>
      <c r="K10" s="30">
        <f t="shared" si="3"/>
        <v>183555.5</v>
      </c>
      <c r="L10" s="37">
        <f>((L$6)-SUM(L$8:L9))/($A$37-$A9)</f>
        <v>0</v>
      </c>
      <c r="M10" s="37">
        <f>((M$6)-SUM(M$8:M9))/($A$37-$A9)</f>
        <v>0</v>
      </c>
      <c r="N10" s="61">
        <f>[4]Apr!$K18</f>
        <v>0</v>
      </c>
      <c r="O10" s="4">
        <f t="shared" si="4"/>
        <v>0</v>
      </c>
      <c r="P10" s="5"/>
      <c r="Q10" s="5">
        <f t="shared" si="5"/>
        <v>213899.43333333332</v>
      </c>
      <c r="R10" s="64">
        <f t="shared" si="0"/>
        <v>30000</v>
      </c>
      <c r="S10" s="5">
        <f t="shared" si="6"/>
        <v>-98913.93333333332</v>
      </c>
      <c r="T10" s="5"/>
      <c r="U10" s="5">
        <f t="shared" si="7"/>
        <v>144985.5</v>
      </c>
      <c r="V10" s="19">
        <f t="shared" si="8"/>
        <v>0</v>
      </c>
      <c r="W10" s="19">
        <f t="shared" si="9"/>
        <v>144985.5</v>
      </c>
      <c r="X10" s="4">
        <f t="shared" si="10"/>
        <v>183555.5</v>
      </c>
      <c r="Y10" s="19"/>
      <c r="Z10" s="19"/>
      <c r="AA10" s="19"/>
      <c r="AB10" s="19"/>
      <c r="AC10" s="32"/>
      <c r="AD10" s="23"/>
      <c r="AE10" s="33"/>
      <c r="AF10" s="34"/>
      <c r="AG10" s="34"/>
      <c r="AH10" s="34"/>
      <c r="AI10" s="34"/>
      <c r="AJ10" s="35"/>
      <c r="AK10" s="35"/>
      <c r="AL10" s="35"/>
      <c r="AM10" s="36"/>
      <c r="AN10" s="23"/>
      <c r="AO10" s="23"/>
    </row>
    <row r="11" spans="1:41" x14ac:dyDescent="0.2">
      <c r="A11" s="21">
        <f t="shared" si="1"/>
        <v>4</v>
      </c>
      <c r="B11" s="62" t="s">
        <v>42</v>
      </c>
      <c r="C11" s="49"/>
      <c r="D11" s="49"/>
      <c r="E11" s="55">
        <f>+'[3]BAM-EGS'!$BB15</f>
        <v>109065.75</v>
      </c>
      <c r="F11" s="49"/>
      <c r="G11" s="28"/>
      <c r="H11" s="54">
        <f>+'[2]BAM-EGS'!$BB15</f>
        <v>0</v>
      </c>
      <c r="I11" s="29">
        <f>'[1]BAM-3RD'!$BK2439</f>
        <v>38005</v>
      </c>
      <c r="J11" s="54">
        <f t="shared" si="2"/>
        <v>38005</v>
      </c>
      <c r="K11" s="30">
        <f t="shared" si="3"/>
        <v>147070.75</v>
      </c>
      <c r="L11" s="37">
        <f>((L$6)-SUM(L$8:L10))/($A$37-$A10)</f>
        <v>0</v>
      </c>
      <c r="M11" s="37">
        <f>((M$6)-SUM(M$8:M10))/($A$37-$A10)</f>
        <v>0</v>
      </c>
      <c r="N11" s="61">
        <f>[4]Apr!$K19</f>
        <v>20000</v>
      </c>
      <c r="O11" s="4">
        <f t="shared" si="4"/>
        <v>20000</v>
      </c>
      <c r="P11" s="5"/>
      <c r="Q11" s="5">
        <f t="shared" si="5"/>
        <v>213899.43333333332</v>
      </c>
      <c r="R11" s="64">
        <f t="shared" si="0"/>
        <v>10000</v>
      </c>
      <c r="S11" s="5">
        <f t="shared" si="6"/>
        <v>-114833.68333333332</v>
      </c>
      <c r="T11" s="5"/>
      <c r="U11" s="5">
        <f t="shared" si="7"/>
        <v>109065.75</v>
      </c>
      <c r="V11" s="19">
        <f t="shared" si="8"/>
        <v>0</v>
      </c>
      <c r="W11" s="19">
        <f t="shared" si="9"/>
        <v>109065.75</v>
      </c>
      <c r="X11" s="4">
        <f t="shared" si="10"/>
        <v>147070.75</v>
      </c>
      <c r="Y11" s="19"/>
      <c r="Z11" s="19"/>
      <c r="AA11" s="19"/>
      <c r="AB11" s="19"/>
      <c r="AC11" s="32"/>
      <c r="AD11" s="23"/>
      <c r="AE11" s="33"/>
      <c r="AF11" s="34"/>
      <c r="AG11" s="34"/>
      <c r="AH11" s="34"/>
      <c r="AI11" s="34"/>
      <c r="AJ11" s="35"/>
      <c r="AK11" s="35"/>
      <c r="AL11" s="35"/>
      <c r="AM11" s="36"/>
      <c r="AN11" s="23"/>
      <c r="AO11" s="23"/>
    </row>
    <row r="12" spans="1:41" x14ac:dyDescent="0.2">
      <c r="A12" s="21">
        <f t="shared" si="1"/>
        <v>5</v>
      </c>
      <c r="B12" s="62" t="s">
        <v>42</v>
      </c>
      <c r="C12" s="49"/>
      <c r="D12" s="49"/>
      <c r="E12" s="55">
        <f>+'[3]BAM-EGS'!$BB16</f>
        <v>15320.75</v>
      </c>
      <c r="F12" s="49"/>
      <c r="G12" s="28"/>
      <c r="H12" s="54">
        <f>+'[2]BAM-EGS'!$BB16</f>
        <v>0</v>
      </c>
      <c r="I12" s="29">
        <f>'[1]BAM-3RD'!$BK2440</f>
        <v>38305</v>
      </c>
      <c r="J12" s="54">
        <f t="shared" si="2"/>
        <v>38305</v>
      </c>
      <c r="K12" s="30">
        <f t="shared" si="3"/>
        <v>53625.75</v>
      </c>
      <c r="L12" s="37">
        <f>((L$6)-SUM(L$8:L11))/($A$37-$A11)</f>
        <v>0</v>
      </c>
      <c r="M12" s="37">
        <f>((M$6)-SUM(M$8:M11))/($A$37-$A11)</f>
        <v>0</v>
      </c>
      <c r="N12" s="61">
        <f>[4]Apr!$K20</f>
        <v>24917</v>
      </c>
      <c r="O12" s="4">
        <f t="shared" si="4"/>
        <v>24917</v>
      </c>
      <c r="P12" s="5"/>
      <c r="Q12" s="5">
        <f t="shared" si="5"/>
        <v>213899.43333333332</v>
      </c>
      <c r="R12" s="64">
        <f t="shared" si="0"/>
        <v>5083</v>
      </c>
      <c r="S12" s="5">
        <f t="shared" si="6"/>
        <v>-203661.68333333332</v>
      </c>
      <c r="T12" s="5"/>
      <c r="U12" s="5">
        <f t="shared" si="7"/>
        <v>15320.75</v>
      </c>
      <c r="V12" s="19">
        <f t="shared" si="8"/>
        <v>0</v>
      </c>
      <c r="W12" s="19">
        <f t="shared" si="9"/>
        <v>15320.75</v>
      </c>
      <c r="X12" s="4">
        <f t="shared" si="10"/>
        <v>53625.75</v>
      </c>
      <c r="Y12" s="19"/>
      <c r="Z12" s="19"/>
      <c r="AA12" s="19"/>
      <c r="AB12" s="19"/>
      <c r="AC12" s="32"/>
      <c r="AD12" s="23"/>
      <c r="AE12" s="33"/>
      <c r="AF12" s="34"/>
      <c r="AG12" s="34"/>
      <c r="AH12" s="34"/>
      <c r="AI12" s="34"/>
      <c r="AJ12" s="35"/>
      <c r="AK12" s="35"/>
      <c r="AL12" s="35"/>
      <c r="AM12" s="36"/>
      <c r="AN12" s="23"/>
      <c r="AO12" s="23"/>
    </row>
    <row r="13" spans="1:41" x14ac:dyDescent="0.2">
      <c r="A13" s="21">
        <f t="shared" si="1"/>
        <v>6</v>
      </c>
      <c r="B13" s="62" t="s">
        <v>42</v>
      </c>
      <c r="C13" s="49"/>
      <c r="D13" s="49"/>
      <c r="E13" s="55">
        <f>+'[3]BAM-EGS'!$BB17</f>
        <v>18914.05</v>
      </c>
      <c r="F13" s="49"/>
      <c r="G13" s="28"/>
      <c r="H13" s="54">
        <f>+'[2]BAM-EGS'!$BB17</f>
        <v>0</v>
      </c>
      <c r="I13" s="29">
        <f>'[1]BAM-3RD'!$BK2441</f>
        <v>38207</v>
      </c>
      <c r="J13" s="54">
        <f t="shared" si="2"/>
        <v>38207</v>
      </c>
      <c r="K13" s="30">
        <f t="shared" si="3"/>
        <v>57121.05</v>
      </c>
      <c r="L13" s="37">
        <f>((L$6)-SUM(L$8:L12))/($A$37-$A12)</f>
        <v>0</v>
      </c>
      <c r="M13" s="37">
        <f>((M$6)-SUM(M$8:M12))/($A$37-$A12)</f>
        <v>0</v>
      </c>
      <c r="N13" s="61">
        <f>[4]Apr!$K21</f>
        <v>40000</v>
      </c>
      <c r="O13" s="4">
        <f t="shared" si="4"/>
        <v>40000</v>
      </c>
      <c r="P13" s="5"/>
      <c r="Q13" s="5">
        <f t="shared" si="5"/>
        <v>213899.43333333332</v>
      </c>
      <c r="R13" s="64">
        <f t="shared" si="0"/>
        <v>-10000</v>
      </c>
      <c r="S13" s="5">
        <f t="shared" si="6"/>
        <v>-184985.38333333333</v>
      </c>
      <c r="T13" s="5"/>
      <c r="U13" s="5">
        <f t="shared" si="7"/>
        <v>18914.049999999988</v>
      </c>
      <c r="V13" s="19">
        <f t="shared" si="8"/>
        <v>0</v>
      </c>
      <c r="W13" s="19">
        <f t="shared" si="9"/>
        <v>18914.049999999988</v>
      </c>
      <c r="X13" s="4">
        <f t="shared" si="10"/>
        <v>57121.05</v>
      </c>
      <c r="Y13" s="19"/>
      <c r="Z13" s="19"/>
      <c r="AA13" s="19"/>
      <c r="AB13" s="19"/>
      <c r="AC13" s="32"/>
      <c r="AD13" s="23"/>
      <c r="AE13" s="33"/>
      <c r="AF13" s="34"/>
      <c r="AG13" s="34"/>
      <c r="AH13" s="34"/>
      <c r="AI13" s="34"/>
      <c r="AJ13" s="35"/>
      <c r="AK13" s="35"/>
      <c r="AL13" s="35"/>
      <c r="AM13" s="36"/>
      <c r="AN13" s="23"/>
      <c r="AO13" s="23"/>
    </row>
    <row r="14" spans="1:41" x14ac:dyDescent="0.2">
      <c r="A14" s="21">
        <f t="shared" si="1"/>
        <v>7</v>
      </c>
      <c r="B14" s="62" t="s">
        <v>42</v>
      </c>
      <c r="C14" s="49"/>
      <c r="D14" s="49"/>
      <c r="E14" s="55">
        <f>+'[3]BAM-EGS'!$BB18</f>
        <v>301004.05</v>
      </c>
      <c r="F14" s="49"/>
      <c r="G14" s="28"/>
      <c r="H14" s="54">
        <f>+'[2]BAM-EGS'!$BB18</f>
        <v>0</v>
      </c>
      <c r="I14" s="29">
        <f>'[1]BAM-3RD'!$BK2442</f>
        <v>38207</v>
      </c>
      <c r="J14" s="54">
        <f t="shared" si="2"/>
        <v>38207</v>
      </c>
      <c r="K14" s="30">
        <f t="shared" si="3"/>
        <v>339211.05</v>
      </c>
      <c r="L14" s="37">
        <f>((L$6)-SUM(L$8:L13))/($A$37-$A13)</f>
        <v>0</v>
      </c>
      <c r="M14" s="37">
        <f>((M$6)-SUM(M$8:M13))/($A$37-$A13)</f>
        <v>0</v>
      </c>
      <c r="N14" s="61">
        <f>[4]Apr!$K22</f>
        <v>40000</v>
      </c>
      <c r="O14" s="4">
        <f t="shared" si="4"/>
        <v>40000</v>
      </c>
      <c r="P14" s="5"/>
      <c r="Q14" s="5">
        <f t="shared" si="5"/>
        <v>213899.43333333332</v>
      </c>
      <c r="R14" s="64">
        <f t="shared" si="0"/>
        <v>-10000</v>
      </c>
      <c r="S14" s="5">
        <f t="shared" si="6"/>
        <v>97104.616666666669</v>
      </c>
      <c r="T14" s="5"/>
      <c r="U14" s="5">
        <f t="shared" si="7"/>
        <v>301004.05</v>
      </c>
      <c r="V14" s="19">
        <f t="shared" si="8"/>
        <v>0</v>
      </c>
      <c r="W14" s="19">
        <f t="shared" si="9"/>
        <v>301004.05</v>
      </c>
      <c r="X14" s="4">
        <f t="shared" si="10"/>
        <v>339211.05</v>
      </c>
      <c r="Y14" s="19"/>
      <c r="Z14" s="19"/>
      <c r="AA14" s="19"/>
      <c r="AB14" s="19"/>
      <c r="AC14" s="32"/>
      <c r="AD14" s="23"/>
      <c r="AE14" s="33"/>
      <c r="AF14" s="34"/>
      <c r="AG14" s="34"/>
      <c r="AH14" s="34"/>
      <c r="AI14" s="34"/>
      <c r="AJ14" s="35"/>
      <c r="AK14" s="35"/>
      <c r="AL14" s="35"/>
      <c r="AM14" s="36"/>
      <c r="AN14" s="23"/>
      <c r="AO14" s="23"/>
    </row>
    <row r="15" spans="1:41" x14ac:dyDescent="0.2">
      <c r="A15" s="21">
        <f t="shared" si="1"/>
        <v>8</v>
      </c>
      <c r="B15" s="62" t="s">
        <v>42</v>
      </c>
      <c r="C15" s="49"/>
      <c r="D15" s="49"/>
      <c r="E15" s="55">
        <f>+'[3]BAM-EGS'!$BB19</f>
        <v>310574.05</v>
      </c>
      <c r="F15" s="49"/>
      <c r="G15" s="28"/>
      <c r="H15" s="54">
        <f>+'[2]BAM-EGS'!$BB19</f>
        <v>0</v>
      </c>
      <c r="I15" s="29">
        <f>'[1]BAM-3RD'!$BK2443</f>
        <v>38207</v>
      </c>
      <c r="J15" s="54">
        <f t="shared" si="2"/>
        <v>38207</v>
      </c>
      <c r="K15" s="30">
        <f t="shared" si="3"/>
        <v>348781.05</v>
      </c>
      <c r="L15" s="37">
        <f>((L$6)-SUM(L$8:L14))/($A$37-$A14)</f>
        <v>0</v>
      </c>
      <c r="M15" s="37">
        <f>((M$6)-SUM(M$8:M14))/($A$37-$A14)</f>
        <v>0</v>
      </c>
      <c r="N15" s="61">
        <f>[4]Apr!$K23</f>
        <v>31667</v>
      </c>
      <c r="O15" s="4">
        <f t="shared" si="4"/>
        <v>31667</v>
      </c>
      <c r="P15" s="5"/>
      <c r="Q15" s="5">
        <f t="shared" si="5"/>
        <v>213899.43333333332</v>
      </c>
      <c r="R15" s="64">
        <f t="shared" si="0"/>
        <v>-1667</v>
      </c>
      <c r="S15" s="5">
        <f t="shared" si="6"/>
        <v>98341.616666666669</v>
      </c>
      <c r="T15" s="5"/>
      <c r="U15" s="5">
        <f t="shared" si="7"/>
        <v>310574.05</v>
      </c>
      <c r="V15" s="19">
        <f t="shared" si="8"/>
        <v>0</v>
      </c>
      <c r="W15" s="19">
        <f t="shared" si="9"/>
        <v>310574.05</v>
      </c>
      <c r="X15" s="4">
        <f t="shared" si="10"/>
        <v>348781.05</v>
      </c>
      <c r="Y15" s="19"/>
      <c r="Z15" s="19"/>
      <c r="AA15" s="19"/>
      <c r="AB15" s="19"/>
      <c r="AC15" s="32"/>
      <c r="AD15" s="23"/>
      <c r="AE15" s="33"/>
      <c r="AF15" s="34"/>
      <c r="AG15" s="34"/>
      <c r="AH15" s="34"/>
      <c r="AI15" s="34"/>
      <c r="AJ15" s="35"/>
      <c r="AK15" s="35"/>
      <c r="AL15" s="35"/>
      <c r="AM15" s="36"/>
      <c r="AN15" s="23"/>
      <c r="AO15" s="23"/>
    </row>
    <row r="16" spans="1:41" x14ac:dyDescent="0.2">
      <c r="A16" s="21">
        <f t="shared" si="1"/>
        <v>9</v>
      </c>
      <c r="B16" s="62" t="s">
        <v>42</v>
      </c>
      <c r="C16" s="49"/>
      <c r="D16" s="49"/>
      <c r="E16" s="55">
        <f>+'[3]BAM-EGS'!$BB20</f>
        <v>288794.05</v>
      </c>
      <c r="F16" s="49"/>
      <c r="G16" s="28"/>
      <c r="H16" s="54">
        <f>+'[2]BAM-EGS'!$BB20</f>
        <v>0</v>
      </c>
      <c r="I16" s="29">
        <f>'[1]BAM-3RD'!$BK2444</f>
        <v>38207</v>
      </c>
      <c r="J16" s="54">
        <f t="shared" si="2"/>
        <v>38207</v>
      </c>
      <c r="K16" s="30">
        <f t="shared" si="3"/>
        <v>327001.05</v>
      </c>
      <c r="L16" s="37">
        <f>((L$6)-SUM(L$8:L15))/($A$37-$A15)</f>
        <v>0</v>
      </c>
      <c r="M16" s="37">
        <f>((M$6)-SUM(M$8:M15))/($A$37-$A15)</f>
        <v>0</v>
      </c>
      <c r="N16" s="61">
        <f>[4]Apr!$K24</f>
        <v>51667</v>
      </c>
      <c r="O16" s="4">
        <f t="shared" si="4"/>
        <v>51667</v>
      </c>
      <c r="P16" s="5"/>
      <c r="Q16" s="5">
        <f t="shared" si="5"/>
        <v>213899.43333333332</v>
      </c>
      <c r="R16" s="64">
        <f t="shared" si="0"/>
        <v>-21667</v>
      </c>
      <c r="S16" s="5">
        <f t="shared" si="6"/>
        <v>96561.616666666669</v>
      </c>
      <c r="T16" s="5"/>
      <c r="U16" s="5">
        <f t="shared" si="7"/>
        <v>288794.05</v>
      </c>
      <c r="V16" s="19">
        <f t="shared" si="8"/>
        <v>0</v>
      </c>
      <c r="W16" s="19">
        <f t="shared" si="9"/>
        <v>288794.05</v>
      </c>
      <c r="X16" s="4">
        <f t="shared" si="10"/>
        <v>327001.05</v>
      </c>
      <c r="Y16" s="19"/>
      <c r="Z16" s="19"/>
      <c r="AA16" s="19"/>
      <c r="AB16" s="19"/>
      <c r="AC16" s="32"/>
      <c r="AD16" s="23"/>
      <c r="AE16" s="33"/>
      <c r="AF16" s="34"/>
      <c r="AG16" s="34"/>
      <c r="AH16" s="34"/>
      <c r="AI16" s="34"/>
      <c r="AJ16" s="35"/>
      <c r="AK16" s="35"/>
      <c r="AL16" s="35"/>
      <c r="AM16" s="36"/>
      <c r="AN16" s="23"/>
      <c r="AO16" s="23"/>
    </row>
    <row r="17" spans="1:41" x14ac:dyDescent="0.2">
      <c r="A17" s="21">
        <f t="shared" si="1"/>
        <v>10</v>
      </c>
      <c r="B17" s="62" t="s">
        <v>42</v>
      </c>
      <c r="C17" s="49"/>
      <c r="D17" s="49"/>
      <c r="E17" s="55">
        <f>+'[3]BAM-EGS'!$BB21</f>
        <v>222416.6</v>
      </c>
      <c r="F17" s="49"/>
      <c r="G17" s="28"/>
      <c r="H17" s="54">
        <f>+'[2]BAM-EGS'!$BB21</f>
        <v>0</v>
      </c>
      <c r="I17" s="29">
        <f>'[1]BAM-3RD'!$BK2445</f>
        <v>38604</v>
      </c>
      <c r="J17" s="54">
        <f t="shared" si="2"/>
        <v>38604</v>
      </c>
      <c r="K17" s="30">
        <f t="shared" si="3"/>
        <v>261020.6</v>
      </c>
      <c r="L17" s="37">
        <f>((L$6)-SUM(L$8:L16))/($A$37-$A16)</f>
        <v>0</v>
      </c>
      <c r="M17" s="37">
        <f>((M$6)-SUM(M$8:M16))/($A$37-$A16)</f>
        <v>0</v>
      </c>
      <c r="N17" s="61">
        <f>[4]Apr!$K25</f>
        <v>40000</v>
      </c>
      <c r="O17" s="4">
        <f t="shared" si="4"/>
        <v>40000</v>
      </c>
      <c r="P17" s="5"/>
      <c r="Q17" s="5">
        <f t="shared" si="5"/>
        <v>213899.43333333332</v>
      </c>
      <c r="R17" s="64">
        <f t="shared" si="0"/>
        <v>-10000</v>
      </c>
      <c r="S17" s="5">
        <f t="shared" si="6"/>
        <v>18517.166666666686</v>
      </c>
      <c r="T17" s="5"/>
      <c r="U17" s="5">
        <f t="shared" si="7"/>
        <v>222416.6</v>
      </c>
      <c r="V17" s="19">
        <f t="shared" si="8"/>
        <v>0</v>
      </c>
      <c r="W17" s="19">
        <f t="shared" si="9"/>
        <v>222416.6</v>
      </c>
      <c r="X17" s="4">
        <f t="shared" si="10"/>
        <v>261020.6</v>
      </c>
      <c r="Y17" s="19"/>
      <c r="Z17" s="19"/>
      <c r="AA17" s="19"/>
      <c r="AB17" s="19"/>
      <c r="AC17" s="32"/>
      <c r="AD17" s="23"/>
      <c r="AE17" s="33"/>
      <c r="AF17" s="34"/>
      <c r="AG17" s="34"/>
      <c r="AH17" s="34"/>
      <c r="AI17" s="34"/>
      <c r="AJ17" s="35"/>
      <c r="AK17" s="35"/>
      <c r="AL17" s="35"/>
      <c r="AM17" s="36"/>
      <c r="AN17" s="23"/>
      <c r="AO17" s="23"/>
    </row>
    <row r="18" spans="1:41" x14ac:dyDescent="0.2">
      <c r="A18" s="21">
        <f t="shared" si="1"/>
        <v>11</v>
      </c>
      <c r="B18" s="62" t="s">
        <v>42</v>
      </c>
      <c r="C18" s="49"/>
      <c r="D18" s="49"/>
      <c r="E18" s="55">
        <f>+'[3]BAM-EGS'!$BB22</f>
        <v>212406.6</v>
      </c>
      <c r="F18" s="49"/>
      <c r="G18" s="28"/>
      <c r="H18" s="54">
        <f>+'[2]BAM-EGS'!$BB22</f>
        <v>0</v>
      </c>
      <c r="I18" s="29">
        <f>'[1]BAM-3RD'!$BK2446</f>
        <v>38604</v>
      </c>
      <c r="J18" s="54">
        <f t="shared" si="2"/>
        <v>38604</v>
      </c>
      <c r="K18" s="30">
        <f t="shared" si="3"/>
        <v>251010.6</v>
      </c>
      <c r="L18" s="37">
        <f>((L$6)-SUM(L$8:L17))/($A$37-$A17)</f>
        <v>0</v>
      </c>
      <c r="M18" s="37">
        <f>((M$6)-SUM(M$8:M17))/($A$37-$A17)</f>
        <v>0</v>
      </c>
      <c r="N18" s="61">
        <f>[4]Apr!$K26</f>
        <v>12500</v>
      </c>
      <c r="O18" s="4">
        <f t="shared" si="4"/>
        <v>12500</v>
      </c>
      <c r="P18" s="5"/>
      <c r="Q18" s="5">
        <f t="shared" si="5"/>
        <v>213899.43333333332</v>
      </c>
      <c r="R18" s="64">
        <f t="shared" si="0"/>
        <v>17500</v>
      </c>
      <c r="S18" s="5">
        <f t="shared" si="6"/>
        <v>-18992.833333333314</v>
      </c>
      <c r="T18" s="5"/>
      <c r="U18" s="5">
        <f t="shared" si="7"/>
        <v>212406.6</v>
      </c>
      <c r="V18" s="19">
        <f t="shared" si="8"/>
        <v>0</v>
      </c>
      <c r="W18" s="19">
        <f t="shared" si="9"/>
        <v>212406.6</v>
      </c>
      <c r="X18" s="4">
        <f t="shared" si="10"/>
        <v>251010.6</v>
      </c>
      <c r="Y18" s="19"/>
      <c r="Z18" s="19"/>
      <c r="AA18" s="19"/>
      <c r="AB18" s="19"/>
      <c r="AC18" s="32"/>
      <c r="AD18" s="23"/>
      <c r="AE18" s="33"/>
      <c r="AF18" s="34"/>
      <c r="AG18" s="34"/>
      <c r="AH18" s="34"/>
      <c r="AI18" s="34"/>
      <c r="AJ18" s="35"/>
      <c r="AK18" s="35"/>
      <c r="AL18" s="35"/>
      <c r="AM18" s="36"/>
      <c r="AN18" s="23"/>
      <c r="AO18" s="23"/>
    </row>
    <row r="19" spans="1:41" x14ac:dyDescent="0.2">
      <c r="A19" s="21">
        <f t="shared" si="1"/>
        <v>12</v>
      </c>
      <c r="B19" s="62" t="s">
        <v>42</v>
      </c>
      <c r="C19" s="49"/>
      <c r="D19" s="49"/>
      <c r="E19" s="55">
        <f>+'[3]BAM-EGS'!$BB23</f>
        <v>279016.59999999998</v>
      </c>
      <c r="F19" s="49"/>
      <c r="G19" s="28"/>
      <c r="H19" s="54">
        <f>+'[2]BAM-EGS'!$BB23</f>
        <v>0</v>
      </c>
      <c r="I19" s="29">
        <f>'[1]BAM-3RD'!$BK2447</f>
        <v>38604</v>
      </c>
      <c r="J19" s="54">
        <f t="shared" si="2"/>
        <v>38604</v>
      </c>
      <c r="K19" s="30">
        <f t="shared" si="3"/>
        <v>317620.59999999998</v>
      </c>
      <c r="L19" s="37">
        <f>((L$6)-SUM(L$8:L18))/($A$37-$A18)</f>
        <v>0</v>
      </c>
      <c r="M19" s="37">
        <f>((M$6)-SUM(M$8:M18))/($A$37-$A18)</f>
        <v>0</v>
      </c>
      <c r="N19" s="61">
        <f>[4]Apr!$K27</f>
        <v>8750</v>
      </c>
      <c r="O19" s="4">
        <f t="shared" si="4"/>
        <v>8750</v>
      </c>
      <c r="P19" s="5"/>
      <c r="Q19" s="5">
        <f t="shared" si="5"/>
        <v>213899.43333333332</v>
      </c>
      <c r="R19" s="64">
        <f t="shared" si="0"/>
        <v>21250</v>
      </c>
      <c r="S19" s="5">
        <f t="shared" si="6"/>
        <v>43867.166666666657</v>
      </c>
      <c r="T19" s="5"/>
      <c r="U19" s="5">
        <f t="shared" si="7"/>
        <v>279016.59999999998</v>
      </c>
      <c r="V19" s="19">
        <f t="shared" si="8"/>
        <v>0</v>
      </c>
      <c r="W19" s="19">
        <f t="shared" si="9"/>
        <v>279016.59999999998</v>
      </c>
      <c r="X19" s="4">
        <f t="shared" si="10"/>
        <v>317620.59999999998</v>
      </c>
      <c r="Y19" s="19"/>
      <c r="Z19" s="19"/>
      <c r="AA19" s="19"/>
      <c r="AB19" s="19"/>
      <c r="AC19" s="32"/>
      <c r="AD19" s="23"/>
      <c r="AE19" s="33"/>
      <c r="AF19" s="34"/>
      <c r="AG19" s="34"/>
      <c r="AH19" s="34"/>
      <c r="AI19" s="34"/>
      <c r="AJ19" s="35"/>
      <c r="AK19" s="35"/>
      <c r="AL19" s="35"/>
      <c r="AM19" s="36"/>
      <c r="AN19" s="23"/>
      <c r="AO19" s="23"/>
    </row>
    <row r="20" spans="1:41" x14ac:dyDescent="0.2">
      <c r="A20" s="21">
        <f t="shared" si="1"/>
        <v>13</v>
      </c>
      <c r="B20" s="62" t="s">
        <v>42</v>
      </c>
      <c r="C20" s="49"/>
      <c r="D20" s="49"/>
      <c r="E20" s="55">
        <f>+'[3]BAM-EGS'!$BB24</f>
        <v>306229.7</v>
      </c>
      <c r="F20" s="49"/>
      <c r="G20" s="28"/>
      <c r="H20" s="54">
        <f>+'[2]BAM-EGS'!$BB24</f>
        <v>0</v>
      </c>
      <c r="I20" s="29">
        <f>'[1]BAM-3RD'!$BK2448</f>
        <v>39318</v>
      </c>
      <c r="J20" s="54">
        <f t="shared" si="2"/>
        <v>39318</v>
      </c>
      <c r="K20" s="30">
        <f t="shared" si="3"/>
        <v>345547.7</v>
      </c>
      <c r="L20" s="37">
        <f>((L$6)-SUM(L$8:L19))/($A$37-$A19)</f>
        <v>0</v>
      </c>
      <c r="M20" s="37">
        <f>((M$6)-SUM(M$8:M19))/($A$37-$A19)</f>
        <v>0</v>
      </c>
      <c r="N20" s="61">
        <f>[4]Apr!$K28</f>
        <v>55000</v>
      </c>
      <c r="O20" s="4">
        <f t="shared" si="4"/>
        <v>55000</v>
      </c>
      <c r="P20" s="5"/>
      <c r="Q20" s="5">
        <f t="shared" si="5"/>
        <v>213899.43333333332</v>
      </c>
      <c r="R20" s="64">
        <f t="shared" si="0"/>
        <v>-25000</v>
      </c>
      <c r="S20" s="5">
        <f t="shared" si="6"/>
        <v>117330.26666666669</v>
      </c>
      <c r="T20" s="5"/>
      <c r="U20" s="5">
        <f t="shared" si="7"/>
        <v>306229.7</v>
      </c>
      <c r="V20" s="19">
        <f t="shared" si="8"/>
        <v>0</v>
      </c>
      <c r="W20" s="19">
        <f t="shared" si="9"/>
        <v>306229.7</v>
      </c>
      <c r="X20" s="4">
        <f t="shared" si="10"/>
        <v>345547.7</v>
      </c>
      <c r="Y20" s="19"/>
      <c r="Z20" s="19"/>
      <c r="AA20" s="19"/>
      <c r="AB20" s="19"/>
      <c r="AC20" s="32"/>
      <c r="AD20" s="23"/>
      <c r="AE20" s="33"/>
      <c r="AF20" s="34"/>
      <c r="AG20" s="34"/>
      <c r="AH20" s="34"/>
      <c r="AI20" s="34"/>
      <c r="AJ20" s="35"/>
      <c r="AK20" s="35"/>
      <c r="AL20" s="35"/>
      <c r="AM20" s="36"/>
      <c r="AN20" s="23"/>
      <c r="AO20" s="23"/>
    </row>
    <row r="21" spans="1:41" x14ac:dyDescent="0.2">
      <c r="A21" s="21">
        <f t="shared" si="1"/>
        <v>14</v>
      </c>
      <c r="B21" s="62" t="s">
        <v>42</v>
      </c>
      <c r="C21" s="49"/>
      <c r="D21" s="49"/>
      <c r="E21" s="55">
        <f>+'[3]BAM-EGS'!$BB25</f>
        <v>217749.7</v>
      </c>
      <c r="F21" s="49"/>
      <c r="G21" s="28"/>
      <c r="H21" s="54">
        <f>+'[2]BAM-EGS'!$BB25</f>
        <v>0</v>
      </c>
      <c r="I21" s="29">
        <f>'[1]BAM-3RD'!$BK2449</f>
        <v>39318</v>
      </c>
      <c r="J21" s="54">
        <f t="shared" si="2"/>
        <v>39318</v>
      </c>
      <c r="K21" s="30">
        <f t="shared" si="3"/>
        <v>257067.7</v>
      </c>
      <c r="L21" s="37">
        <f>((L$6)-SUM(L$8:L20))/($A$37-$A20)</f>
        <v>0</v>
      </c>
      <c r="M21" s="37">
        <f>((M$6)-SUM(M$8:M20))/($A$37-$A20)</f>
        <v>0</v>
      </c>
      <c r="N21" s="61">
        <f>[4]Apr!$K29</f>
        <v>55000</v>
      </c>
      <c r="O21" s="4">
        <f t="shared" si="4"/>
        <v>55000</v>
      </c>
      <c r="P21" s="5"/>
      <c r="Q21" s="5">
        <f t="shared" si="5"/>
        <v>213899.43333333332</v>
      </c>
      <c r="R21" s="64">
        <f t="shared" si="0"/>
        <v>-25000</v>
      </c>
      <c r="S21" s="5">
        <f t="shared" si="6"/>
        <v>28850.266666666692</v>
      </c>
      <c r="T21" s="5"/>
      <c r="U21" s="5">
        <f t="shared" si="7"/>
        <v>217749.7</v>
      </c>
      <c r="V21" s="19">
        <f t="shared" si="8"/>
        <v>0</v>
      </c>
      <c r="W21" s="19">
        <f t="shared" si="9"/>
        <v>217749.7</v>
      </c>
      <c r="X21" s="4">
        <f t="shared" si="10"/>
        <v>257067.7</v>
      </c>
      <c r="Y21" s="19"/>
      <c r="Z21" s="19"/>
      <c r="AA21" s="19"/>
      <c r="AB21" s="19"/>
      <c r="AC21" s="32"/>
      <c r="AD21" s="23"/>
      <c r="AE21" s="33"/>
      <c r="AF21" s="34"/>
      <c r="AG21" s="34"/>
      <c r="AH21" s="34"/>
      <c r="AI21" s="34"/>
      <c r="AJ21" s="35"/>
      <c r="AK21" s="35"/>
      <c r="AL21" s="35"/>
      <c r="AM21" s="36"/>
      <c r="AN21" s="23"/>
      <c r="AO21" s="23"/>
    </row>
    <row r="22" spans="1:41" x14ac:dyDescent="0.2">
      <c r="A22" s="21">
        <f t="shared" si="1"/>
        <v>15</v>
      </c>
      <c r="B22" s="62" t="s">
        <v>42</v>
      </c>
      <c r="C22" s="49"/>
      <c r="D22" s="49"/>
      <c r="E22" s="55">
        <f>+'[3]BAM-EGS'!$BB26</f>
        <v>236239.7</v>
      </c>
      <c r="F22" s="49"/>
      <c r="G22" s="28"/>
      <c r="H22" s="54">
        <f>+'[2]BAM-EGS'!$BB26</f>
        <v>0</v>
      </c>
      <c r="I22" s="29">
        <f>'[1]BAM-3RD'!$BK2450</f>
        <v>39318</v>
      </c>
      <c r="J22" s="54">
        <f t="shared" si="2"/>
        <v>39318</v>
      </c>
      <c r="K22" s="30">
        <f t="shared" si="3"/>
        <v>275557.7</v>
      </c>
      <c r="L22" s="37">
        <f>((L$6)-SUM(L$8:L21))/($A$37-$A21)</f>
        <v>0</v>
      </c>
      <c r="M22" s="37">
        <f>((M$6)-SUM(M$8:M21))/($A$37-$A21)</f>
        <v>0</v>
      </c>
      <c r="N22" s="61">
        <f>[4]Apr!$K30</f>
        <v>55000</v>
      </c>
      <c r="O22" s="4">
        <f t="shared" si="4"/>
        <v>55000</v>
      </c>
      <c r="P22" s="5"/>
      <c r="Q22" s="5">
        <f t="shared" si="5"/>
        <v>213899.43333333332</v>
      </c>
      <c r="R22" s="64">
        <f t="shared" si="0"/>
        <v>-25000</v>
      </c>
      <c r="S22" s="5">
        <f t="shared" si="6"/>
        <v>47340.266666666692</v>
      </c>
      <c r="T22" s="5"/>
      <c r="U22" s="5">
        <f t="shared" si="7"/>
        <v>236239.7</v>
      </c>
      <c r="V22" s="19">
        <f t="shared" si="8"/>
        <v>0</v>
      </c>
      <c r="W22" s="19">
        <f t="shared" si="9"/>
        <v>236239.7</v>
      </c>
      <c r="X22" s="4">
        <f t="shared" si="10"/>
        <v>275557.7</v>
      </c>
      <c r="Y22" s="19"/>
      <c r="Z22" s="19"/>
      <c r="AA22" s="19"/>
      <c r="AB22" s="19"/>
      <c r="AC22" s="32"/>
      <c r="AD22" s="23"/>
      <c r="AE22" s="33"/>
      <c r="AF22" s="34"/>
      <c r="AG22" s="34"/>
      <c r="AH22" s="34"/>
      <c r="AI22" s="34"/>
      <c r="AJ22" s="35"/>
      <c r="AK22" s="35"/>
      <c r="AL22" s="35"/>
      <c r="AM22" s="36"/>
      <c r="AN22" s="23"/>
      <c r="AO22" s="23"/>
    </row>
    <row r="23" spans="1:41" x14ac:dyDescent="0.2">
      <c r="A23" s="21">
        <f t="shared" si="1"/>
        <v>16</v>
      </c>
      <c r="B23" s="62" t="s">
        <v>42</v>
      </c>
      <c r="C23" s="49"/>
      <c r="D23" s="49"/>
      <c r="E23" s="55">
        <f>+'[3]BAM-EGS'!$BB27</f>
        <v>-781140.3</v>
      </c>
      <c r="F23" s="49"/>
      <c r="G23" s="28"/>
      <c r="H23" s="54">
        <f>+'[2]BAM-EGS'!$BB27</f>
        <v>1000000</v>
      </c>
      <c r="I23" s="29">
        <f>'[1]BAM-3RD'!$BK2451</f>
        <v>39318</v>
      </c>
      <c r="J23" s="54">
        <f t="shared" si="2"/>
        <v>1039318</v>
      </c>
      <c r="K23" s="30">
        <f t="shared" si="3"/>
        <v>258177.69999999995</v>
      </c>
      <c r="L23" s="37">
        <f>((L$6)-SUM(L$8:L22))/($A$37-$A22)</f>
        <v>0</v>
      </c>
      <c r="M23" s="37">
        <f>((M$6)-SUM(M$8:M22))/($A$37-$A22)</f>
        <v>0</v>
      </c>
      <c r="N23" s="61">
        <f>[4]Apr!$K31</f>
        <v>30000</v>
      </c>
      <c r="O23" s="4">
        <f t="shared" si="4"/>
        <v>30000</v>
      </c>
      <c r="P23" s="5"/>
      <c r="Q23" s="5">
        <f t="shared" si="5"/>
        <v>213899.43333333332</v>
      </c>
      <c r="R23" s="64">
        <f t="shared" si="0"/>
        <v>0</v>
      </c>
      <c r="S23" s="5">
        <f t="shared" si="6"/>
        <v>-995039.7333333334</v>
      </c>
      <c r="T23" s="5"/>
      <c r="U23" s="5">
        <f t="shared" si="7"/>
        <v>-781140.3</v>
      </c>
      <c r="V23" s="19">
        <f t="shared" si="8"/>
        <v>1000000</v>
      </c>
      <c r="W23" s="19">
        <f t="shared" si="9"/>
        <v>218859.69999999995</v>
      </c>
      <c r="X23" s="4">
        <f t="shared" si="10"/>
        <v>258177.69999999995</v>
      </c>
      <c r="Y23" s="19"/>
      <c r="Z23" s="19"/>
      <c r="AA23" s="19"/>
      <c r="AB23" s="19"/>
      <c r="AC23" s="32"/>
      <c r="AD23" s="23"/>
      <c r="AE23" s="33"/>
      <c r="AF23" s="34"/>
      <c r="AG23" s="34"/>
      <c r="AH23" s="34"/>
      <c r="AI23" s="34"/>
      <c r="AJ23" s="35"/>
      <c r="AK23" s="35"/>
      <c r="AL23" s="35"/>
      <c r="AM23" s="36"/>
      <c r="AN23" s="23"/>
      <c r="AO23" s="23"/>
    </row>
    <row r="24" spans="1:41" x14ac:dyDescent="0.2">
      <c r="A24" s="21">
        <f t="shared" si="1"/>
        <v>17</v>
      </c>
      <c r="B24" s="62" t="s">
        <v>42</v>
      </c>
      <c r="C24" s="49"/>
      <c r="D24" s="49"/>
      <c r="E24" s="55">
        <f>+'[3]BAM-EGS'!$BB28</f>
        <v>127459.7</v>
      </c>
      <c r="F24" s="49"/>
      <c r="G24" s="28"/>
      <c r="H24" s="54">
        <f>+'[2]BAM-EGS'!$BB28</f>
        <v>0</v>
      </c>
      <c r="I24" s="29">
        <f>'[1]BAM-3RD'!$BK2452</f>
        <v>39318</v>
      </c>
      <c r="J24" s="54">
        <f t="shared" si="2"/>
        <v>39318</v>
      </c>
      <c r="K24" s="30">
        <f t="shared" si="3"/>
        <v>166777.70000000001</v>
      </c>
      <c r="L24" s="37">
        <f>((L$6)-SUM(L$8:L23))/($A$37-$A23)</f>
        <v>0</v>
      </c>
      <c r="M24" s="37">
        <f>((M$6)-SUM(M$8:M23))/($A$37-$A23)</f>
        <v>0</v>
      </c>
      <c r="N24" s="61">
        <f>[4]Apr!$K32</f>
        <v>50000</v>
      </c>
      <c r="O24" s="4">
        <f t="shared" si="4"/>
        <v>50000</v>
      </c>
      <c r="P24" s="5"/>
      <c r="Q24" s="5">
        <f t="shared" si="5"/>
        <v>213899.43333333332</v>
      </c>
      <c r="R24" s="64">
        <f t="shared" si="0"/>
        <v>-20000</v>
      </c>
      <c r="S24" s="5">
        <f t="shared" si="6"/>
        <v>-66439.733333333323</v>
      </c>
      <c r="T24" s="5"/>
      <c r="U24" s="5">
        <f t="shared" si="7"/>
        <v>127459.7</v>
      </c>
      <c r="V24" s="19">
        <f t="shared" si="8"/>
        <v>0</v>
      </c>
      <c r="W24" s="19">
        <f t="shared" si="9"/>
        <v>127459.7</v>
      </c>
      <c r="X24" s="4">
        <f t="shared" si="10"/>
        <v>166777.70000000001</v>
      </c>
      <c r="Y24" s="19"/>
      <c r="Z24" s="19"/>
      <c r="AA24" s="19"/>
      <c r="AB24" s="19"/>
      <c r="AC24" s="32"/>
      <c r="AD24" s="23"/>
      <c r="AE24" s="33"/>
      <c r="AF24" s="34"/>
      <c r="AG24" s="34"/>
      <c r="AH24" s="34"/>
      <c r="AI24" s="34"/>
      <c r="AJ24" s="35"/>
      <c r="AK24" s="35"/>
      <c r="AL24" s="35"/>
      <c r="AM24" s="36"/>
      <c r="AN24" s="23"/>
      <c r="AO24" s="23"/>
    </row>
    <row r="25" spans="1:41" x14ac:dyDescent="0.2">
      <c r="A25" s="21">
        <f t="shared" si="1"/>
        <v>18</v>
      </c>
      <c r="B25" s="62" t="s">
        <v>42</v>
      </c>
      <c r="C25" s="49"/>
      <c r="D25" s="49"/>
      <c r="E25" s="55">
        <f>+'[3]BAM-EGS'!$BB29</f>
        <v>178602.7</v>
      </c>
      <c r="F25" s="49"/>
      <c r="G25" s="28"/>
      <c r="H25" s="54">
        <f>+'[2]BAM-EGS'!$BB29</f>
        <v>0</v>
      </c>
      <c r="I25" s="29">
        <f>'[1]BAM-3RD'!$BK2453</f>
        <v>37138</v>
      </c>
      <c r="J25" s="54">
        <f t="shared" si="2"/>
        <v>37138</v>
      </c>
      <c r="K25" s="30">
        <f t="shared" si="3"/>
        <v>215740.7</v>
      </c>
      <c r="L25" s="37">
        <f>((L$6)-SUM(L$8:L24))/($A$37-$A24)</f>
        <v>0</v>
      </c>
      <c r="M25" s="37">
        <f>((M$6)-SUM(M$8:M24))/($A$37-$A24)</f>
        <v>0</v>
      </c>
      <c r="N25" s="61">
        <f>[4]Apr!$K33</f>
        <v>17500</v>
      </c>
      <c r="O25" s="4">
        <f t="shared" si="4"/>
        <v>17500</v>
      </c>
      <c r="P25" s="5"/>
      <c r="Q25" s="5">
        <f t="shared" si="5"/>
        <v>213899.43333333332</v>
      </c>
      <c r="R25" s="64">
        <f t="shared" si="0"/>
        <v>12500</v>
      </c>
      <c r="S25" s="5">
        <f t="shared" si="6"/>
        <v>-47796.733333333308</v>
      </c>
      <c r="T25" s="5"/>
      <c r="U25" s="5">
        <f t="shared" si="7"/>
        <v>178602.7</v>
      </c>
      <c r="V25" s="19">
        <f t="shared" si="8"/>
        <v>0</v>
      </c>
      <c r="W25" s="19">
        <f t="shared" si="9"/>
        <v>178602.7</v>
      </c>
      <c r="X25" s="4">
        <f t="shared" si="10"/>
        <v>215740.7</v>
      </c>
      <c r="Y25" s="19"/>
      <c r="Z25" s="19"/>
      <c r="AA25" s="19"/>
      <c r="AB25" s="19"/>
      <c r="AC25" s="32"/>
      <c r="AD25" s="23"/>
      <c r="AE25" s="33"/>
      <c r="AF25" s="34"/>
      <c r="AG25" s="34"/>
      <c r="AH25" s="34"/>
      <c r="AI25" s="34"/>
      <c r="AJ25" s="35"/>
      <c r="AK25" s="35"/>
      <c r="AL25" s="35"/>
      <c r="AM25" s="36"/>
      <c r="AN25" s="23"/>
      <c r="AO25" s="23"/>
    </row>
    <row r="26" spans="1:41" x14ac:dyDescent="0.2">
      <c r="A26" s="21">
        <f>A25+1</f>
        <v>19</v>
      </c>
      <c r="B26" s="62" t="s">
        <v>42</v>
      </c>
      <c r="C26" s="49"/>
      <c r="D26" s="49"/>
      <c r="E26" s="55">
        <f>+'[3]BAM-EGS'!$BB30</f>
        <v>154222.95000000001</v>
      </c>
      <c r="F26" s="49"/>
      <c r="G26" s="28"/>
      <c r="H26" s="54">
        <f>+'[2]BAM-EGS'!$BB30</f>
        <v>0</v>
      </c>
      <c r="I26" s="29">
        <f>'[1]BAM-3RD'!$BK2454</f>
        <v>37573</v>
      </c>
      <c r="J26" s="54">
        <f t="shared" si="2"/>
        <v>37573</v>
      </c>
      <c r="K26" s="30">
        <f t="shared" si="3"/>
        <v>191795.95</v>
      </c>
      <c r="L26" s="37">
        <f>((L$6)-SUM(L$8:L25))/($A$37-$A25)</f>
        <v>0</v>
      </c>
      <c r="M26" s="37">
        <f>((M$6)-SUM(M$8:M25))/($A$37-$A25)</f>
        <v>0</v>
      </c>
      <c r="N26" s="61">
        <f>[4]Apr!$K34</f>
        <v>8333</v>
      </c>
      <c r="O26" s="4">
        <f t="shared" si="4"/>
        <v>8333</v>
      </c>
      <c r="P26" s="5"/>
      <c r="Q26" s="5">
        <f t="shared" si="5"/>
        <v>213899.43333333332</v>
      </c>
      <c r="R26" s="64">
        <f t="shared" si="0"/>
        <v>21667</v>
      </c>
      <c r="S26" s="5">
        <f t="shared" si="6"/>
        <v>-81343.483333333308</v>
      </c>
      <c r="T26" s="5"/>
      <c r="U26" s="5">
        <f t="shared" si="7"/>
        <v>154222.95000000001</v>
      </c>
      <c r="V26" s="19">
        <f t="shared" si="8"/>
        <v>0</v>
      </c>
      <c r="W26" s="19">
        <f t="shared" si="9"/>
        <v>154222.95000000001</v>
      </c>
      <c r="X26" s="4">
        <f t="shared" si="10"/>
        <v>191795.95</v>
      </c>
      <c r="Y26" s="19"/>
      <c r="Z26" s="19"/>
      <c r="AA26" s="19"/>
      <c r="AB26" s="19"/>
      <c r="AC26" s="32"/>
      <c r="AD26" s="23"/>
      <c r="AE26" s="33"/>
      <c r="AF26" s="34"/>
      <c r="AG26" s="34"/>
      <c r="AH26" s="34"/>
      <c r="AI26" s="34"/>
      <c r="AJ26" s="35"/>
      <c r="AK26" s="35"/>
      <c r="AL26" s="35"/>
      <c r="AM26" s="36"/>
      <c r="AN26" s="23"/>
      <c r="AO26" s="23"/>
    </row>
    <row r="27" spans="1:41" x14ac:dyDescent="0.2">
      <c r="A27" s="21">
        <f t="shared" si="1"/>
        <v>20</v>
      </c>
      <c r="B27" s="62" t="s">
        <v>42</v>
      </c>
      <c r="C27" s="49"/>
      <c r="D27" s="49"/>
      <c r="E27" s="55">
        <f>+'[3]BAM-EGS'!$BB31</f>
        <v>-829887.05</v>
      </c>
      <c r="F27" s="49"/>
      <c r="G27" s="28"/>
      <c r="H27" s="54">
        <f>+'[2]BAM-EGS'!$BB31</f>
        <v>1000000</v>
      </c>
      <c r="I27" s="29">
        <f>'[1]BAM-3RD'!$BK2455</f>
        <v>37573</v>
      </c>
      <c r="J27" s="54">
        <f t="shared" si="2"/>
        <v>1037573</v>
      </c>
      <c r="K27" s="30">
        <f t="shared" si="3"/>
        <v>207685.94999999995</v>
      </c>
      <c r="L27" s="37">
        <f>((L$6)-SUM(L$8:L26))/($A$37-$A26)</f>
        <v>0</v>
      </c>
      <c r="M27" s="37">
        <f>((M$6)-SUM(M$8:M26))/($A$37-$A26)</f>
        <v>0</v>
      </c>
      <c r="N27" s="61">
        <f>[4]Apr!$K35</f>
        <v>25000</v>
      </c>
      <c r="O27" s="4">
        <f t="shared" si="4"/>
        <v>25000</v>
      </c>
      <c r="P27" s="5"/>
      <c r="Q27" s="5">
        <f t="shared" si="5"/>
        <v>213899.43333333332</v>
      </c>
      <c r="R27" s="64">
        <f t="shared" si="0"/>
        <v>5000</v>
      </c>
      <c r="S27" s="5">
        <f t="shared" si="6"/>
        <v>-1048786.4833333334</v>
      </c>
      <c r="T27" s="5"/>
      <c r="U27" s="5">
        <f t="shared" si="7"/>
        <v>-829887.05</v>
      </c>
      <c r="V27" s="19">
        <f t="shared" si="8"/>
        <v>1000000</v>
      </c>
      <c r="W27" s="19">
        <f t="shared" si="9"/>
        <v>170112.94999999995</v>
      </c>
      <c r="X27" s="4">
        <f t="shared" si="10"/>
        <v>207685.94999999995</v>
      </c>
      <c r="Y27" s="19"/>
      <c r="Z27" s="19"/>
      <c r="AA27" s="19"/>
      <c r="AB27" s="19"/>
      <c r="AC27" s="32"/>
      <c r="AD27" s="23"/>
      <c r="AE27" s="33"/>
      <c r="AF27" s="34"/>
      <c r="AG27" s="34"/>
      <c r="AH27" s="34"/>
      <c r="AI27" s="34"/>
      <c r="AJ27" s="35"/>
      <c r="AK27" s="35"/>
      <c r="AL27" s="35"/>
      <c r="AM27" s="36"/>
      <c r="AN27" s="23"/>
      <c r="AO27" s="23"/>
    </row>
    <row r="28" spans="1:41" x14ac:dyDescent="0.2">
      <c r="A28" s="21">
        <f t="shared" si="1"/>
        <v>21</v>
      </c>
      <c r="B28" s="62" t="s">
        <v>42</v>
      </c>
      <c r="C28" s="49"/>
      <c r="D28" s="49"/>
      <c r="E28" s="55">
        <f>+'[3]BAM-EGS'!$BB32</f>
        <v>300702.95</v>
      </c>
      <c r="F28" s="49"/>
      <c r="G28" s="28"/>
      <c r="H28" s="54">
        <f>+'[2]BAM-EGS'!$BB32</f>
        <v>0</v>
      </c>
      <c r="I28" s="29">
        <f>'[1]BAM-3RD'!$BK2456</f>
        <v>37573</v>
      </c>
      <c r="J28" s="54">
        <f t="shared" si="2"/>
        <v>37573</v>
      </c>
      <c r="K28" s="30">
        <f t="shared" si="3"/>
        <v>338275.95</v>
      </c>
      <c r="L28" s="37">
        <f>((L$6)-SUM(L$8:L27))/($A$37-$A27)</f>
        <v>0</v>
      </c>
      <c r="M28" s="37">
        <f>((M$6)-SUM(M$8:M27))/($A$37-$A27)</f>
        <v>0</v>
      </c>
      <c r="N28" s="61">
        <f>[4]Apr!$K36</f>
        <v>15625</v>
      </c>
      <c r="O28" s="4">
        <f t="shared" si="4"/>
        <v>15625</v>
      </c>
      <c r="P28" s="5"/>
      <c r="Q28" s="5">
        <f t="shared" si="5"/>
        <v>213899.43333333332</v>
      </c>
      <c r="R28" s="64">
        <f t="shared" si="0"/>
        <v>14375</v>
      </c>
      <c r="S28" s="5">
        <f t="shared" si="6"/>
        <v>72428.516666666692</v>
      </c>
      <c r="T28" s="5"/>
      <c r="U28" s="5">
        <f t="shared" si="7"/>
        <v>300702.95</v>
      </c>
      <c r="V28" s="19">
        <f t="shared" si="8"/>
        <v>0</v>
      </c>
      <c r="W28" s="19">
        <f t="shared" si="9"/>
        <v>300702.95</v>
      </c>
      <c r="X28" s="4">
        <f t="shared" si="10"/>
        <v>338275.95</v>
      </c>
      <c r="Y28" s="19"/>
      <c r="Z28" s="19"/>
      <c r="AA28" s="19"/>
      <c r="AB28" s="19"/>
      <c r="AC28" s="32"/>
      <c r="AD28" s="23"/>
      <c r="AE28" s="33"/>
      <c r="AF28" s="34"/>
      <c r="AG28" s="34"/>
      <c r="AH28" s="34"/>
      <c r="AI28" s="34"/>
      <c r="AJ28" s="35"/>
      <c r="AK28" s="35"/>
      <c r="AL28" s="35"/>
      <c r="AM28" s="36"/>
      <c r="AN28" s="23"/>
      <c r="AO28" s="23"/>
    </row>
    <row r="29" spans="1:41" ht="14.25" customHeight="1" x14ac:dyDescent="0.2">
      <c r="A29" s="21">
        <f t="shared" si="1"/>
        <v>22</v>
      </c>
      <c r="B29" s="62" t="s">
        <v>42</v>
      </c>
      <c r="C29" s="49"/>
      <c r="D29" s="49"/>
      <c r="E29" s="55">
        <f>+'[3]BAM-EGS'!$BB33</f>
        <v>315932.95</v>
      </c>
      <c r="F29" s="49"/>
      <c r="G29" s="28"/>
      <c r="H29" s="54">
        <f>+'[2]BAM-EGS'!$BB33</f>
        <v>0</v>
      </c>
      <c r="I29" s="29">
        <f>'[1]BAM-3RD'!$BK2457</f>
        <v>37573</v>
      </c>
      <c r="J29" s="54">
        <f t="shared" si="2"/>
        <v>37573</v>
      </c>
      <c r="K29" s="30">
        <f t="shared" si="3"/>
        <v>353505.95</v>
      </c>
      <c r="L29" s="37">
        <f>((L$6)-SUM(L$8:L28))/($A$37-$A28)</f>
        <v>0</v>
      </c>
      <c r="M29" s="37">
        <f>((M$6)-SUM(M$8:M28))/($A$37-$A28)</f>
        <v>0</v>
      </c>
      <c r="N29" s="61">
        <f>[4]Apr!$K37</f>
        <v>25500</v>
      </c>
      <c r="O29" s="4">
        <f t="shared" si="4"/>
        <v>25500</v>
      </c>
      <c r="P29" s="5"/>
      <c r="Q29" s="5">
        <f t="shared" si="5"/>
        <v>213899.43333333332</v>
      </c>
      <c r="R29" s="64">
        <f t="shared" si="0"/>
        <v>4500</v>
      </c>
      <c r="S29" s="5">
        <f t="shared" si="6"/>
        <v>97533.516666666692</v>
      </c>
      <c r="T29" s="5"/>
      <c r="U29" s="5">
        <f t="shared" si="7"/>
        <v>315932.95</v>
      </c>
      <c r="V29" s="19">
        <f t="shared" si="8"/>
        <v>0</v>
      </c>
      <c r="W29" s="19">
        <f t="shared" si="9"/>
        <v>315932.95</v>
      </c>
      <c r="X29" s="4">
        <f t="shared" si="10"/>
        <v>353505.95</v>
      </c>
      <c r="Y29" s="19"/>
      <c r="Z29" s="19"/>
      <c r="AA29" s="19"/>
      <c r="AB29" s="19"/>
      <c r="AC29" s="32"/>
      <c r="AD29" s="23"/>
      <c r="AE29" s="33"/>
      <c r="AF29" s="34"/>
      <c r="AG29" s="34"/>
      <c r="AH29" s="34"/>
      <c r="AI29" s="34"/>
      <c r="AJ29" s="35"/>
      <c r="AK29" s="35"/>
      <c r="AL29" s="35"/>
      <c r="AM29" s="36"/>
      <c r="AN29" s="23"/>
      <c r="AO29" s="23"/>
    </row>
    <row r="30" spans="1:41" x14ac:dyDescent="0.2">
      <c r="A30" s="21">
        <f t="shared" si="1"/>
        <v>23</v>
      </c>
      <c r="B30" s="62" t="s">
        <v>42</v>
      </c>
      <c r="C30" s="49"/>
      <c r="D30" s="49"/>
      <c r="E30" s="55">
        <f>+'[3]BAM-EGS'!$BB34</f>
        <v>286022.95</v>
      </c>
      <c r="F30" s="49"/>
      <c r="G30" s="28"/>
      <c r="H30" s="54">
        <f>+'[2]BAM-EGS'!$BB34</f>
        <v>0</v>
      </c>
      <c r="I30" s="29">
        <f>'[1]BAM-3RD'!$BK2458</f>
        <v>37573</v>
      </c>
      <c r="J30" s="54">
        <f t="shared" si="2"/>
        <v>37573</v>
      </c>
      <c r="K30" s="30">
        <f t="shared" si="3"/>
        <v>323595.95</v>
      </c>
      <c r="L30" s="37">
        <f>((L$6)-SUM(L$8:L29))/($A$37-$A29)</f>
        <v>0</v>
      </c>
      <c r="M30" s="37">
        <f>((M$6)-SUM(M$8:M29))/($A$37-$A29)</f>
        <v>0</v>
      </c>
      <c r="N30" s="61">
        <f>[4]Apr!$K38</f>
        <v>30208</v>
      </c>
      <c r="O30" s="4">
        <f t="shared" si="4"/>
        <v>30208</v>
      </c>
      <c r="P30" s="5"/>
      <c r="Q30" s="5">
        <f t="shared" si="5"/>
        <v>213899.43333333332</v>
      </c>
      <c r="R30" s="64">
        <f t="shared" si="0"/>
        <v>-208</v>
      </c>
      <c r="S30" s="5">
        <f t="shared" si="6"/>
        <v>72331.516666666692</v>
      </c>
      <c r="T30" s="5"/>
      <c r="U30" s="5">
        <f t="shared" si="7"/>
        <v>286022.95</v>
      </c>
      <c r="V30" s="19">
        <f t="shared" si="8"/>
        <v>0</v>
      </c>
      <c r="W30" s="19">
        <f t="shared" si="9"/>
        <v>286022.95</v>
      </c>
      <c r="X30" s="4">
        <f t="shared" si="10"/>
        <v>323595.95</v>
      </c>
      <c r="Y30" s="19"/>
      <c r="Z30" s="19"/>
      <c r="AA30" s="19"/>
      <c r="AB30" s="19"/>
      <c r="AC30" s="32"/>
      <c r="AD30" s="23"/>
      <c r="AE30" s="33"/>
      <c r="AF30" s="34"/>
      <c r="AG30" s="34"/>
      <c r="AH30" s="34"/>
      <c r="AI30" s="34"/>
      <c r="AJ30" s="35"/>
      <c r="AK30" s="35"/>
      <c r="AL30" s="35"/>
      <c r="AM30" s="36"/>
      <c r="AN30" s="23"/>
      <c r="AO30" s="23"/>
    </row>
    <row r="31" spans="1:41" x14ac:dyDescent="0.2">
      <c r="A31" s="21">
        <f t="shared" si="1"/>
        <v>24</v>
      </c>
      <c r="B31" s="62" t="s">
        <v>42</v>
      </c>
      <c r="C31" s="49"/>
      <c r="D31" s="49"/>
      <c r="E31" s="55">
        <f>+'[3]BAM-EGS'!$BB35</f>
        <v>293965.2</v>
      </c>
      <c r="F31" s="49"/>
      <c r="G31" s="28"/>
      <c r="H31" s="54">
        <f>+'[2]BAM-EGS'!$BB35</f>
        <v>0</v>
      </c>
      <c r="I31" s="29">
        <f>'[1]BAM-3RD'!$BK2459</f>
        <v>37895</v>
      </c>
      <c r="J31" s="54">
        <f t="shared" si="2"/>
        <v>37895</v>
      </c>
      <c r="K31" s="30">
        <f t="shared" si="3"/>
        <v>331860.2</v>
      </c>
      <c r="L31" s="37">
        <f>((L$6)-SUM(L$8:L30))/($A$37-$A30)</f>
        <v>0</v>
      </c>
      <c r="M31" s="37">
        <f>((M$6)-SUM(M$8:M30))/($A$37-$A30)</f>
        <v>0</v>
      </c>
      <c r="N31" s="61">
        <f>[4]Apr!$K39</f>
        <v>16667</v>
      </c>
      <c r="O31" s="4">
        <f t="shared" si="4"/>
        <v>16667</v>
      </c>
      <c r="P31" s="5"/>
      <c r="Q31" s="5">
        <f t="shared" si="5"/>
        <v>213899.43333333332</v>
      </c>
      <c r="R31" s="64">
        <f t="shared" si="0"/>
        <v>13333</v>
      </c>
      <c r="S31" s="5">
        <f t="shared" si="6"/>
        <v>66732.766666666692</v>
      </c>
      <c r="T31" s="5"/>
      <c r="U31" s="5">
        <f t="shared" si="7"/>
        <v>293965.2</v>
      </c>
      <c r="V31" s="19">
        <f t="shared" si="8"/>
        <v>0</v>
      </c>
      <c r="W31" s="19">
        <f t="shared" si="9"/>
        <v>293965.2</v>
      </c>
      <c r="X31" s="4">
        <f t="shared" si="10"/>
        <v>331860.2</v>
      </c>
      <c r="Y31" s="19"/>
      <c r="Z31" s="19"/>
      <c r="AA31" s="19"/>
      <c r="AB31" s="19"/>
      <c r="AC31" s="32"/>
      <c r="AD31" s="23"/>
      <c r="AE31" s="33"/>
      <c r="AF31" s="34"/>
      <c r="AG31" s="34"/>
      <c r="AH31" s="34"/>
      <c r="AI31" s="34"/>
      <c r="AJ31" s="35"/>
      <c r="AK31" s="35"/>
      <c r="AL31" s="35"/>
      <c r="AM31" s="36"/>
      <c r="AN31" s="23"/>
      <c r="AO31" s="23"/>
    </row>
    <row r="32" spans="1:41" x14ac:dyDescent="0.2">
      <c r="A32" s="21">
        <f t="shared" si="1"/>
        <v>25</v>
      </c>
      <c r="B32" s="62" t="s">
        <v>42</v>
      </c>
      <c r="C32" s="49"/>
      <c r="D32" s="49"/>
      <c r="E32" s="55">
        <f>+'[3]BAM-EGS'!$BB36</f>
        <v>285262.7</v>
      </c>
      <c r="F32" s="49"/>
      <c r="G32" s="28"/>
      <c r="H32" s="54">
        <f>+'[2]BAM-EGS'!$BB36</f>
        <v>0</v>
      </c>
      <c r="I32" s="29">
        <f>'[1]BAM-3RD'!$BK2460</f>
        <v>37937</v>
      </c>
      <c r="J32" s="54">
        <f t="shared" si="2"/>
        <v>37937</v>
      </c>
      <c r="K32" s="30">
        <f t="shared" si="3"/>
        <v>323199.7</v>
      </c>
      <c r="L32" s="37">
        <f>((L$6)-SUM(L$8:L31))/($A$37-$A31)</f>
        <v>0</v>
      </c>
      <c r="M32" s="37">
        <f>((M$6)-SUM(M$8:M31))/($A$37-$A31)</f>
        <v>0</v>
      </c>
      <c r="N32" s="61">
        <f>[4]Apr!$K40</f>
        <v>55000</v>
      </c>
      <c r="O32" s="4">
        <f t="shared" si="4"/>
        <v>55000</v>
      </c>
      <c r="P32" s="5"/>
      <c r="Q32" s="5">
        <f t="shared" si="5"/>
        <v>213899.43333333332</v>
      </c>
      <c r="R32" s="64">
        <f t="shared" si="0"/>
        <v>-25000</v>
      </c>
      <c r="S32" s="5">
        <f t="shared" si="6"/>
        <v>96363.266666666692</v>
      </c>
      <c r="T32" s="5"/>
      <c r="U32" s="5">
        <f t="shared" si="7"/>
        <v>285262.7</v>
      </c>
      <c r="V32" s="19">
        <f t="shared" si="8"/>
        <v>0</v>
      </c>
      <c r="W32" s="19">
        <f t="shared" si="9"/>
        <v>285262.7</v>
      </c>
      <c r="X32" s="4">
        <f t="shared" si="10"/>
        <v>323199.7</v>
      </c>
      <c r="Y32" s="19"/>
      <c r="Z32" s="19"/>
      <c r="AA32" s="19"/>
      <c r="AB32" s="19"/>
      <c r="AC32" s="32"/>
      <c r="AD32" s="23"/>
      <c r="AE32" s="33"/>
      <c r="AF32" s="34"/>
      <c r="AG32" s="34"/>
      <c r="AH32" s="34"/>
      <c r="AI32" s="34"/>
      <c r="AJ32" s="35"/>
      <c r="AK32" s="35"/>
      <c r="AL32" s="35"/>
      <c r="AM32" s="36"/>
      <c r="AN32" s="23"/>
      <c r="AO32" s="23"/>
    </row>
    <row r="33" spans="1:41" x14ac:dyDescent="0.2">
      <c r="A33" s="21">
        <f t="shared" si="1"/>
        <v>26</v>
      </c>
      <c r="B33" s="62" t="s">
        <v>42</v>
      </c>
      <c r="C33" s="49"/>
      <c r="D33" s="49"/>
      <c r="E33" s="55">
        <f>+'[3]BAM-EGS'!$BB37</f>
        <v>-678697</v>
      </c>
      <c r="F33" s="49"/>
      <c r="G33" s="28"/>
      <c r="H33" s="54">
        <f>+'[2]BAM-EGS'!$BB37</f>
        <v>1000000</v>
      </c>
      <c r="I33" s="29">
        <f>'[1]BAM-3RD'!$BK2461</f>
        <v>37937.199999999997</v>
      </c>
      <c r="J33" s="54">
        <f t="shared" si="2"/>
        <v>1037937.2</v>
      </c>
      <c r="K33" s="30">
        <f t="shared" si="3"/>
        <v>359240.2</v>
      </c>
      <c r="L33" s="37">
        <f>((L$6)-SUM(L$8:L32))/($A$37-$A32)</f>
        <v>0</v>
      </c>
      <c r="M33" s="37">
        <f>((M$6)-SUM(M$8:M32))/($A$37-$A32)</f>
        <v>0</v>
      </c>
      <c r="N33" s="61">
        <f>[4]Apr!$K41</f>
        <v>60000</v>
      </c>
      <c r="O33" s="4">
        <f t="shared" si="4"/>
        <v>60000</v>
      </c>
      <c r="P33" s="5"/>
      <c r="Q33" s="5">
        <f t="shared" si="5"/>
        <v>213899.43333333332</v>
      </c>
      <c r="R33" s="64">
        <f t="shared" si="0"/>
        <v>-30000</v>
      </c>
      <c r="S33" s="5">
        <f t="shared" si="6"/>
        <v>-862596.43333333335</v>
      </c>
      <c r="T33" s="5"/>
      <c r="U33" s="5">
        <f t="shared" si="7"/>
        <v>-678697</v>
      </c>
      <c r="V33" s="19">
        <f t="shared" si="8"/>
        <v>1000000</v>
      </c>
      <c r="W33" s="19">
        <f t="shared" si="9"/>
        <v>321303</v>
      </c>
      <c r="X33" s="4">
        <f t="shared" si="10"/>
        <v>359240.2</v>
      </c>
      <c r="Y33" s="19"/>
      <c r="Z33" s="19"/>
      <c r="AA33" s="19"/>
      <c r="AB33" s="19"/>
      <c r="AC33" s="32"/>
      <c r="AD33" s="23"/>
      <c r="AE33" s="33"/>
      <c r="AF33" s="34"/>
      <c r="AG33" s="34"/>
      <c r="AH33" s="34"/>
      <c r="AI33" s="34"/>
      <c r="AJ33" s="35"/>
      <c r="AK33" s="35"/>
      <c r="AL33" s="35"/>
      <c r="AM33" s="36"/>
      <c r="AN33" s="23"/>
      <c r="AO33" s="23"/>
    </row>
    <row r="34" spans="1:41" x14ac:dyDescent="0.2">
      <c r="A34" s="21">
        <f t="shared" si="1"/>
        <v>27</v>
      </c>
      <c r="B34" s="62" t="s">
        <v>42</v>
      </c>
      <c r="C34" s="49"/>
      <c r="D34" s="49"/>
      <c r="E34" s="55">
        <f>+'[3]BAM-EGS'!$BB38</f>
        <v>319443</v>
      </c>
      <c r="F34" s="49"/>
      <c r="G34" s="28"/>
      <c r="H34" s="54">
        <f>+'[2]BAM-EGS'!$BB38</f>
        <v>0</v>
      </c>
      <c r="I34" s="29">
        <f>'[1]BAM-3RD'!$BK2462</f>
        <v>37937.199999999997</v>
      </c>
      <c r="J34" s="54">
        <f t="shared" si="2"/>
        <v>37937.199999999997</v>
      </c>
      <c r="K34" s="30">
        <f t="shared" si="3"/>
        <v>357380.2</v>
      </c>
      <c r="L34" s="37">
        <f>((L$6)-SUM(L$8:L33))/($A$37-$A33)</f>
        <v>0</v>
      </c>
      <c r="M34" s="37">
        <f>((M$6)-SUM(M$8:M33))/($A$37-$A33)</f>
        <v>0</v>
      </c>
      <c r="N34" s="61">
        <f>[4]Apr!$K42</f>
        <v>0</v>
      </c>
      <c r="O34" s="4">
        <f t="shared" si="4"/>
        <v>0</v>
      </c>
      <c r="P34" s="5"/>
      <c r="Q34" s="5">
        <f t="shared" si="5"/>
        <v>213899.43333333332</v>
      </c>
      <c r="R34" s="64">
        <f t="shared" si="0"/>
        <v>30000</v>
      </c>
      <c r="S34" s="5">
        <f t="shared" si="6"/>
        <v>75543.56666666668</v>
      </c>
      <c r="T34" s="5"/>
      <c r="U34" s="5">
        <f t="shared" si="7"/>
        <v>319443</v>
      </c>
      <c r="V34" s="19">
        <f t="shared" si="8"/>
        <v>0</v>
      </c>
      <c r="W34" s="19">
        <f t="shared" si="9"/>
        <v>319443</v>
      </c>
      <c r="X34" s="4">
        <f t="shared" si="10"/>
        <v>357380.2</v>
      </c>
      <c r="Y34" s="19"/>
      <c r="Z34" s="19"/>
      <c r="AA34" s="19"/>
      <c r="AB34" s="19"/>
      <c r="AC34" s="32"/>
      <c r="AD34" s="23"/>
      <c r="AE34" s="33"/>
      <c r="AF34" s="34"/>
      <c r="AG34" s="34"/>
      <c r="AH34" s="34"/>
      <c r="AI34" s="34"/>
      <c r="AJ34" s="35"/>
      <c r="AK34" s="35"/>
      <c r="AL34" s="35"/>
      <c r="AM34" s="36"/>
      <c r="AN34" s="23"/>
      <c r="AO34" s="23"/>
    </row>
    <row r="35" spans="1:41" x14ac:dyDescent="0.2">
      <c r="A35" s="21">
        <f t="shared" si="1"/>
        <v>28</v>
      </c>
      <c r="B35" s="62" t="s">
        <v>42</v>
      </c>
      <c r="C35" s="49"/>
      <c r="D35" s="49"/>
      <c r="E35" s="55">
        <f>+'[3]BAM-EGS'!$BB39</f>
        <v>309483</v>
      </c>
      <c r="F35" s="49"/>
      <c r="G35" s="28"/>
      <c r="H35" s="54">
        <f>+'[2]BAM-EGS'!$BB39</f>
        <v>0</v>
      </c>
      <c r="I35" s="29">
        <f>'[1]BAM-3RD'!$BK2463</f>
        <v>37937.19999999999</v>
      </c>
      <c r="J35" s="54">
        <f t="shared" si="2"/>
        <v>37937.19999999999</v>
      </c>
      <c r="K35" s="30">
        <f t="shared" si="3"/>
        <v>347420.2</v>
      </c>
      <c r="L35" s="37">
        <f>((L$6)-SUM(L$8:L34))/($A$37-$A34)</f>
        <v>0</v>
      </c>
      <c r="M35" s="37">
        <f>((M$6)-SUM(M$8:M34))/($A$37-$A34)</f>
        <v>0</v>
      </c>
      <c r="N35" s="61">
        <f>[4]Apr!$K43</f>
        <v>0</v>
      </c>
      <c r="O35" s="4">
        <f t="shared" si="4"/>
        <v>0</v>
      </c>
      <c r="P35" s="5"/>
      <c r="Q35" s="5">
        <f t="shared" si="5"/>
        <v>213899.43333333332</v>
      </c>
      <c r="R35" s="65">
        <f>((R$6)-SUM(R$8:R34))/($A$37-$A34)</f>
        <v>11944.666666666666</v>
      </c>
      <c r="S35" s="5">
        <f t="shared" si="6"/>
        <v>83638.900000000009</v>
      </c>
      <c r="T35" s="5"/>
      <c r="U35" s="5">
        <f t="shared" si="7"/>
        <v>309483</v>
      </c>
      <c r="V35" s="19">
        <f t="shared" si="8"/>
        <v>0</v>
      </c>
      <c r="W35" s="19">
        <f t="shared" si="9"/>
        <v>309483</v>
      </c>
      <c r="X35" s="4">
        <f t="shared" si="10"/>
        <v>347420.2</v>
      </c>
      <c r="Y35" s="19"/>
      <c r="Z35" s="19"/>
      <c r="AA35" s="19"/>
      <c r="AB35" s="19"/>
      <c r="AC35" s="32"/>
      <c r="AD35" s="23"/>
      <c r="AE35" s="33"/>
      <c r="AF35" s="34"/>
      <c r="AG35" s="34"/>
      <c r="AH35" s="34"/>
      <c r="AI35" s="34"/>
      <c r="AJ35" s="35"/>
      <c r="AK35" s="35"/>
      <c r="AL35" s="35"/>
      <c r="AM35" s="36"/>
      <c r="AN35" s="23"/>
      <c r="AO35" s="23"/>
    </row>
    <row r="36" spans="1:41" x14ac:dyDescent="0.2">
      <c r="A36" s="21">
        <f t="shared" si="1"/>
        <v>29</v>
      </c>
      <c r="B36" s="62" t="s">
        <v>42</v>
      </c>
      <c r="C36" s="49"/>
      <c r="D36" s="49"/>
      <c r="E36" s="55">
        <f>+'[3]BAM-EGS'!$BB40</f>
        <v>310163</v>
      </c>
      <c r="F36" s="49"/>
      <c r="G36" s="28"/>
      <c r="H36" s="54">
        <f>+'[2]BAM-EGS'!$BB40</f>
        <v>0</v>
      </c>
      <c r="I36" s="29">
        <f>'[1]BAM-3RD'!$BK2464</f>
        <v>37937.199999999997</v>
      </c>
      <c r="J36" s="54">
        <f t="shared" si="2"/>
        <v>37937.199999999997</v>
      </c>
      <c r="K36" s="30">
        <f t="shared" si="3"/>
        <v>348100.2</v>
      </c>
      <c r="L36" s="37">
        <f>((L$6)-SUM(L$8:L35))/($A$37-$A35)</f>
        <v>0</v>
      </c>
      <c r="M36" s="37">
        <f>((M$6)-SUM(M$8:M35))/($A$37-$A35)</f>
        <v>0</v>
      </c>
      <c r="N36" s="61">
        <f>[4]Apr!$K44</f>
        <v>0</v>
      </c>
      <c r="O36" s="4">
        <f t="shared" si="4"/>
        <v>0</v>
      </c>
      <c r="P36" s="5"/>
      <c r="Q36" s="5">
        <f t="shared" si="5"/>
        <v>213899.43333333332</v>
      </c>
      <c r="R36" s="65">
        <f>((R$6)-SUM(R$8:R35))/($A$37-$A35)</f>
        <v>11944.666666666668</v>
      </c>
      <c r="S36" s="5">
        <f t="shared" si="6"/>
        <v>84318.900000000009</v>
      </c>
      <c r="T36" s="5"/>
      <c r="U36" s="5">
        <f t="shared" si="7"/>
        <v>310163</v>
      </c>
      <c r="V36" s="19">
        <f t="shared" si="8"/>
        <v>0</v>
      </c>
      <c r="W36" s="19">
        <f t="shared" si="9"/>
        <v>310163</v>
      </c>
      <c r="X36" s="4">
        <f t="shared" si="10"/>
        <v>348100.2</v>
      </c>
      <c r="Y36" s="19"/>
      <c r="Z36" s="19"/>
      <c r="AA36" s="19"/>
      <c r="AB36" s="19"/>
      <c r="AC36" s="32"/>
      <c r="AD36" s="23"/>
      <c r="AE36" s="33"/>
      <c r="AF36" s="34"/>
      <c r="AG36" s="34"/>
      <c r="AH36" s="34"/>
      <c r="AI36" s="34"/>
      <c r="AJ36" s="35"/>
      <c r="AK36" s="35"/>
      <c r="AL36" s="35"/>
      <c r="AM36" s="36"/>
      <c r="AN36" s="23"/>
      <c r="AO36" s="23"/>
    </row>
    <row r="37" spans="1:41" x14ac:dyDescent="0.2">
      <c r="A37" s="21">
        <f>A36+1</f>
        <v>30</v>
      </c>
      <c r="B37" s="62" t="s">
        <v>37</v>
      </c>
      <c r="C37" s="49"/>
      <c r="D37" s="49"/>
      <c r="E37" s="55">
        <f>+'[3]BAM-EGS'!$BB41</f>
        <v>237662</v>
      </c>
      <c r="F37" s="49"/>
      <c r="G37" s="28"/>
      <c r="H37" s="54">
        <f>+'[2]BAM-EGS'!$BB41</f>
        <v>0</v>
      </c>
      <c r="I37" s="29">
        <f>'[1]BAM-3RD'!$BK2465</f>
        <v>37937.200000000012</v>
      </c>
      <c r="J37" s="54">
        <f>SUM(H37:I37)</f>
        <v>37937.200000000012</v>
      </c>
      <c r="K37" s="30">
        <f>SUM(E37,H37,I37)</f>
        <v>275599.2</v>
      </c>
      <c r="L37" s="37">
        <f>((L$6)-SUM(L$8:L36))/($A$37-$A36)</f>
        <v>0</v>
      </c>
      <c r="M37" s="37">
        <f>((M$6)-SUM(M$8:M36))/($A$37-$A36)</f>
        <v>0</v>
      </c>
      <c r="N37" s="61">
        <f>[4]Apr!$K45</f>
        <v>0</v>
      </c>
      <c r="O37" s="4">
        <f>SUM(L37:N37)</f>
        <v>0</v>
      </c>
      <c r="P37" s="5"/>
      <c r="Q37" s="5">
        <f>$Q$6/30</f>
        <v>213899.43333333332</v>
      </c>
      <c r="R37" s="65">
        <f>((R$6)-SUM(R$8:R36))/($A$37-$A36)</f>
        <v>11944.666666666668</v>
      </c>
      <c r="S37" s="5">
        <f>E37-Q37-R37</f>
        <v>11817.900000000012</v>
      </c>
      <c r="T37" s="5"/>
      <c r="U37" s="5">
        <f>SUM(Q37:S37)</f>
        <v>237662</v>
      </c>
      <c r="V37" s="19">
        <f>SUM(H37)</f>
        <v>0</v>
      </c>
      <c r="W37" s="19">
        <f>SUM(U37:V37)</f>
        <v>237662</v>
      </c>
      <c r="X37" s="4">
        <f>IF(K37&gt;0,K37,0)</f>
        <v>275599.2</v>
      </c>
      <c r="Y37" s="19"/>
      <c r="Z37" s="19"/>
      <c r="AA37" s="19"/>
      <c r="AB37" s="19"/>
      <c r="AC37" s="32"/>
      <c r="AD37" s="23"/>
      <c r="AE37" s="33"/>
      <c r="AF37" s="34"/>
      <c r="AG37" s="34"/>
      <c r="AH37" s="34"/>
      <c r="AI37" s="34"/>
      <c r="AJ37" s="35"/>
      <c r="AK37" s="35"/>
      <c r="AL37" s="35"/>
      <c r="AM37" s="36"/>
      <c r="AN37" s="23"/>
      <c r="AO37" s="23"/>
    </row>
    <row r="38" spans="1:41" x14ac:dyDescent="0.2">
      <c r="B38" s="62"/>
      <c r="C38" s="49"/>
      <c r="D38" s="49"/>
      <c r="E38" s="55"/>
      <c r="F38" s="49"/>
      <c r="G38" s="28"/>
      <c r="H38" s="54"/>
      <c r="I38" s="29"/>
      <c r="J38" s="54"/>
      <c r="K38" s="30"/>
      <c r="L38" s="37"/>
      <c r="M38" s="37"/>
      <c r="N38" s="37"/>
      <c r="O38" s="4"/>
      <c r="P38" s="5"/>
      <c r="Q38" s="5"/>
      <c r="R38" s="65"/>
      <c r="S38" s="5"/>
      <c r="T38" s="5"/>
      <c r="U38" s="5"/>
      <c r="V38" s="19"/>
      <c r="W38" s="19"/>
      <c r="X38" s="4"/>
      <c r="Y38" s="19"/>
      <c r="Z38" s="70" t="s">
        <v>27</v>
      </c>
      <c r="AA38" s="71">
        <v>0</v>
      </c>
      <c r="AB38" s="19"/>
      <c r="AC38" s="32"/>
      <c r="AD38" s="23"/>
      <c r="AE38" s="33"/>
      <c r="AF38" s="34"/>
      <c r="AG38" s="34"/>
      <c r="AH38" s="34"/>
      <c r="AI38" s="34"/>
      <c r="AJ38" s="35"/>
      <c r="AK38" s="35"/>
      <c r="AL38" s="35"/>
      <c r="AM38" s="36"/>
      <c r="AN38" s="23"/>
      <c r="AO38" s="23"/>
    </row>
    <row r="39" spans="1:41" x14ac:dyDescent="0.2">
      <c r="A39" s="30"/>
      <c r="B39" s="21"/>
      <c r="C39" s="30"/>
      <c r="D39" s="30"/>
      <c r="E39" s="38"/>
      <c r="G39" s="28"/>
      <c r="H39" s="29"/>
      <c r="I39" s="29"/>
      <c r="J39" s="29"/>
      <c r="K39" s="21"/>
      <c r="L39" s="1"/>
      <c r="M39" s="1"/>
      <c r="N39" s="1"/>
      <c r="O39" s="1"/>
      <c r="P39" s="1"/>
      <c r="Q39" s="1"/>
      <c r="R39" s="1"/>
      <c r="S39" s="1"/>
      <c r="T39" s="1"/>
      <c r="U39" s="1"/>
      <c r="V39" s="4"/>
      <c r="W39" s="4"/>
      <c r="X39" s="4"/>
      <c r="Y39" s="4"/>
      <c r="Z39" s="70" t="s">
        <v>28</v>
      </c>
      <c r="AA39" s="72">
        <v>0.01</v>
      </c>
      <c r="AB39" s="4"/>
      <c r="AC39" s="23"/>
      <c r="AD39" s="23"/>
      <c r="AE39" s="40"/>
      <c r="AF39" s="23"/>
      <c r="AG39" s="23"/>
      <c r="AH39" s="23"/>
      <c r="AI39" s="23"/>
      <c r="AJ39" s="23"/>
      <c r="AK39" s="23"/>
      <c r="AL39" s="23"/>
      <c r="AM39" s="36"/>
      <c r="AN39" s="23"/>
      <c r="AO39" s="23"/>
    </row>
    <row r="40" spans="1:41" ht="13.5" thickBot="1" x14ac:dyDescent="0.25">
      <c r="C40" s="41">
        <f>SUM(C8:C38)</f>
        <v>0</v>
      </c>
      <c r="D40" s="41">
        <f>SUM(D8:D38)</f>
        <v>0</v>
      </c>
      <c r="E40" s="41">
        <f>SUM(E8:E38)</f>
        <v>3488733.7500000019</v>
      </c>
      <c r="F40" s="41">
        <f>SUM(F8:F38)</f>
        <v>0</v>
      </c>
      <c r="G40" s="41">
        <f>SUM(G8:G38)</f>
        <v>0</v>
      </c>
      <c r="H40" s="41">
        <f>SUM(H8:H39)</f>
        <v>3000000</v>
      </c>
      <c r="I40" s="41">
        <f>SUM(I8:I39)</f>
        <v>1150456.9999999998</v>
      </c>
      <c r="J40" s="41">
        <f>SUM(J8:J39)</f>
        <v>4150457.0000000009</v>
      </c>
      <c r="K40" s="42">
        <f>SUM(K8:K38)</f>
        <v>7639190.7500000037</v>
      </c>
      <c r="L40" s="42">
        <f>SUM(L8:L38)</f>
        <v>0</v>
      </c>
      <c r="M40" s="42">
        <f>SUM(M8:M38)</f>
        <v>0</v>
      </c>
      <c r="N40" s="42">
        <f>SUM(N8:N38)</f>
        <v>845834</v>
      </c>
      <c r="O40" s="42">
        <f>SUM(O8:O38)</f>
        <v>845834</v>
      </c>
      <c r="P40" s="43"/>
      <c r="Q40" s="42">
        <f>SUM(Q8:Q38)</f>
        <v>6416983</v>
      </c>
      <c r="R40" s="42">
        <f>SUM(R8:R38)</f>
        <v>0</v>
      </c>
      <c r="S40" s="42">
        <f>SUM(S8:S38)</f>
        <v>-2928249.25</v>
      </c>
      <c r="T40" s="42"/>
      <c r="U40" s="42">
        <f>SUM(U8:U38)</f>
        <v>3488733.7500000019</v>
      </c>
      <c r="V40" s="42">
        <f>SUM(V8:V38)</f>
        <v>3000000</v>
      </c>
      <c r="W40" s="42">
        <f>SUM(W8:W38)</f>
        <v>6488733.7500000028</v>
      </c>
      <c r="X40" s="43">
        <f>SUM(X8:X39)</f>
        <v>7639190.7500000037</v>
      </c>
      <c r="Y40" s="46">
        <f>X40*AA42</f>
        <v>0</v>
      </c>
      <c r="Z40" s="68" t="s">
        <v>29</v>
      </c>
      <c r="AA40" s="66">
        <f>AA38*AA39</f>
        <v>0</v>
      </c>
      <c r="AB40" s="43"/>
      <c r="AC40" s="23"/>
      <c r="AD40" s="23"/>
      <c r="AE40" s="40"/>
      <c r="AF40" s="23"/>
      <c r="AG40" s="23"/>
      <c r="AH40" s="23"/>
      <c r="AI40" s="23"/>
      <c r="AJ40" s="23"/>
      <c r="AK40" s="23"/>
      <c r="AL40" s="23"/>
      <c r="AM40" s="23"/>
      <c r="AN40" s="23"/>
      <c r="AO40" s="23"/>
    </row>
    <row r="41" spans="1:41" ht="13.5" thickTop="1" x14ac:dyDescent="0.2">
      <c r="A41" s="21" t="s">
        <v>9</v>
      </c>
      <c r="C41" s="44"/>
      <c r="D41" s="44"/>
      <c r="E41" s="44"/>
      <c r="F41" s="44"/>
      <c r="G41" s="44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45"/>
      <c r="Y41" s="45"/>
      <c r="Z41" s="69" t="s">
        <v>30</v>
      </c>
      <c r="AA41" s="67">
        <f>AA38*0.075*0.075</f>
        <v>0</v>
      </c>
      <c r="AB41" s="45"/>
      <c r="AC41" s="23"/>
      <c r="AD41" s="23"/>
      <c r="AE41" s="40"/>
      <c r="AF41" s="23"/>
      <c r="AG41" s="23"/>
      <c r="AH41" s="23"/>
      <c r="AI41" s="23"/>
      <c r="AJ41" s="23"/>
      <c r="AK41" s="23"/>
      <c r="AL41" s="23"/>
      <c r="AM41" s="23"/>
      <c r="AN41" s="23"/>
      <c r="AO41" s="23"/>
    </row>
    <row r="42" spans="1:41" ht="13.5" thickBot="1" x14ac:dyDescent="0.25">
      <c r="A42" s="21" t="s">
        <v>10</v>
      </c>
      <c r="C42" s="42"/>
      <c r="D42" s="42"/>
      <c r="E42" s="42">
        <f>E40-E6</f>
        <v>71750.750000001863</v>
      </c>
      <c r="F42" s="42"/>
      <c r="G42" s="42"/>
      <c r="H42" s="42">
        <f>H40-H6</f>
        <v>0</v>
      </c>
      <c r="I42" s="42">
        <f>I40-I6</f>
        <v>0</v>
      </c>
      <c r="J42" s="42"/>
      <c r="K42" s="42">
        <f>K40-K6</f>
        <v>71750.750000003725</v>
      </c>
      <c r="L42" s="42">
        <f>L40-L6</f>
        <v>0</v>
      </c>
      <c r="M42" s="42">
        <f>M40-M6</f>
        <v>0</v>
      </c>
      <c r="N42" s="42">
        <f>N40-N6</f>
        <v>-54166</v>
      </c>
      <c r="O42" s="42"/>
      <c r="P42" s="42"/>
      <c r="Q42" s="42"/>
      <c r="R42" s="42"/>
      <c r="S42" s="42"/>
      <c r="T42" s="42"/>
      <c r="U42" s="42"/>
      <c r="V42" s="42"/>
      <c r="W42" s="42"/>
      <c r="X42" s="43"/>
      <c r="Y42" s="43"/>
      <c r="Z42" s="43"/>
      <c r="AA42" s="66">
        <f>SUM(AA40:AA41)</f>
        <v>0</v>
      </c>
      <c r="AB42" s="4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23"/>
    </row>
    <row r="43" spans="1:41" ht="13.5" thickTop="1" x14ac:dyDescent="0.2">
      <c r="A43" s="21" t="s">
        <v>11</v>
      </c>
      <c r="C43" s="63">
        <f>SUM(C38:C38)</f>
        <v>0</v>
      </c>
      <c r="D43" s="63">
        <f t="shared" ref="D43:W43" si="11">SUM(D38:D38)</f>
        <v>0</v>
      </c>
      <c r="E43" s="63">
        <f t="shared" si="11"/>
        <v>0</v>
      </c>
      <c r="F43" s="63">
        <f t="shared" si="11"/>
        <v>0</v>
      </c>
      <c r="G43" s="63">
        <f t="shared" si="11"/>
        <v>0</v>
      </c>
      <c r="H43" s="63">
        <f t="shared" si="11"/>
        <v>0</v>
      </c>
      <c r="I43" s="63">
        <f t="shared" si="11"/>
        <v>0</v>
      </c>
      <c r="J43" s="63">
        <f t="shared" si="11"/>
        <v>0</v>
      </c>
      <c r="K43" s="63">
        <f t="shared" si="11"/>
        <v>0</v>
      </c>
      <c r="L43" s="63">
        <f t="shared" si="11"/>
        <v>0</v>
      </c>
      <c r="M43" s="63">
        <f t="shared" si="11"/>
        <v>0</v>
      </c>
      <c r="N43" s="63">
        <f t="shared" si="11"/>
        <v>0</v>
      </c>
      <c r="O43" s="63">
        <f t="shared" si="11"/>
        <v>0</v>
      </c>
      <c r="P43" s="63"/>
      <c r="Q43" s="63">
        <f t="shared" si="11"/>
        <v>0</v>
      </c>
      <c r="R43" s="63">
        <f t="shared" si="11"/>
        <v>0</v>
      </c>
      <c r="S43" s="63">
        <f t="shared" si="11"/>
        <v>0</v>
      </c>
      <c r="T43" s="63"/>
      <c r="U43" s="63">
        <f t="shared" si="11"/>
        <v>0</v>
      </c>
      <c r="V43" s="63">
        <f t="shared" si="11"/>
        <v>0</v>
      </c>
      <c r="W43" s="63">
        <f t="shared" si="11"/>
        <v>0</v>
      </c>
      <c r="X43" s="63"/>
      <c r="Y43" s="43"/>
      <c r="Z43" s="43"/>
      <c r="AA43" s="43"/>
      <c r="AB43" s="4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23"/>
    </row>
    <row r="44" spans="1:41" x14ac:dyDescent="0.2">
      <c r="A44" s="21" t="s">
        <v>38</v>
      </c>
      <c r="E44" s="46"/>
      <c r="F44" s="46"/>
      <c r="G44" s="46"/>
      <c r="H44" s="43"/>
      <c r="I44" s="43"/>
      <c r="J44" s="43"/>
      <c r="K44" s="43">
        <f>SUM([5]BMSPT066!$K$37:$K$38)+SUM(K8:K12)</f>
        <v>790405.9</v>
      </c>
      <c r="L44" s="43"/>
      <c r="M44" s="43"/>
      <c r="N44" s="43"/>
      <c r="O44" s="43"/>
      <c r="P44" s="43"/>
      <c r="Q44" s="18" t="str">
        <f>IF(Q43&gt;0,"SHORT","LONG")</f>
        <v>LONG</v>
      </c>
      <c r="R44" s="18" t="str">
        <f>IF(R43&gt;0,"SHORT","LONG")</f>
        <v>LONG</v>
      </c>
      <c r="S44" s="18" t="str">
        <f>IF(S43&gt;0,"SHORT","LONG")</f>
        <v>LONG</v>
      </c>
      <c r="T44" s="18"/>
      <c r="U44" s="18" t="str">
        <f>IF(U43&gt;0,"SHORT","LONG")</f>
        <v>LONG</v>
      </c>
      <c r="V44" s="18" t="str">
        <f>IF(V43&gt;0,"SHORT","LONG")</f>
        <v>LONG</v>
      </c>
      <c r="W44" s="18" t="str">
        <f>IF(W43&gt;0,"SHORT","LONG")</f>
        <v>LONG</v>
      </c>
      <c r="X44" s="23"/>
      <c r="Y44" s="34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23"/>
    </row>
    <row r="45" spans="1:41" x14ac:dyDescent="0.2">
      <c r="A45" s="21" t="s">
        <v>41</v>
      </c>
      <c r="E45" s="46"/>
      <c r="F45" s="46"/>
      <c r="G45" s="46"/>
      <c r="H45" s="43"/>
      <c r="I45" s="43"/>
      <c r="J45" s="43"/>
      <c r="K45" s="43">
        <f>SUM(K13:K19)</f>
        <v>1901766</v>
      </c>
      <c r="L45" s="43"/>
      <c r="M45" s="43"/>
      <c r="N45" s="43"/>
      <c r="O45" s="43"/>
      <c r="P45" s="43"/>
      <c r="Q45" s="18"/>
      <c r="R45" s="18"/>
      <c r="S45" s="18"/>
      <c r="T45" s="18"/>
      <c r="U45" s="73" t="s">
        <v>32</v>
      </c>
      <c r="V45" s="18"/>
      <c r="W45" s="63">
        <v>0</v>
      </c>
      <c r="X45" s="23"/>
      <c r="Y45" s="34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23"/>
    </row>
    <row r="46" spans="1:41" x14ac:dyDescent="0.2">
      <c r="A46" s="21" t="s">
        <v>39</v>
      </c>
      <c r="E46" s="46"/>
      <c r="F46" s="46"/>
      <c r="G46" s="46"/>
      <c r="H46" s="43"/>
      <c r="I46" s="43"/>
      <c r="J46" s="43"/>
      <c r="K46" s="43">
        <f>SUM(K20:K26)</f>
        <v>1710665.15</v>
      </c>
      <c r="L46" s="43"/>
      <c r="M46" s="43"/>
      <c r="N46" s="43"/>
      <c r="O46" s="43"/>
      <c r="P46" s="43"/>
      <c r="Q46" s="18"/>
      <c r="R46" s="18"/>
      <c r="S46" s="18"/>
      <c r="T46" s="18"/>
      <c r="U46" s="73" t="s">
        <v>31</v>
      </c>
      <c r="V46" s="18"/>
      <c r="W46" s="43">
        <f>+W45-W43</f>
        <v>0</v>
      </c>
      <c r="X46" s="23"/>
      <c r="Y46" s="34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23"/>
    </row>
    <row r="47" spans="1:41" x14ac:dyDescent="0.2">
      <c r="A47" s="21" t="s">
        <v>40</v>
      </c>
      <c r="K47" s="43">
        <f>SUM(K27:K33)</f>
        <v>2237363.9</v>
      </c>
      <c r="U47" s="23"/>
      <c r="V47" s="23"/>
      <c r="W47" s="23"/>
    </row>
    <row r="48" spans="1:41" x14ac:dyDescent="0.2">
      <c r="K48" s="43"/>
      <c r="U48" s="23"/>
      <c r="V48" s="23"/>
      <c r="W48" s="23"/>
    </row>
    <row r="49" spans="21:23" x14ac:dyDescent="0.2">
      <c r="U49" s="23"/>
      <c r="V49" s="23"/>
      <c r="W49" s="23"/>
    </row>
    <row r="50" spans="21:23" x14ac:dyDescent="0.2">
      <c r="U50" s="23"/>
      <c r="V50" s="23"/>
      <c r="W50" s="23"/>
    </row>
  </sheetData>
  <mergeCells count="7">
    <mergeCell ref="Q3:S3"/>
    <mergeCell ref="U3:W3"/>
    <mergeCell ref="C4:E4"/>
    <mergeCell ref="A1:E1"/>
    <mergeCell ref="A2:E2"/>
    <mergeCell ref="A3:E3"/>
    <mergeCell ref="F4:J4"/>
  </mergeCells>
  <printOptions gridLines="1" gridLinesSet="0"/>
  <pageMargins left="0.28000000000000003" right="0.24" top="0.77" bottom="0.38" header="0.25" footer="0.17"/>
  <pageSetup paperSize="5" scale="72" orientation="landscape" horizontalDpi="4294967292" verticalDpi="4294967292" r:id="rId1"/>
  <headerFooter alignWithMargins="0">
    <oddHeader>&amp;LPrepared by:  Kenny Soignet&amp;C&amp;"Arial,Bold"&amp;14Projected
04/30/2001
&amp;R&amp;D    &amp;T</oddHeader>
    <oddFooter>&amp;L&amp;F</oddFooter>
  </headerFooter>
  <rowBreaks count="1" manualBreakCount="1">
    <brk id="44" max="22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BMSPT066</vt:lpstr>
      <vt:lpstr>Chart1</vt:lpstr>
      <vt:lpstr>BMSPT066!Print_Area</vt:lpstr>
      <vt:lpstr>BMSPT066!Print_Titles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Soignet, Kenny J</dc:creator>
  <cp:keywords/>
  <dc:description>- Oracle 8i ODBC QueryFix Applied</dc:description>
  <cp:lastModifiedBy>Jan Havlíček</cp:lastModifiedBy>
  <cp:lastPrinted>2001-04-26T13:20:15Z</cp:lastPrinted>
  <dcterms:created xsi:type="dcterms:W3CDTF">1997-02-03T15:25:11Z</dcterms:created>
  <dcterms:modified xsi:type="dcterms:W3CDTF">2023-09-17T20:30:02Z</dcterms:modified>
</cp:coreProperties>
</file>