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06F342F-AC0F-46DE-BD2C-D92C69B2BD72}" xr6:coauthVersionLast="47" xr6:coauthVersionMax="47" xr10:uidLastSave="{00000000-0000-0000-0000-000000000000}"/>
  <bookViews>
    <workbookView xWindow="-120" yWindow="-120" windowWidth="38640" windowHeight="15720" firstSheet="5" activeTab="8"/>
  </bookViews>
  <sheets>
    <sheet name="Jan" sheetId="1" r:id="rId1"/>
    <sheet name="Feb Prelim" sheetId="2" r:id="rId2"/>
    <sheet name="Feb" sheetId="3" r:id="rId3"/>
    <sheet name="Mar" sheetId="4" r:id="rId4"/>
    <sheet name="Mar (2)" sheetId="5" r:id="rId5"/>
    <sheet name="Mar prebid" sheetId="6" r:id="rId6"/>
    <sheet name="Apr" sheetId="7" r:id="rId7"/>
    <sheet name="May" sheetId="8" r:id="rId8"/>
    <sheet name="Jun" sheetId="9" r:id="rId9"/>
  </sheets>
  <externalReferences>
    <externalReference r:id="rId10"/>
  </externalReferences>
  <definedNames>
    <definedName name="Base" localSheetId="6">Apr!$G$236:$S$275</definedName>
    <definedName name="Base" localSheetId="2">Feb!$G$237:$S$276</definedName>
    <definedName name="Base" localSheetId="1">'Feb Prelim'!$G$223:$S$262</definedName>
    <definedName name="Base" localSheetId="0">Jan!$G$220:$S$259</definedName>
    <definedName name="Base" localSheetId="8">Jun!$G$251:$S$290</definedName>
    <definedName name="Base" localSheetId="3">Mar!$G$210:$S$249</definedName>
    <definedName name="Base" localSheetId="4">'Mar (2)'!$G$210:$S$249</definedName>
    <definedName name="Base" localSheetId="5">'Mar prebid'!$G$239:$S$278</definedName>
    <definedName name="Base" localSheetId="7">May!$G$239:$S$278</definedName>
    <definedName name="industrial" localSheetId="6">Apr!$A$128:$G$232</definedName>
    <definedName name="industrial" localSheetId="2">Feb!$A$130:$G$233</definedName>
    <definedName name="industrial" localSheetId="1">'Feb Prelim'!$A$116:$G$219</definedName>
    <definedName name="industrial" localSheetId="0">Jan!$A$113:$G$216</definedName>
    <definedName name="industrial" localSheetId="8">Jun!$A$139:$G$229</definedName>
    <definedName name="industrial" localSheetId="3">Mar!$A$103:$G$206</definedName>
    <definedName name="industrial" localSheetId="4">'Mar (2)'!$A$103:$G$206</definedName>
    <definedName name="industrial" localSheetId="5">'Mar prebid'!$A$131:$G$235</definedName>
    <definedName name="industrial" localSheetId="7">May!$A$129:$G$233</definedName>
    <definedName name="Industrials" localSheetId="6">Apr!$A$129:$C$218</definedName>
    <definedName name="Industrials" localSheetId="2">Feb!$A$131:$C$219</definedName>
    <definedName name="Industrials" localSheetId="1">'Feb Prelim'!$A$117:$C$205</definedName>
    <definedName name="Industrials" localSheetId="0">Jan!$A$114:$C$202</definedName>
    <definedName name="Industrials" localSheetId="8">Jun!$A$140:$C$233</definedName>
    <definedName name="Industrials" localSheetId="3">Mar!$A$104:$C$192</definedName>
    <definedName name="Industrials" localSheetId="4">'Mar (2)'!$A$104:$C$192</definedName>
    <definedName name="Industrials" localSheetId="5">'Mar prebid'!$A$132:$C$221</definedName>
    <definedName name="Industrials" localSheetId="7">May!$A$130:$C$221</definedName>
    <definedName name="_xlnm.Print_Area" localSheetId="6">Apr!$A$1:$L$93</definedName>
    <definedName name="_xlnm.Print_Area" localSheetId="2">Feb!$A$1:$L$126</definedName>
    <definedName name="_xlnm.Print_Area" localSheetId="1">'Feb Prelim'!$A$1:$L$84</definedName>
    <definedName name="_xlnm.Print_Area" localSheetId="0">Jan!$A$1:$L$81</definedName>
    <definedName name="_xlnm.Print_Area" localSheetId="8">Jun!$A$139:$G$229</definedName>
    <definedName name="_xlnm.Print_Area" localSheetId="3">Mar!$A$1:$L$99</definedName>
    <definedName name="_xlnm.Print_Area" localSheetId="4">'Mar (2)'!$A$1:$L$99</definedName>
    <definedName name="_xlnm.Print_Area" localSheetId="5">'Mar prebid'!$A$1:$L$98</definedName>
    <definedName name="_xlnm.Print_Area" localSheetId="7">May!$A$1:$L$94</definedName>
  </definedNames>
  <calcPr calcId="0"/>
</workbook>
</file>

<file path=xl/calcChain.xml><?xml version="1.0" encoding="utf-8"?>
<calcChain xmlns="http://schemas.openxmlformats.org/spreadsheetml/2006/main">
  <c r="F5" i="7" l="1"/>
  <c r="G5" i="7"/>
  <c r="H5" i="7"/>
  <c r="D7" i="7"/>
  <c r="E7" i="7"/>
  <c r="G7" i="7"/>
  <c r="H7" i="7"/>
  <c r="L7" i="7"/>
  <c r="D8" i="7"/>
  <c r="E8" i="7"/>
  <c r="G8" i="7"/>
  <c r="H8" i="7"/>
  <c r="L8" i="7"/>
  <c r="E9" i="7"/>
  <c r="L9" i="7"/>
  <c r="D10" i="7"/>
  <c r="E10" i="7"/>
  <c r="L10" i="7"/>
  <c r="D11" i="7"/>
  <c r="E11" i="7"/>
  <c r="L11" i="7"/>
  <c r="E12" i="7"/>
  <c r="G12" i="7"/>
  <c r="H12" i="7"/>
  <c r="L12" i="7"/>
  <c r="D13" i="7"/>
  <c r="L13" i="7"/>
  <c r="D14" i="7"/>
  <c r="E14" i="7"/>
  <c r="G14" i="7"/>
  <c r="H14" i="7"/>
  <c r="L14" i="7"/>
  <c r="D15" i="7"/>
  <c r="E15" i="7"/>
  <c r="F15" i="7"/>
  <c r="L15" i="7"/>
  <c r="L16" i="7"/>
  <c r="L17" i="7"/>
  <c r="L18" i="7"/>
  <c r="D19" i="7"/>
  <c r="E19" i="7"/>
  <c r="L19" i="7"/>
  <c r="D20" i="7"/>
  <c r="E20" i="7"/>
  <c r="F20" i="7"/>
  <c r="G20" i="7"/>
  <c r="H20" i="7"/>
  <c r="D21" i="7"/>
  <c r="D23" i="7"/>
  <c r="E23" i="7"/>
  <c r="F23" i="7"/>
  <c r="G23" i="7"/>
  <c r="H23" i="7"/>
  <c r="D24" i="7"/>
  <c r="E24" i="7"/>
  <c r="G24" i="7"/>
  <c r="H24" i="7"/>
  <c r="E25" i="7"/>
  <c r="D26" i="7"/>
  <c r="E26" i="7"/>
  <c r="F26" i="7"/>
  <c r="G26" i="7"/>
  <c r="H26" i="7"/>
  <c r="D29" i="7"/>
  <c r="D32" i="7"/>
  <c r="I33" i="7"/>
  <c r="J33" i="7"/>
  <c r="J34" i="7"/>
  <c r="J38" i="7"/>
  <c r="D39" i="7"/>
  <c r="D40" i="7"/>
  <c r="I40" i="7"/>
  <c r="J41" i="7"/>
  <c r="D42" i="7"/>
  <c r="C44" i="7"/>
  <c r="D44" i="7"/>
  <c r="F44" i="7"/>
  <c r="H44" i="7"/>
  <c r="B52" i="7"/>
  <c r="B92" i="7"/>
  <c r="D92" i="7"/>
  <c r="F92" i="7"/>
  <c r="J92" i="7"/>
  <c r="L92" i="7"/>
  <c r="F93" i="7"/>
  <c r="L93" i="7"/>
  <c r="F99" i="7"/>
  <c r="F100" i="7"/>
  <c r="F101" i="7"/>
  <c r="F102" i="7"/>
  <c r="F103" i="7"/>
  <c r="F105" i="7"/>
  <c r="F106" i="7"/>
  <c r="F107" i="7"/>
  <c r="F108" i="7"/>
  <c r="F109" i="7"/>
  <c r="F110" i="7"/>
  <c r="F112" i="7"/>
  <c r="F114" i="7"/>
  <c r="F116" i="7"/>
  <c r="F117" i="7"/>
  <c r="F118" i="7"/>
  <c r="F120" i="7"/>
  <c r="F122" i="7"/>
  <c r="K131" i="7"/>
  <c r="C200" i="7"/>
  <c r="K206" i="7"/>
  <c r="C209" i="7"/>
  <c r="F227" i="7"/>
  <c r="C229" i="7"/>
  <c r="C231" i="7"/>
  <c r="C233" i="7"/>
  <c r="J245" i="7"/>
  <c r="J256" i="7"/>
  <c r="P262" i="7"/>
  <c r="P265" i="7"/>
  <c r="P267" i="7"/>
  <c r="S267" i="7"/>
  <c r="K268" i="7"/>
  <c r="J269" i="7"/>
  <c r="M269" i="7"/>
  <c r="J270" i="7"/>
  <c r="M272" i="7"/>
  <c r="J274" i="7"/>
  <c r="J278" i="7"/>
  <c r="F5" i="3"/>
  <c r="G5" i="3"/>
  <c r="H5" i="3"/>
  <c r="D7" i="3"/>
  <c r="E7" i="3"/>
  <c r="G7" i="3"/>
  <c r="H7" i="3"/>
  <c r="L7" i="3"/>
  <c r="D8" i="3"/>
  <c r="E8" i="3"/>
  <c r="F8" i="3"/>
  <c r="G8" i="3"/>
  <c r="H8" i="3"/>
  <c r="L8" i="3"/>
  <c r="L9" i="3"/>
  <c r="L10" i="3"/>
  <c r="D11" i="3"/>
  <c r="L11" i="3"/>
  <c r="G12" i="3"/>
  <c r="H12" i="3"/>
  <c r="L12" i="3"/>
  <c r="L13" i="3"/>
  <c r="D14" i="3"/>
  <c r="G14" i="3"/>
  <c r="H14" i="3"/>
  <c r="L14" i="3"/>
  <c r="D15" i="3"/>
  <c r="E15" i="3"/>
  <c r="F15" i="3"/>
  <c r="L15" i="3"/>
  <c r="E16" i="3"/>
  <c r="L16" i="3"/>
  <c r="L17" i="3"/>
  <c r="L18" i="3"/>
  <c r="D19" i="3"/>
  <c r="E19" i="3"/>
  <c r="L19" i="3"/>
  <c r="D20" i="3"/>
  <c r="E20" i="3"/>
  <c r="F20" i="3"/>
  <c r="G20" i="3"/>
  <c r="H20" i="3"/>
  <c r="D21" i="3"/>
  <c r="D23" i="3"/>
  <c r="E23" i="3"/>
  <c r="F23" i="3"/>
  <c r="G23" i="3"/>
  <c r="H23" i="3"/>
  <c r="D24" i="3"/>
  <c r="E24" i="3"/>
  <c r="G24" i="3"/>
  <c r="H24" i="3"/>
  <c r="D26" i="3"/>
  <c r="E26" i="3"/>
  <c r="F26" i="3"/>
  <c r="G26" i="3"/>
  <c r="H26" i="3"/>
  <c r="D29" i="3"/>
  <c r="B33" i="3"/>
  <c r="I33" i="3"/>
  <c r="J33" i="3"/>
  <c r="J34" i="3"/>
  <c r="J38" i="3"/>
  <c r="D39" i="3"/>
  <c r="D40" i="3"/>
  <c r="J41" i="3"/>
  <c r="C44" i="3"/>
  <c r="D44" i="3"/>
  <c r="F44" i="3"/>
  <c r="H44" i="3"/>
  <c r="B94" i="3"/>
  <c r="D94" i="3"/>
  <c r="F94" i="3"/>
  <c r="J94" i="3"/>
  <c r="L94" i="3"/>
  <c r="F95" i="3"/>
  <c r="L95" i="3"/>
  <c r="F101" i="3"/>
  <c r="F102" i="3"/>
  <c r="F103" i="3"/>
  <c r="F104" i="3"/>
  <c r="F105" i="3"/>
  <c r="F107" i="3"/>
  <c r="F108" i="3"/>
  <c r="F109" i="3"/>
  <c r="F110" i="3"/>
  <c r="F111" i="3"/>
  <c r="F112" i="3"/>
  <c r="F114" i="3"/>
  <c r="F116" i="3"/>
  <c r="F118" i="3"/>
  <c r="F119" i="3"/>
  <c r="F120" i="3"/>
  <c r="F122" i="3"/>
  <c r="F124" i="3"/>
  <c r="F131" i="3"/>
  <c r="F132" i="3"/>
  <c r="F133" i="3"/>
  <c r="F134" i="3"/>
  <c r="F135" i="3"/>
  <c r="F137" i="3"/>
  <c r="F138" i="3"/>
  <c r="F139" i="3"/>
  <c r="F140" i="3"/>
  <c r="F141" i="3"/>
  <c r="F143" i="3"/>
  <c r="F144" i="3"/>
  <c r="F145" i="3"/>
  <c r="F147" i="3"/>
  <c r="F148" i="3"/>
  <c r="F149" i="3"/>
  <c r="F150" i="3"/>
  <c r="F151" i="3"/>
  <c r="F152" i="3"/>
  <c r="F153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90" i="3"/>
  <c r="F191" i="3"/>
  <c r="F192" i="3"/>
  <c r="F193" i="3"/>
  <c r="F194" i="3"/>
  <c r="F197" i="3"/>
  <c r="F198" i="3"/>
  <c r="F199" i="3"/>
  <c r="F200" i="3"/>
  <c r="F201" i="3"/>
  <c r="F202" i="3"/>
  <c r="F203" i="3"/>
  <c r="F204" i="3"/>
  <c r="F205" i="3"/>
  <c r="F207" i="3"/>
  <c r="F208" i="3"/>
  <c r="F209" i="3"/>
  <c r="F210" i="3"/>
  <c r="F211" i="3"/>
  <c r="F212" i="3"/>
  <c r="C213" i="3"/>
  <c r="E213" i="3"/>
  <c r="F213" i="3"/>
  <c r="K218" i="3"/>
  <c r="F229" i="3"/>
  <c r="C233" i="3"/>
  <c r="C235" i="3"/>
  <c r="C237" i="3"/>
  <c r="J263" i="3"/>
  <c r="P264" i="3"/>
  <c r="P267" i="3"/>
  <c r="S268" i="3"/>
  <c r="P269" i="3"/>
  <c r="M271" i="3"/>
  <c r="J274" i="3"/>
  <c r="M274" i="3"/>
  <c r="K286" i="3"/>
  <c r="J287" i="3"/>
  <c r="J288" i="3"/>
  <c r="J292" i="3"/>
  <c r="J296" i="3"/>
  <c r="F5" i="2"/>
  <c r="G5" i="2"/>
  <c r="H5" i="2"/>
  <c r="D7" i="2"/>
  <c r="G7" i="2"/>
  <c r="H7" i="2"/>
  <c r="L7" i="2"/>
  <c r="D8" i="2"/>
  <c r="F8" i="2"/>
  <c r="G8" i="2"/>
  <c r="H8" i="2"/>
  <c r="L8" i="2"/>
  <c r="L9" i="2"/>
  <c r="L10" i="2"/>
  <c r="L11" i="2"/>
  <c r="G12" i="2"/>
  <c r="H12" i="2"/>
  <c r="L12" i="2"/>
  <c r="F13" i="2"/>
  <c r="L13" i="2"/>
  <c r="D14" i="2"/>
  <c r="G14" i="2"/>
  <c r="H14" i="2"/>
  <c r="L14" i="2"/>
  <c r="D15" i="2"/>
  <c r="E15" i="2"/>
  <c r="E16" i="2"/>
  <c r="L16" i="2"/>
  <c r="D19" i="2"/>
  <c r="L19" i="2"/>
  <c r="D20" i="2"/>
  <c r="F20" i="2"/>
  <c r="G20" i="2"/>
  <c r="H20" i="2"/>
  <c r="L20" i="2"/>
  <c r="D21" i="2"/>
  <c r="L21" i="2"/>
  <c r="L22" i="2"/>
  <c r="D23" i="2"/>
  <c r="F23" i="2"/>
  <c r="G23" i="2"/>
  <c r="H23" i="2"/>
  <c r="D24" i="2"/>
  <c r="G24" i="2"/>
  <c r="H24" i="2"/>
  <c r="D25" i="2"/>
  <c r="E25" i="2"/>
  <c r="G25" i="2"/>
  <c r="H25" i="2"/>
  <c r="D29" i="2"/>
  <c r="D32" i="2"/>
  <c r="I33" i="2"/>
  <c r="J33" i="2"/>
  <c r="J34" i="2"/>
  <c r="J38" i="2"/>
  <c r="D39" i="2"/>
  <c r="D40" i="2"/>
  <c r="J41" i="2"/>
  <c r="D42" i="2"/>
  <c r="C44" i="2"/>
  <c r="D44" i="2"/>
  <c r="F44" i="2"/>
  <c r="H44" i="2"/>
  <c r="B80" i="2"/>
  <c r="D80" i="2"/>
  <c r="F80" i="2"/>
  <c r="J80" i="2"/>
  <c r="L80" i="2"/>
  <c r="F81" i="2"/>
  <c r="L81" i="2"/>
  <c r="F87" i="2"/>
  <c r="F88" i="2"/>
  <c r="F89" i="2"/>
  <c r="F90" i="2"/>
  <c r="F91" i="2"/>
  <c r="F93" i="2"/>
  <c r="F94" i="2"/>
  <c r="F95" i="2"/>
  <c r="F96" i="2"/>
  <c r="F97" i="2"/>
  <c r="F98" i="2"/>
  <c r="F100" i="2"/>
  <c r="F102" i="2"/>
  <c r="F104" i="2"/>
  <c r="F105" i="2"/>
  <c r="F106" i="2"/>
  <c r="F108" i="2"/>
  <c r="F110" i="2"/>
  <c r="F117" i="2"/>
  <c r="F118" i="2"/>
  <c r="F119" i="2"/>
  <c r="F120" i="2"/>
  <c r="F121" i="2"/>
  <c r="F123" i="2"/>
  <c r="F124" i="2"/>
  <c r="F125" i="2"/>
  <c r="F126" i="2"/>
  <c r="F127" i="2"/>
  <c r="F129" i="2"/>
  <c r="F130" i="2"/>
  <c r="F131" i="2"/>
  <c r="F133" i="2"/>
  <c r="F134" i="2"/>
  <c r="F135" i="2"/>
  <c r="F136" i="2"/>
  <c r="F137" i="2"/>
  <c r="F138" i="2"/>
  <c r="F139" i="2"/>
  <c r="F141" i="2"/>
  <c r="F142" i="2"/>
  <c r="F143" i="2"/>
  <c r="F144" i="2"/>
  <c r="F145" i="2"/>
  <c r="F146" i="2"/>
  <c r="F147" i="2"/>
  <c r="F148" i="2"/>
  <c r="F149" i="2"/>
  <c r="F150" i="2"/>
  <c r="F151" i="2"/>
  <c r="K151" i="2"/>
  <c r="F152" i="2"/>
  <c r="F153" i="2"/>
  <c r="F154" i="2"/>
  <c r="F155" i="2"/>
  <c r="F157" i="2"/>
  <c r="F158" i="2"/>
  <c r="F159" i="2"/>
  <c r="F160" i="2"/>
  <c r="F161" i="2"/>
  <c r="K161" i="2"/>
  <c r="F162" i="2"/>
  <c r="F163" i="2"/>
  <c r="F164" i="2"/>
  <c r="F165" i="2"/>
  <c r="F166" i="2"/>
  <c r="K166" i="2"/>
  <c r="F167" i="2"/>
  <c r="F168" i="2"/>
  <c r="F169" i="2"/>
  <c r="F170" i="2"/>
  <c r="F171" i="2"/>
  <c r="F172" i="2"/>
  <c r="F173" i="2"/>
  <c r="F174" i="2"/>
  <c r="F176" i="2"/>
  <c r="F177" i="2"/>
  <c r="F178" i="2"/>
  <c r="F179" i="2"/>
  <c r="F180" i="2"/>
  <c r="F183" i="2"/>
  <c r="F184" i="2"/>
  <c r="F185" i="2"/>
  <c r="F186" i="2"/>
  <c r="F187" i="2"/>
  <c r="F188" i="2"/>
  <c r="F189" i="2"/>
  <c r="K189" i="2"/>
  <c r="F190" i="2"/>
  <c r="F191" i="2"/>
  <c r="F193" i="2"/>
  <c r="F194" i="2"/>
  <c r="F195" i="2"/>
  <c r="F196" i="2"/>
  <c r="F197" i="2"/>
  <c r="F198" i="2"/>
  <c r="C199" i="2"/>
  <c r="E199" i="2"/>
  <c r="F199" i="2"/>
  <c r="K199" i="2"/>
  <c r="F215" i="2"/>
  <c r="C219" i="2"/>
  <c r="C221" i="2"/>
  <c r="C223" i="2"/>
  <c r="J244" i="2"/>
  <c r="P250" i="2"/>
  <c r="P253" i="2"/>
  <c r="S254" i="2"/>
  <c r="J255" i="2"/>
  <c r="P255" i="2"/>
  <c r="M257" i="2"/>
  <c r="M260" i="2"/>
  <c r="K267" i="2"/>
  <c r="J268" i="2"/>
  <c r="J269" i="2"/>
  <c r="J273" i="2"/>
  <c r="J277" i="2"/>
  <c r="F5" i="1"/>
  <c r="G5" i="1"/>
  <c r="H5" i="1"/>
  <c r="D7" i="1"/>
  <c r="E7" i="1"/>
  <c r="G7" i="1"/>
  <c r="H7" i="1"/>
  <c r="L7" i="1"/>
  <c r="D8" i="1"/>
  <c r="E8" i="1"/>
  <c r="F8" i="1"/>
  <c r="G8" i="1"/>
  <c r="H8" i="1"/>
  <c r="L8" i="1"/>
  <c r="E9" i="1"/>
  <c r="L9" i="1"/>
  <c r="D10" i="1"/>
  <c r="L10" i="1"/>
  <c r="L11" i="1"/>
  <c r="G12" i="1"/>
  <c r="H12" i="1"/>
  <c r="L12" i="1"/>
  <c r="D13" i="1"/>
  <c r="F13" i="1"/>
  <c r="L13" i="1"/>
  <c r="D14" i="1"/>
  <c r="E14" i="1"/>
  <c r="G14" i="1"/>
  <c r="H14" i="1"/>
  <c r="L14" i="1"/>
  <c r="L15" i="1"/>
  <c r="D16" i="1"/>
  <c r="E16" i="1"/>
  <c r="L16" i="1"/>
  <c r="D17" i="1"/>
  <c r="E17" i="1"/>
  <c r="F17" i="1"/>
  <c r="G17" i="1"/>
  <c r="H17" i="1"/>
  <c r="L17" i="1"/>
  <c r="D18" i="1"/>
  <c r="L18" i="1"/>
  <c r="L19" i="1"/>
  <c r="D20" i="1"/>
  <c r="E20" i="1"/>
  <c r="F20" i="1"/>
  <c r="G20" i="1"/>
  <c r="H20" i="1"/>
  <c r="D21" i="1"/>
  <c r="E21" i="1"/>
  <c r="G21" i="1"/>
  <c r="H21" i="1"/>
  <c r="D22" i="1"/>
  <c r="E22" i="1"/>
  <c r="G22" i="1"/>
  <c r="H22" i="1"/>
  <c r="D24" i="1"/>
  <c r="D26" i="1"/>
  <c r="D29" i="1"/>
  <c r="I30" i="1"/>
  <c r="J30" i="1"/>
  <c r="J31" i="1"/>
  <c r="J35" i="1"/>
  <c r="D36" i="1"/>
  <c r="D37" i="1"/>
  <c r="J38" i="1"/>
  <c r="D39" i="1"/>
  <c r="C41" i="1"/>
  <c r="D41" i="1"/>
  <c r="F41" i="1"/>
  <c r="H41" i="1"/>
  <c r="L54" i="1"/>
  <c r="L55" i="1"/>
  <c r="L70" i="1"/>
  <c r="L71" i="1"/>
  <c r="B77" i="1"/>
  <c r="D77" i="1"/>
  <c r="F77" i="1"/>
  <c r="J77" i="1"/>
  <c r="L77" i="1"/>
  <c r="F78" i="1"/>
  <c r="L78" i="1"/>
  <c r="F84" i="1"/>
  <c r="F85" i="1"/>
  <c r="F86" i="1"/>
  <c r="F87" i="1"/>
  <c r="F88" i="1"/>
  <c r="F90" i="1"/>
  <c r="F91" i="1"/>
  <c r="F92" i="1"/>
  <c r="F93" i="1"/>
  <c r="F94" i="1"/>
  <c r="F95" i="1"/>
  <c r="F97" i="1"/>
  <c r="F99" i="1"/>
  <c r="F101" i="1"/>
  <c r="F102" i="1"/>
  <c r="F103" i="1"/>
  <c r="F105" i="1"/>
  <c r="F107" i="1"/>
  <c r="F114" i="1"/>
  <c r="F115" i="1"/>
  <c r="F116" i="1"/>
  <c r="F117" i="1"/>
  <c r="F118" i="1"/>
  <c r="F120" i="1"/>
  <c r="F121" i="1"/>
  <c r="F122" i="1"/>
  <c r="F123" i="1"/>
  <c r="F124" i="1"/>
  <c r="F126" i="1"/>
  <c r="F127" i="1"/>
  <c r="F128" i="1"/>
  <c r="C130" i="1"/>
  <c r="F130" i="1"/>
  <c r="F131" i="1"/>
  <c r="F132" i="1"/>
  <c r="F133" i="1"/>
  <c r="F134" i="1"/>
  <c r="F135" i="1"/>
  <c r="F136" i="1"/>
  <c r="F138" i="1"/>
  <c r="F139" i="1"/>
  <c r="F140" i="1"/>
  <c r="F141" i="1"/>
  <c r="F142" i="1"/>
  <c r="F143" i="1"/>
  <c r="F144" i="1"/>
  <c r="F145" i="1"/>
  <c r="F146" i="1"/>
  <c r="F147" i="1"/>
  <c r="F148" i="1"/>
  <c r="K148" i="1"/>
  <c r="F149" i="1"/>
  <c r="F150" i="1"/>
  <c r="F151" i="1"/>
  <c r="F152" i="1"/>
  <c r="F154" i="1"/>
  <c r="F155" i="1"/>
  <c r="F156" i="1"/>
  <c r="F157" i="1"/>
  <c r="F158" i="1"/>
  <c r="K158" i="1"/>
  <c r="F159" i="1"/>
  <c r="F160" i="1"/>
  <c r="F161" i="1"/>
  <c r="F162" i="1"/>
  <c r="F163" i="1"/>
  <c r="K163" i="1"/>
  <c r="F164" i="1"/>
  <c r="F165" i="1"/>
  <c r="F166" i="1"/>
  <c r="F167" i="1"/>
  <c r="F168" i="1"/>
  <c r="F169" i="1"/>
  <c r="F170" i="1"/>
  <c r="F171" i="1"/>
  <c r="F173" i="1"/>
  <c r="F174" i="1"/>
  <c r="F175" i="1"/>
  <c r="F176" i="1"/>
  <c r="F177" i="1"/>
  <c r="F180" i="1"/>
  <c r="F181" i="1"/>
  <c r="F182" i="1"/>
  <c r="F183" i="1"/>
  <c r="F184" i="1"/>
  <c r="F185" i="1"/>
  <c r="F186" i="1"/>
  <c r="K186" i="1"/>
  <c r="F187" i="1"/>
  <c r="F188" i="1"/>
  <c r="F190" i="1"/>
  <c r="F191" i="1"/>
  <c r="F192" i="1"/>
  <c r="F193" i="1"/>
  <c r="F194" i="1"/>
  <c r="F195" i="1"/>
  <c r="C196" i="1"/>
  <c r="E196" i="1"/>
  <c r="F196" i="1"/>
  <c r="K196" i="1"/>
  <c r="F212" i="1"/>
  <c r="C216" i="1"/>
  <c r="C218" i="1"/>
  <c r="C220" i="1"/>
  <c r="J241" i="1"/>
  <c r="P247" i="1"/>
  <c r="P250" i="1"/>
  <c r="S251" i="1"/>
  <c r="J252" i="1"/>
  <c r="P252" i="1"/>
  <c r="M254" i="1"/>
  <c r="M257" i="1"/>
  <c r="K264" i="1"/>
  <c r="J265" i="1"/>
  <c r="J266" i="1"/>
  <c r="J270" i="1"/>
  <c r="J274" i="1"/>
  <c r="F5" i="9"/>
  <c r="G5" i="9"/>
  <c r="H5" i="9"/>
  <c r="D7" i="9"/>
  <c r="E7" i="9"/>
  <c r="G7" i="9"/>
  <c r="H7" i="9"/>
  <c r="L7" i="9"/>
  <c r="D8" i="9"/>
  <c r="E8" i="9"/>
  <c r="G8" i="9"/>
  <c r="H8" i="9"/>
  <c r="L8" i="9"/>
  <c r="D9" i="9"/>
  <c r="E9" i="9"/>
  <c r="L9" i="9"/>
  <c r="D10" i="9"/>
  <c r="E10" i="9"/>
  <c r="L10" i="9"/>
  <c r="D11" i="9"/>
  <c r="E11" i="9"/>
  <c r="L11" i="9"/>
  <c r="E12" i="9"/>
  <c r="G12" i="9"/>
  <c r="H12" i="9"/>
  <c r="L12" i="9"/>
  <c r="D13" i="9"/>
  <c r="F13" i="9"/>
  <c r="L13" i="9"/>
  <c r="D14" i="9"/>
  <c r="E14" i="9"/>
  <c r="G14" i="9"/>
  <c r="H14" i="9"/>
  <c r="L14" i="9"/>
  <c r="D15" i="9"/>
  <c r="E15" i="9"/>
  <c r="F15" i="9"/>
  <c r="L15" i="9"/>
  <c r="L16" i="9"/>
  <c r="L17" i="9"/>
  <c r="L18" i="9"/>
  <c r="D19" i="9"/>
  <c r="E19" i="9"/>
  <c r="L19" i="9"/>
  <c r="D20" i="9"/>
  <c r="E20" i="9"/>
  <c r="F20" i="9"/>
  <c r="G20" i="9"/>
  <c r="H20" i="9"/>
  <c r="D21" i="9"/>
  <c r="D23" i="9"/>
  <c r="E23" i="9"/>
  <c r="F23" i="9"/>
  <c r="G23" i="9"/>
  <c r="H23" i="9"/>
  <c r="D24" i="9"/>
  <c r="E24" i="9"/>
  <c r="G24" i="9"/>
  <c r="H24" i="9"/>
  <c r="D26" i="9"/>
  <c r="E26" i="9"/>
  <c r="F26" i="9"/>
  <c r="G26" i="9"/>
  <c r="H26" i="9"/>
  <c r="J28" i="9"/>
  <c r="D29" i="9"/>
  <c r="D32" i="9"/>
  <c r="I33" i="9"/>
  <c r="J33" i="9"/>
  <c r="F34" i="9"/>
  <c r="J34" i="9"/>
  <c r="J38" i="9"/>
  <c r="D39" i="9"/>
  <c r="D40" i="9"/>
  <c r="I40" i="9"/>
  <c r="J41" i="9"/>
  <c r="D42" i="9"/>
  <c r="C44" i="9"/>
  <c r="D44" i="9"/>
  <c r="F44" i="9"/>
  <c r="H44" i="9"/>
  <c r="B51" i="9"/>
  <c r="B103" i="9"/>
  <c r="D103" i="9"/>
  <c r="F103" i="9"/>
  <c r="J103" i="9"/>
  <c r="L103" i="9"/>
  <c r="F104" i="9"/>
  <c r="L104" i="9"/>
  <c r="F110" i="9"/>
  <c r="F111" i="9"/>
  <c r="F112" i="9"/>
  <c r="F113" i="9"/>
  <c r="F114" i="9"/>
  <c r="F116" i="9"/>
  <c r="F117" i="9"/>
  <c r="F118" i="9"/>
  <c r="F119" i="9"/>
  <c r="F120" i="9"/>
  <c r="F121" i="9"/>
  <c r="F123" i="9"/>
  <c r="F125" i="9"/>
  <c r="F127" i="9"/>
  <c r="F128" i="9"/>
  <c r="F129" i="9"/>
  <c r="F131" i="9"/>
  <c r="F133" i="9"/>
  <c r="K224" i="9"/>
  <c r="C226" i="9"/>
  <c r="F242" i="9"/>
  <c r="C246" i="9"/>
  <c r="C248" i="9"/>
  <c r="C250" i="9"/>
  <c r="J263" i="9"/>
  <c r="J274" i="9"/>
  <c r="P277" i="9"/>
  <c r="P280" i="9"/>
  <c r="P282" i="9"/>
  <c r="S282" i="9"/>
  <c r="K286" i="9"/>
  <c r="M286" i="9"/>
  <c r="J287" i="9"/>
  <c r="J288" i="9"/>
  <c r="M289" i="9"/>
  <c r="J292" i="9"/>
  <c r="J296" i="9"/>
  <c r="F5" i="4"/>
  <c r="G5" i="4"/>
  <c r="H5" i="4"/>
  <c r="D7" i="4"/>
  <c r="E7" i="4"/>
  <c r="G7" i="4"/>
  <c r="H7" i="4"/>
  <c r="L7" i="4"/>
  <c r="D8" i="4"/>
  <c r="E8" i="4"/>
  <c r="F8" i="4"/>
  <c r="G8" i="4"/>
  <c r="H8" i="4"/>
  <c r="L8" i="4"/>
  <c r="L9" i="4"/>
  <c r="L10" i="4"/>
  <c r="D11" i="4"/>
  <c r="L11" i="4"/>
  <c r="G12" i="4"/>
  <c r="H12" i="4"/>
  <c r="L12" i="4"/>
  <c r="L13" i="4"/>
  <c r="D14" i="4"/>
  <c r="G14" i="4"/>
  <c r="H14" i="4"/>
  <c r="L14" i="4"/>
  <c r="D15" i="4"/>
  <c r="E15" i="4"/>
  <c r="F15" i="4"/>
  <c r="L15" i="4"/>
  <c r="E16" i="4"/>
  <c r="L16" i="4"/>
  <c r="L17" i="4"/>
  <c r="L18" i="4"/>
  <c r="D19" i="4"/>
  <c r="E19" i="4"/>
  <c r="L19" i="4"/>
  <c r="D20" i="4"/>
  <c r="E20" i="4"/>
  <c r="F20" i="4"/>
  <c r="G20" i="4"/>
  <c r="H20" i="4"/>
  <c r="D21" i="4"/>
  <c r="D23" i="4"/>
  <c r="E23" i="4"/>
  <c r="F23" i="4"/>
  <c r="G23" i="4"/>
  <c r="H23" i="4"/>
  <c r="D24" i="4"/>
  <c r="E24" i="4"/>
  <c r="G24" i="4"/>
  <c r="H24" i="4"/>
  <c r="D26" i="4"/>
  <c r="E26" i="4"/>
  <c r="F26" i="4"/>
  <c r="G26" i="4"/>
  <c r="H26" i="4"/>
  <c r="D29" i="4"/>
  <c r="I33" i="4"/>
  <c r="J33" i="4"/>
  <c r="J34" i="4"/>
  <c r="J38" i="4"/>
  <c r="D39" i="4"/>
  <c r="D40" i="4"/>
  <c r="J41" i="4"/>
  <c r="D42" i="4"/>
  <c r="C44" i="4"/>
  <c r="D44" i="4"/>
  <c r="F44" i="4"/>
  <c r="H44" i="4"/>
  <c r="B67" i="4"/>
  <c r="D67" i="4"/>
  <c r="F67" i="4"/>
  <c r="J67" i="4"/>
  <c r="L67" i="4"/>
  <c r="F68" i="4"/>
  <c r="L68" i="4"/>
  <c r="F74" i="4"/>
  <c r="F75" i="4"/>
  <c r="F76" i="4"/>
  <c r="F77" i="4"/>
  <c r="F78" i="4"/>
  <c r="F80" i="4"/>
  <c r="F81" i="4"/>
  <c r="F82" i="4"/>
  <c r="F83" i="4"/>
  <c r="F84" i="4"/>
  <c r="F85" i="4"/>
  <c r="F87" i="4"/>
  <c r="F89" i="4"/>
  <c r="F91" i="4"/>
  <c r="F92" i="4"/>
  <c r="F93" i="4"/>
  <c r="F95" i="4"/>
  <c r="F97" i="4"/>
  <c r="F104" i="4"/>
  <c r="F105" i="4"/>
  <c r="F106" i="4"/>
  <c r="F107" i="4"/>
  <c r="F108" i="4"/>
  <c r="F110" i="4"/>
  <c r="F111" i="4"/>
  <c r="F112" i="4"/>
  <c r="F113" i="4"/>
  <c r="F114" i="4"/>
  <c r="F116" i="4"/>
  <c r="F117" i="4"/>
  <c r="F118" i="4"/>
  <c r="F120" i="4"/>
  <c r="F121" i="4"/>
  <c r="F122" i="4"/>
  <c r="F123" i="4"/>
  <c r="F124" i="4"/>
  <c r="F125" i="4"/>
  <c r="F126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3" i="4"/>
  <c r="F164" i="4"/>
  <c r="F165" i="4"/>
  <c r="F166" i="4"/>
  <c r="F167" i="4"/>
  <c r="F170" i="4"/>
  <c r="F171" i="4"/>
  <c r="F172" i="4"/>
  <c r="F173" i="4"/>
  <c r="F174" i="4"/>
  <c r="F175" i="4"/>
  <c r="F176" i="4"/>
  <c r="F177" i="4"/>
  <c r="F178" i="4"/>
  <c r="F180" i="4"/>
  <c r="F181" i="4"/>
  <c r="F182" i="4"/>
  <c r="F183" i="4"/>
  <c r="F184" i="4"/>
  <c r="F185" i="4"/>
  <c r="C186" i="4"/>
  <c r="E186" i="4"/>
  <c r="F186" i="4"/>
  <c r="K191" i="4"/>
  <c r="F202" i="4"/>
  <c r="C206" i="4"/>
  <c r="C208" i="4"/>
  <c r="C210" i="4"/>
  <c r="J236" i="4"/>
  <c r="P237" i="4"/>
  <c r="P240" i="4"/>
  <c r="S241" i="4"/>
  <c r="P242" i="4"/>
  <c r="M244" i="4"/>
  <c r="J247" i="4"/>
  <c r="M247" i="4"/>
  <c r="K259" i="4"/>
  <c r="J260" i="4"/>
  <c r="J261" i="4"/>
  <c r="J265" i="4"/>
  <c r="J269" i="4"/>
  <c r="F5" i="5"/>
  <c r="G5" i="5"/>
  <c r="H5" i="5"/>
  <c r="D7" i="5"/>
  <c r="E7" i="5"/>
  <c r="G7" i="5"/>
  <c r="H7" i="5"/>
  <c r="L7" i="5"/>
  <c r="D8" i="5"/>
  <c r="E8" i="5"/>
  <c r="F8" i="5"/>
  <c r="G8" i="5"/>
  <c r="H8" i="5"/>
  <c r="L8" i="5"/>
  <c r="L9" i="5"/>
  <c r="L10" i="5"/>
  <c r="D11" i="5"/>
  <c r="L11" i="5"/>
  <c r="G12" i="5"/>
  <c r="H12" i="5"/>
  <c r="L12" i="5"/>
  <c r="L13" i="5"/>
  <c r="D14" i="5"/>
  <c r="G14" i="5"/>
  <c r="H14" i="5"/>
  <c r="L14" i="5"/>
  <c r="D15" i="5"/>
  <c r="E15" i="5"/>
  <c r="F15" i="5"/>
  <c r="L15" i="5"/>
  <c r="E16" i="5"/>
  <c r="L16" i="5"/>
  <c r="L17" i="5"/>
  <c r="L18" i="5"/>
  <c r="D19" i="5"/>
  <c r="E19" i="5"/>
  <c r="L19" i="5"/>
  <c r="D20" i="5"/>
  <c r="E20" i="5"/>
  <c r="F20" i="5"/>
  <c r="G20" i="5"/>
  <c r="H20" i="5"/>
  <c r="D21" i="5"/>
  <c r="D23" i="5"/>
  <c r="E23" i="5"/>
  <c r="F23" i="5"/>
  <c r="G23" i="5"/>
  <c r="H23" i="5"/>
  <c r="D24" i="5"/>
  <c r="E24" i="5"/>
  <c r="G24" i="5"/>
  <c r="H24" i="5"/>
  <c r="D26" i="5"/>
  <c r="E26" i="5"/>
  <c r="F26" i="5"/>
  <c r="G26" i="5"/>
  <c r="H26" i="5"/>
  <c r="D29" i="5"/>
  <c r="I33" i="5"/>
  <c r="J33" i="5"/>
  <c r="J34" i="5"/>
  <c r="J38" i="5"/>
  <c r="D39" i="5"/>
  <c r="D40" i="5"/>
  <c r="J41" i="5"/>
  <c r="D42" i="5"/>
  <c r="C44" i="5"/>
  <c r="D44" i="5"/>
  <c r="F44" i="5"/>
  <c r="H44" i="5"/>
  <c r="B67" i="5"/>
  <c r="D67" i="5"/>
  <c r="F67" i="5"/>
  <c r="J67" i="5"/>
  <c r="L67" i="5"/>
  <c r="F68" i="5"/>
  <c r="L68" i="5"/>
  <c r="F74" i="5"/>
  <c r="F75" i="5"/>
  <c r="F76" i="5"/>
  <c r="F77" i="5"/>
  <c r="F78" i="5"/>
  <c r="F80" i="5"/>
  <c r="F81" i="5"/>
  <c r="F82" i="5"/>
  <c r="F83" i="5"/>
  <c r="F84" i="5"/>
  <c r="F85" i="5"/>
  <c r="F87" i="5"/>
  <c r="F89" i="5"/>
  <c r="F91" i="5"/>
  <c r="F92" i="5"/>
  <c r="F93" i="5"/>
  <c r="F95" i="5"/>
  <c r="F97" i="5"/>
  <c r="F104" i="5"/>
  <c r="F105" i="5"/>
  <c r="F106" i="5"/>
  <c r="F107" i="5"/>
  <c r="F108" i="5"/>
  <c r="F110" i="5"/>
  <c r="F111" i="5"/>
  <c r="F112" i="5"/>
  <c r="F113" i="5"/>
  <c r="F114" i="5"/>
  <c r="F116" i="5"/>
  <c r="F117" i="5"/>
  <c r="F118" i="5"/>
  <c r="F120" i="5"/>
  <c r="F121" i="5"/>
  <c r="F122" i="5"/>
  <c r="F123" i="5"/>
  <c r="F124" i="5"/>
  <c r="F125" i="5"/>
  <c r="F126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3" i="5"/>
  <c r="F164" i="5"/>
  <c r="F165" i="5"/>
  <c r="F166" i="5"/>
  <c r="F167" i="5"/>
  <c r="F170" i="5"/>
  <c r="F171" i="5"/>
  <c r="F172" i="5"/>
  <c r="F173" i="5"/>
  <c r="F174" i="5"/>
  <c r="F175" i="5"/>
  <c r="F176" i="5"/>
  <c r="F177" i="5"/>
  <c r="F178" i="5"/>
  <c r="F180" i="5"/>
  <c r="F181" i="5"/>
  <c r="F182" i="5"/>
  <c r="F183" i="5"/>
  <c r="F184" i="5"/>
  <c r="F185" i="5"/>
  <c r="C186" i="5"/>
  <c r="E186" i="5"/>
  <c r="F186" i="5"/>
  <c r="K191" i="5"/>
  <c r="F202" i="5"/>
  <c r="C206" i="5"/>
  <c r="C208" i="5"/>
  <c r="C210" i="5"/>
  <c r="J236" i="5"/>
  <c r="P237" i="5"/>
  <c r="P240" i="5"/>
  <c r="S241" i="5"/>
  <c r="P242" i="5"/>
  <c r="M244" i="5"/>
  <c r="J247" i="5"/>
  <c r="M247" i="5"/>
  <c r="K259" i="5"/>
  <c r="J260" i="5"/>
  <c r="J261" i="5"/>
  <c r="J265" i="5"/>
  <c r="J269" i="5"/>
  <c r="F5" i="6"/>
  <c r="G5" i="6"/>
  <c r="H5" i="6"/>
  <c r="D7" i="6"/>
  <c r="E7" i="6"/>
  <c r="G7" i="6"/>
  <c r="H7" i="6"/>
  <c r="L7" i="6"/>
  <c r="D8" i="6"/>
  <c r="E8" i="6"/>
  <c r="G8" i="6"/>
  <c r="H8" i="6"/>
  <c r="L8" i="6"/>
  <c r="E9" i="6"/>
  <c r="L9" i="6"/>
  <c r="E10" i="6"/>
  <c r="L10" i="6"/>
  <c r="D11" i="6"/>
  <c r="E11" i="6"/>
  <c r="L11" i="6"/>
  <c r="E12" i="6"/>
  <c r="G12" i="6"/>
  <c r="H12" i="6"/>
  <c r="L12" i="6"/>
  <c r="L13" i="6"/>
  <c r="D14" i="6"/>
  <c r="E14" i="6"/>
  <c r="G14" i="6"/>
  <c r="H14" i="6"/>
  <c r="L14" i="6"/>
  <c r="D15" i="6"/>
  <c r="E15" i="6"/>
  <c r="F15" i="6"/>
  <c r="L15" i="6"/>
  <c r="L16" i="6"/>
  <c r="L17" i="6"/>
  <c r="L18" i="6"/>
  <c r="D19" i="6"/>
  <c r="E19" i="6"/>
  <c r="L19" i="6"/>
  <c r="D20" i="6"/>
  <c r="E20" i="6"/>
  <c r="F20" i="6"/>
  <c r="G20" i="6"/>
  <c r="H20" i="6"/>
  <c r="D21" i="6"/>
  <c r="D23" i="6"/>
  <c r="E23" i="6"/>
  <c r="F23" i="6"/>
  <c r="G23" i="6"/>
  <c r="H23" i="6"/>
  <c r="D24" i="6"/>
  <c r="E24" i="6"/>
  <c r="G24" i="6"/>
  <c r="H24" i="6"/>
  <c r="E25" i="6"/>
  <c r="D26" i="6"/>
  <c r="E26" i="6"/>
  <c r="F26" i="6"/>
  <c r="G26" i="6"/>
  <c r="H26" i="6"/>
  <c r="D29" i="6"/>
  <c r="D32" i="6"/>
  <c r="I33" i="6"/>
  <c r="J33" i="6"/>
  <c r="J34" i="6"/>
  <c r="J38" i="6"/>
  <c r="D39" i="6"/>
  <c r="D40" i="6"/>
  <c r="I40" i="6"/>
  <c r="J41" i="6"/>
  <c r="C44" i="6"/>
  <c r="D44" i="6"/>
  <c r="F44" i="6"/>
  <c r="H44" i="6"/>
  <c r="B52" i="6"/>
  <c r="B95" i="6"/>
  <c r="D95" i="6"/>
  <c r="F95" i="6"/>
  <c r="J95" i="6"/>
  <c r="L95" i="6"/>
  <c r="F96" i="6"/>
  <c r="L96" i="6"/>
  <c r="F102" i="6"/>
  <c r="F103" i="6"/>
  <c r="F104" i="6"/>
  <c r="F105" i="6"/>
  <c r="F106" i="6"/>
  <c r="F108" i="6"/>
  <c r="F109" i="6"/>
  <c r="F110" i="6"/>
  <c r="F111" i="6"/>
  <c r="F112" i="6"/>
  <c r="F113" i="6"/>
  <c r="F115" i="6"/>
  <c r="F117" i="6"/>
  <c r="F119" i="6"/>
  <c r="F120" i="6"/>
  <c r="F121" i="6"/>
  <c r="F123" i="6"/>
  <c r="F125" i="6"/>
  <c r="K144" i="6"/>
  <c r="K208" i="6"/>
  <c r="C212" i="6"/>
  <c r="F230" i="6"/>
  <c r="C232" i="6"/>
  <c r="C234" i="6"/>
  <c r="C236" i="6"/>
  <c r="J247" i="6"/>
  <c r="J258" i="6"/>
  <c r="P265" i="6"/>
  <c r="P268" i="6"/>
  <c r="K270" i="6"/>
  <c r="P270" i="6"/>
  <c r="S270" i="6"/>
  <c r="J271" i="6"/>
  <c r="J272" i="6"/>
  <c r="M272" i="6"/>
  <c r="M275" i="6"/>
  <c r="J276" i="6"/>
  <c r="J280" i="6"/>
  <c r="F5" i="8"/>
  <c r="G5" i="8"/>
  <c r="H5" i="8"/>
  <c r="D7" i="8"/>
  <c r="E7" i="8"/>
  <c r="G7" i="8"/>
  <c r="H7" i="8"/>
  <c r="L7" i="8"/>
  <c r="D8" i="8"/>
  <c r="E8" i="8"/>
  <c r="G8" i="8"/>
  <c r="H8" i="8"/>
  <c r="L8" i="8"/>
  <c r="E9" i="8"/>
  <c r="L9" i="8"/>
  <c r="D10" i="8"/>
  <c r="E10" i="8"/>
  <c r="L10" i="8"/>
  <c r="D11" i="8"/>
  <c r="E11" i="8"/>
  <c r="L11" i="8"/>
  <c r="E12" i="8"/>
  <c r="G12" i="8"/>
  <c r="H12" i="8"/>
  <c r="L12" i="8"/>
  <c r="D13" i="8"/>
  <c r="L13" i="8"/>
  <c r="D14" i="8"/>
  <c r="E14" i="8"/>
  <c r="G14" i="8"/>
  <c r="H14" i="8"/>
  <c r="L14" i="8"/>
  <c r="D15" i="8"/>
  <c r="E15" i="8"/>
  <c r="F15" i="8"/>
  <c r="L15" i="8"/>
  <c r="D16" i="8"/>
  <c r="L16" i="8"/>
  <c r="L17" i="8"/>
  <c r="L18" i="8"/>
  <c r="D19" i="8"/>
  <c r="E19" i="8"/>
  <c r="L19" i="8"/>
  <c r="D20" i="8"/>
  <c r="E20" i="8"/>
  <c r="F20" i="8"/>
  <c r="G20" i="8"/>
  <c r="H20" i="8"/>
  <c r="D21" i="8"/>
  <c r="D23" i="8"/>
  <c r="E23" i="8"/>
  <c r="F23" i="8"/>
  <c r="G23" i="8"/>
  <c r="H23" i="8"/>
  <c r="D24" i="8"/>
  <c r="E24" i="8"/>
  <c r="G24" i="8"/>
  <c r="H24" i="8"/>
  <c r="E25" i="8"/>
  <c r="D26" i="8"/>
  <c r="E26" i="8"/>
  <c r="F26" i="8"/>
  <c r="G26" i="8"/>
  <c r="H26" i="8"/>
  <c r="J28" i="8"/>
  <c r="D29" i="8"/>
  <c r="D32" i="8"/>
  <c r="I33" i="8"/>
  <c r="J33" i="8"/>
  <c r="J34" i="8"/>
  <c r="J38" i="8"/>
  <c r="D39" i="8"/>
  <c r="D40" i="8"/>
  <c r="I40" i="8"/>
  <c r="J41" i="8"/>
  <c r="D42" i="8"/>
  <c r="C44" i="8"/>
  <c r="D44" i="8"/>
  <c r="F44" i="8"/>
  <c r="H44" i="8"/>
  <c r="B52" i="8"/>
  <c r="B93" i="8"/>
  <c r="D93" i="8"/>
  <c r="F93" i="8"/>
  <c r="J93" i="8"/>
  <c r="L93" i="8"/>
  <c r="F94" i="8"/>
  <c r="L94" i="8"/>
  <c r="F100" i="8"/>
  <c r="F101" i="8"/>
  <c r="F102" i="8"/>
  <c r="F103" i="8"/>
  <c r="F104" i="8"/>
  <c r="F106" i="8"/>
  <c r="F107" i="8"/>
  <c r="F108" i="8"/>
  <c r="F109" i="8"/>
  <c r="F110" i="8"/>
  <c r="F111" i="8"/>
  <c r="F113" i="8"/>
  <c r="F115" i="8"/>
  <c r="F117" i="8"/>
  <c r="F118" i="8"/>
  <c r="F119" i="8"/>
  <c r="F121" i="8"/>
  <c r="F123" i="8"/>
  <c r="K212" i="8"/>
  <c r="C214" i="8"/>
  <c r="F230" i="8"/>
  <c r="C234" i="8"/>
  <c r="C236" i="8"/>
  <c r="C238" i="8"/>
  <c r="J251" i="8"/>
  <c r="J262" i="8"/>
  <c r="P265" i="8"/>
  <c r="P268" i="8"/>
  <c r="P270" i="8"/>
  <c r="S270" i="8"/>
  <c r="K274" i="8"/>
  <c r="M274" i="8"/>
  <c r="J275" i="8"/>
  <c r="J276" i="8"/>
  <c r="M277" i="8"/>
  <c r="J280" i="8"/>
  <c r="J284" i="8"/>
</calcChain>
</file>

<file path=xl/comments1.xml><?xml version="1.0" encoding="utf-8"?>
<comments xmlns="http://schemas.openxmlformats.org/spreadsheetml/2006/main">
  <authors>
    <author>Daren Farmer</author>
  </authors>
  <commentList>
    <comment ref="F15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6 / day into Midcon
</t>
        </r>
      </text>
    </comment>
    <comment ref="B30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19,500,000 wd month
3,122,152 moved to Feb  11/12
942,798 moved to Feb   11/12
3,000,000 moved to Feb 11/15
As of 12/27 10:00am, total w/d will be 2,000,000
</t>
        </r>
      </text>
    </comment>
    <comment ref="I30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7.5 Forest
10 Mitchell Exchange
20 Aquila
25 Aquila
5 TET
</t>
        </r>
      </text>
    </comment>
    <comment ref="J30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10 EGM
25 EGM
10 Reliant entex
10 Cokinos
</t>
        </r>
      </text>
    </comment>
    <comment ref="J35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-30 Tufco
</t>
        </r>
      </text>
    </comment>
    <comment ref="I37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20 Western
10 Aquila
</t>
        </r>
      </text>
    </comment>
    <comment ref="D39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Contract terminations
</t>
        </r>
      </text>
    </comment>
    <comment ref="J41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15 North Central
</t>
        </r>
      </text>
    </comment>
    <comment ref="I46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7/1/99-1/31/00
</t>
        </r>
      </text>
    </comment>
    <comment ref="C47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11/1/99-3/31/00
</t>
        </r>
      </text>
    </comment>
    <comment ref="I47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1/1/00-12/31/00
</t>
        </r>
      </text>
    </comment>
    <comment ref="C48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1/31/00
</t>
        </r>
      </text>
    </comment>
    <comment ref="I48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4/30/00
</t>
        </r>
      </text>
    </comment>
    <comment ref="I50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3/31/00</t>
        </r>
      </text>
    </comment>
    <comment ref="C52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3/31/00
</t>
        </r>
      </text>
    </comment>
    <comment ref="D56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10,000 can be recalled @ $3.00 if index prints above $3.00
</t>
        </r>
      </text>
    </comment>
    <comment ref="C66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3/31/00
</t>
        </r>
      </text>
    </comment>
  </commentList>
</comments>
</file>

<file path=xl/comments2.xml><?xml version="1.0" encoding="utf-8"?>
<comments xmlns="http://schemas.openxmlformats.org/spreadsheetml/2006/main">
  <authors>
    <author>Daren Farmer</author>
  </authors>
  <commentList>
    <comment ref="F15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6 / day into Midcon
</t>
        </r>
      </text>
    </comment>
    <comment ref="I33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7.5 Forest
10 Mitchell Exchange
20 Aquila
25 Aquila
5 TET
</t>
        </r>
      </text>
    </comment>
    <comment ref="J33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10 EGM
25 EGM
10 Reliant entex
10 Cokinos
</t>
        </r>
      </text>
    </comment>
    <comment ref="J38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-30 Tufco
</t>
        </r>
      </text>
    </comment>
    <comment ref="I40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20 Western
10 Aquila
</t>
        </r>
      </text>
    </comment>
    <comment ref="D42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Contract terminations
</t>
        </r>
      </text>
    </comment>
    <comment ref="J44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15 North Central
</t>
        </r>
      </text>
    </comment>
    <comment ref="I49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7/1/99-1/31/00
</t>
        </r>
      </text>
    </comment>
    <comment ref="C50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11/1/99-3/31/00
</t>
        </r>
      </text>
    </comment>
    <comment ref="I50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1/1/00-12/31/00
</t>
        </r>
      </text>
    </comment>
    <comment ref="I51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4/30/00
</t>
        </r>
      </text>
    </comment>
    <comment ref="I53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3/31/00</t>
        </r>
      </text>
    </comment>
    <comment ref="C55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3/31/00
</t>
        </r>
      </text>
    </comment>
    <comment ref="D59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10,000 can be recalled @ $3.00 if index prints above $3.00
</t>
        </r>
      </text>
    </comment>
    <comment ref="C69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3/31/00
</t>
        </r>
      </text>
    </comment>
  </commentList>
</comments>
</file>

<file path=xl/comments3.xml><?xml version="1.0" encoding="utf-8"?>
<comments xmlns="http://schemas.openxmlformats.org/spreadsheetml/2006/main">
  <authors>
    <author>Daren Farmer</author>
  </authors>
  <commentList>
    <comment ref="I33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7.5 Forest
0 Mitchell Exchange
20 Aquila
10Aquila
5 Western
5 Texaco
5 Western
5 Texaco
5 TET</t>
        </r>
      </text>
    </comment>
    <comment ref="J33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10 Reliant Entex
25 EGM
10 EGM
10 Reliant entex
5 City of Garland
5 Entex
10 Western
15 Cokinos
10 Reliant Entex
</t>
        </r>
      </text>
    </comment>
    <comment ref="J38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-30 Tufco
10 Richardson
10 Burlington
</t>
        </r>
      </text>
    </comment>
    <comment ref="I40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20 Western
20 Aquila
</t>
        </r>
      </text>
    </comment>
    <comment ref="D42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Contract terminations
</t>
        </r>
      </text>
    </comment>
    <comment ref="J44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15 North Central
</t>
        </r>
      </text>
    </comment>
    <comment ref="C48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3/31/00</t>
        </r>
      </text>
    </comment>
    <comment ref="I48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11/30/00
</t>
        </r>
      </text>
    </comment>
    <comment ref="C49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11/1/99-3/31/00
</t>
        </r>
      </text>
    </comment>
    <comment ref="I49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2/1/00-1/31/01
</t>
        </r>
      </text>
    </comment>
    <comment ref="C50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3/31/00
</t>
        </r>
      </text>
    </comment>
    <comment ref="I50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1/1/00-12/31/00
</t>
        </r>
      </text>
    </comment>
    <comment ref="C51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1/00-2/29/00
</t>
        </r>
      </text>
    </comment>
    <comment ref="E51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3/31/00
</t>
        </r>
      </text>
    </comment>
    <comment ref="I51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4/30/00
</t>
        </r>
      </text>
    </comment>
    <comment ref="D52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10,000 can be recalled @ $3.00 if index prints above $3.00
</t>
        </r>
      </text>
    </comment>
    <comment ref="I53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3/31/00</t>
        </r>
      </text>
    </comment>
    <comment ref="C78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3/31/00
</t>
        </r>
      </text>
    </comment>
  </commentList>
</comments>
</file>

<file path=xl/comments4.xml><?xml version="1.0" encoding="utf-8"?>
<comments xmlns="http://schemas.openxmlformats.org/spreadsheetml/2006/main">
  <authors>
    <author>Daren Farmer</author>
  </authors>
  <commentList>
    <comment ref="I33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7.5 Forest
0 Mitchell Exchange
20 Aquila
10Aquila
5 Western
5 Texaco
5 Western
5 Texaco
5 TET</t>
        </r>
      </text>
    </comment>
    <comment ref="J33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10 Reliant Entex
25 EGM
10 EGM
10 Reliant entex
5 City of Garland
5 Entex
10 Western
15 Cokinos
10 Reliant Entex
</t>
        </r>
      </text>
    </comment>
    <comment ref="J38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-30 Tufco
10 Richardson
10 Burlington
</t>
        </r>
      </text>
    </comment>
    <comment ref="I40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20 Western
20 Aquila
</t>
        </r>
      </text>
    </comment>
    <comment ref="D42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Contract terminations
</t>
        </r>
      </text>
    </comment>
    <comment ref="J44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15 North Central
</t>
        </r>
      </text>
    </comment>
    <comment ref="C48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3/31/00</t>
        </r>
      </text>
    </comment>
    <comment ref="I48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11/30/00
</t>
        </r>
      </text>
    </comment>
    <comment ref="C49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11/1/99-3/31/00
</t>
        </r>
      </text>
    </comment>
    <comment ref="I49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2/1/00-1/31/01
</t>
        </r>
      </text>
    </comment>
    <comment ref="C50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3/31/00
</t>
        </r>
      </text>
    </comment>
    <comment ref="I50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1/1/00-12/31/00
</t>
        </r>
      </text>
    </comment>
    <comment ref="C51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1/00-2/29/00
</t>
        </r>
      </text>
    </comment>
    <comment ref="E51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3/31/00
</t>
        </r>
      </text>
    </comment>
    <comment ref="I51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3/31/00
</t>
        </r>
      </text>
    </comment>
    <comment ref="D52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10,000 can be recalled @ $3.00 if index prints above $3.00
</t>
        </r>
      </text>
    </comment>
    <comment ref="I53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3/31/00</t>
        </r>
      </text>
    </comment>
    <comment ref="C64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3/31/00
</t>
        </r>
      </text>
    </comment>
  </commentList>
</comments>
</file>

<file path=xl/comments5.xml><?xml version="1.0" encoding="utf-8"?>
<comments xmlns="http://schemas.openxmlformats.org/spreadsheetml/2006/main">
  <authors>
    <author>Daren Farmer</author>
  </authors>
  <commentList>
    <comment ref="I33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7.5 Forest
0 Mitchell Exchange
20 Aquila
10Aquila
5 Western
5 Texaco
5 Western
5 Texaco
5 TET</t>
        </r>
      </text>
    </comment>
    <comment ref="J33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10 Reliant Entex
25 EGM
10 EGM
10 Reliant entex
5 City of Garland
5 Entex
10 Western
15 Cokinos
10 Reliant Entex
</t>
        </r>
      </text>
    </comment>
    <comment ref="J38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-30 Tufco
10 Richardson
10 Burlington
</t>
        </r>
      </text>
    </comment>
    <comment ref="I40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20 Western
20 Aquila
</t>
        </r>
      </text>
    </comment>
    <comment ref="D42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Contract terminations
</t>
        </r>
      </text>
    </comment>
    <comment ref="J44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15 North Central
</t>
        </r>
      </text>
    </comment>
    <comment ref="C48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3/31/00</t>
        </r>
      </text>
    </comment>
    <comment ref="I48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11/30/00
</t>
        </r>
      </text>
    </comment>
    <comment ref="C49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11/1/99-3/31/00
</t>
        </r>
      </text>
    </comment>
    <comment ref="I49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2/1/00-1/31/01
</t>
        </r>
      </text>
    </comment>
    <comment ref="C50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3/31/00
</t>
        </r>
      </text>
    </comment>
    <comment ref="I50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1/1/00-12/31/00
</t>
        </r>
      </text>
    </comment>
    <comment ref="C51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1/00-2/29/00
</t>
        </r>
      </text>
    </comment>
    <comment ref="I51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3/31/00
</t>
        </r>
      </text>
    </comment>
    <comment ref="D52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10,000 can be recalled @ $3.00 if index prints above $3.00
</t>
        </r>
      </text>
    </comment>
    <comment ref="I53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3/31/00</t>
        </r>
      </text>
    </comment>
    <comment ref="C64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3/31/00
</t>
        </r>
      </text>
    </comment>
  </commentList>
</comments>
</file>

<file path=xl/comments6.xml><?xml version="1.0" encoding="utf-8"?>
<comments xmlns="http://schemas.openxmlformats.org/spreadsheetml/2006/main">
  <authors>
    <author>Daren Farmer</author>
  </authors>
  <commentList>
    <comment ref="I33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7.5 Forest Term
20Aquila Term
10 KN Base
20 Aquila Base
15 Mitchell
</t>
        </r>
      </text>
    </comment>
    <comment ref="J33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55 EGM
30 Aquila EOL
</t>
        </r>
      </text>
    </comment>
    <comment ref="J38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-30 Tufco
25 Richardson
10 Burlington
20 Duke
10 Duke</t>
        </r>
      </text>
    </comment>
    <comment ref="I40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20 Western
20 Aquila
25 Louis Dreyfus
30 Duke</t>
        </r>
      </text>
    </comment>
    <comment ref="J44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15 North Central
</t>
        </r>
      </text>
    </comment>
    <comment ref="C48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3/31/00</t>
        </r>
      </text>
    </comment>
    <comment ref="I48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11/30/00
</t>
        </r>
      </text>
    </comment>
    <comment ref="C49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11/1/99-3/31/00
</t>
        </r>
      </text>
    </comment>
    <comment ref="I49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2/1/00-1/31/01
</t>
        </r>
      </text>
    </comment>
    <comment ref="C50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3/31/00
</t>
        </r>
      </text>
    </comment>
    <comment ref="I50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1/1/00-12/31/00
</t>
        </r>
      </text>
    </comment>
    <comment ref="I51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3/31/00
</t>
        </r>
      </text>
    </comment>
    <comment ref="C85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3/31/00
</t>
        </r>
      </text>
    </comment>
  </commentList>
</comments>
</file>

<file path=xl/comments7.xml><?xml version="1.0" encoding="utf-8"?>
<comments xmlns="http://schemas.openxmlformats.org/spreadsheetml/2006/main">
  <authors>
    <author>Daren Farmer</author>
  </authors>
  <commentList>
    <comment ref="I33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7.5 Forest Term
20Aquila Term
5 TET
</t>
        </r>
      </text>
    </comment>
    <comment ref="J33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20 EGM
5 Aquila EOL
5 Aquila EOL
5 Aquila EOL
5 Western EOL</t>
        </r>
      </text>
    </comment>
    <comment ref="J38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-30 Tufco
5 Burlington
10 Burlington</t>
        </r>
      </text>
    </comment>
    <comment ref="I40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20 Western
10  E-prime
20 Aquila
20 Aquila
10 Encore</t>
        </r>
      </text>
    </comment>
    <comment ref="D42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+10 Los Mogotes
-3.543 GSF Energy
+5.174 Unocal (Vance nom'd 1)</t>
        </r>
      </text>
    </comment>
    <comment ref="J44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15 North Central
</t>
        </r>
      </text>
    </comment>
    <comment ref="C48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11/1/99-3/31/00
</t>
        </r>
      </text>
    </comment>
    <comment ref="I48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11/30/00
</t>
        </r>
      </text>
    </comment>
    <comment ref="C49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4/1/00-10/31/00
</t>
        </r>
      </text>
    </comment>
    <comment ref="I49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2/1/00-1/31/01
</t>
        </r>
      </text>
    </comment>
    <comment ref="I50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4/1/00-10/31/00</t>
        </r>
      </text>
    </comment>
    <comment ref="I51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1/1/00-12/31/00
</t>
        </r>
      </text>
    </comment>
    <comment ref="E52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Put into Sitara 01/99</t>
        </r>
      </text>
    </comment>
    <comment ref="I53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4/1/00-10/31/00</t>
        </r>
      </text>
    </comment>
    <comment ref="I59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12/1/99-10/31/00</t>
        </r>
      </text>
    </comment>
  </commentList>
</comments>
</file>

<file path=xl/comments8.xml><?xml version="1.0" encoding="utf-8"?>
<comments xmlns="http://schemas.openxmlformats.org/spreadsheetml/2006/main">
  <authors>
    <author>Daren Farmer</author>
  </authors>
  <commentList>
    <comment ref="J28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10 R Lacy
88.340 CES
-20 Koch swap
</t>
        </r>
      </text>
    </comment>
    <comment ref="E33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#94058
</t>
        </r>
      </text>
    </comment>
    <comment ref="I33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</t>
        </r>
        <r>
          <rPr>
            <sz val="8"/>
            <color indexed="10"/>
            <rFont val="Tahoma"/>
            <family val="2"/>
          </rPr>
          <t xml:space="preserve">7.5 Forest Term
20Aquila Term
15 Aquila Base
15 Aquila Base
15  KN
5 TET
5 TET
</t>
        </r>
      </text>
    </comment>
    <comment ref="J33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</t>
        </r>
        <r>
          <rPr>
            <sz val="8"/>
            <color indexed="10"/>
            <rFont val="Tahoma"/>
            <family val="2"/>
          </rPr>
          <t>15 EGM</t>
        </r>
        <r>
          <rPr>
            <sz val="8"/>
            <color indexed="81"/>
            <rFont val="Tahoma"/>
          </rPr>
          <t xml:space="preserve">
15 Texaco Base
15  El Paso 
</t>
        </r>
      </text>
    </comment>
    <comment ref="E34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92880
</t>
        </r>
      </text>
    </comment>
    <comment ref="E35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125038
</t>
        </r>
      </text>
    </comment>
    <comment ref="E36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92827
</t>
        </r>
      </text>
    </comment>
    <comment ref="I38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5 E-Prime
</t>
        </r>
      </text>
    </comment>
    <comment ref="J38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-30 Tufco
20 Richardson
10 Burlington
</t>
        </r>
      </text>
    </comment>
    <comment ref="I40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20 Western
</t>
        </r>
        <r>
          <rPr>
            <sz val="8"/>
            <color indexed="10"/>
            <rFont val="Tahoma"/>
            <family val="2"/>
          </rPr>
          <t>10  E-prime Term
10 E-Prime Base
20 Aquila
20 Aquila</t>
        </r>
        <r>
          <rPr>
            <sz val="8"/>
            <color indexed="81"/>
            <rFont val="Tahoma"/>
          </rPr>
          <t xml:space="preserve">
</t>
        </r>
        <r>
          <rPr>
            <sz val="8"/>
            <color indexed="10"/>
            <rFont val="Tahoma"/>
            <family val="2"/>
          </rPr>
          <t>10 Encore 
25 E-Prime 
(15) Reliant Oasis Midcon</t>
        </r>
      </text>
    </comment>
    <comment ref="D42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+10 Los Mogotes
-3.543 GSF Energy
+5.174 Unocal (Vance nom'd 1)</t>
        </r>
      </text>
    </comment>
    <comment ref="J44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15 North Central
</t>
        </r>
      </text>
    </comment>
    <comment ref="C48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4/1/00-10/31/00
</t>
        </r>
      </text>
    </comment>
    <comment ref="I48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11/30/00
</t>
        </r>
      </text>
    </comment>
    <comment ref="I49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4/1/00-3/31/02
</t>
        </r>
      </text>
    </comment>
    <comment ref="C50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5/1/00-10/31/00
</t>
        </r>
      </text>
    </comment>
    <comment ref="I50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2/1/00-1/31/01
</t>
        </r>
      </text>
    </comment>
    <comment ref="I51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4/1/00-10/31/00</t>
        </r>
      </text>
    </comment>
    <comment ref="I52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1/1/00-12/31/00
</t>
        </r>
      </text>
    </comment>
    <comment ref="I53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4/1/00-10/31/00
</t>
        </r>
      </text>
    </comment>
    <comment ref="I54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4/1/00-10/31/00
</t>
        </r>
      </text>
    </comment>
    <comment ref="I55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4/1/00-10/31/00</t>
        </r>
      </text>
    </comment>
    <comment ref="I59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4/1/00-10/31/00
</t>
        </r>
      </text>
    </comment>
    <comment ref="I60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12/1/99-10/31/00</t>
        </r>
      </text>
    </comment>
  </commentList>
</comments>
</file>

<file path=xl/comments9.xml><?xml version="1.0" encoding="utf-8"?>
<comments xmlns="http://schemas.openxmlformats.org/spreadsheetml/2006/main">
  <authors>
    <author>Daren Farmer</author>
  </authors>
  <commentList>
    <comment ref="D9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10,000 5/1-9/30 ENA</t>
        </r>
      </text>
    </comment>
    <comment ref="J28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10 R Lacy
88.340 CES
</t>
        </r>
      </text>
    </comment>
    <comment ref="I33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</t>
        </r>
        <r>
          <rPr>
            <sz val="8"/>
            <color indexed="10"/>
            <rFont val="Tahoma"/>
            <family val="2"/>
          </rPr>
          <t>7.5 Forest Term
20Aquila Term
5 Aquila Term
5 Aquila Term
10 Oneok Term
20 Mitchell
10 TET
25 Pan E Exch
-20 American Central</t>
        </r>
      </text>
    </comment>
    <comment ref="J33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5 Oneok
5 Oneok
2 TET
5 Oneok
10 Alltrade
5 Aquila
5 Cokinos
</t>
        </r>
      </text>
    </comment>
    <comment ref="E34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157572  10,000
165369  10,000
</t>
        </r>
      </text>
    </comment>
    <comment ref="I38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</t>
        </r>
      </text>
    </comment>
    <comment ref="J38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-30 Tufco
10 Richardson
</t>
        </r>
      </text>
    </comment>
    <comment ref="I40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20 Western
</t>
        </r>
        <r>
          <rPr>
            <sz val="8"/>
            <color indexed="10"/>
            <rFont val="Tahoma"/>
            <family val="2"/>
          </rPr>
          <t>20 Aquila
10 E-Prime
20 Aquila</t>
        </r>
        <r>
          <rPr>
            <sz val="8"/>
            <color indexed="81"/>
            <rFont val="Tahoma"/>
          </rPr>
          <t xml:space="preserve">
</t>
        </r>
        <r>
          <rPr>
            <sz val="8"/>
            <color indexed="10"/>
            <rFont val="Tahoma"/>
            <family val="2"/>
          </rPr>
          <t>10 Encore 
5 Tenaska</t>
        </r>
      </text>
    </comment>
    <comment ref="D42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-51.927+42.8 Adj for Coastal
+9 Unocal (Vance nom'd 5)
+4  Saxet
</t>
        </r>
      </text>
    </comment>
    <comment ref="J44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15 North Central
</t>
        </r>
      </text>
    </comment>
    <comment ref="C48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6/1-7/31/00
</t>
        </r>
      </text>
    </comment>
    <comment ref="I48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11/30/00
</t>
        </r>
      </text>
    </comment>
    <comment ref="C49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5/1/00-10/31/00
</t>
        </r>
      </text>
    </comment>
    <comment ref="I49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4/1/00-3/31/02
</t>
        </r>
      </text>
    </comment>
    <comment ref="C50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4/1/00-10/31/00
</t>
        </r>
      </text>
    </comment>
    <comment ref="I50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2/1/00-1/31/01
</t>
        </r>
      </text>
    </comment>
    <comment ref="C51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6/1-5/31/01  ENA
</t>
        </r>
      </text>
    </comment>
    <comment ref="I51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4/1/00-10/31/00</t>
        </r>
      </text>
    </comment>
    <comment ref="C52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6/1/00-10/31/00
</t>
        </r>
      </text>
    </comment>
    <comment ref="I52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1/1/00-12/31/00
</t>
        </r>
      </text>
    </comment>
    <comment ref="D53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6/1/00-11/30/00  ENA
</t>
        </r>
      </text>
    </comment>
    <comment ref="I53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5/1/00-10/31/00
</t>
        </r>
      </text>
    </comment>
    <comment ref="C54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6/1/00-10/31/00
</t>
        </r>
      </text>
    </comment>
    <comment ref="I54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6/1/00-10/31/00
</t>
        </r>
      </text>
    </comment>
    <comment ref="C55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6/1/00-5/31/01
</t>
        </r>
      </text>
    </comment>
    <comment ref="I56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4/1/00-10/31/00
</t>
        </r>
      </text>
    </comment>
    <comment ref="I57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4/1/00-10/31/00
</t>
        </r>
      </text>
    </comment>
    <comment ref="I58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4/1/00-10/31/00</t>
        </r>
      </text>
    </comment>
    <comment ref="I61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6/1/00-10/31/00
</t>
        </r>
      </text>
    </comment>
    <comment ref="I63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4/1/00-10/31/00
</t>
        </r>
      </text>
    </comment>
    <comment ref="I64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12/1/99-10/31/00</t>
        </r>
      </text>
    </comment>
  </commentList>
</comments>
</file>

<file path=xl/sharedStrings.xml><?xml version="1.0" encoding="utf-8"?>
<sst xmlns="http://schemas.openxmlformats.org/spreadsheetml/2006/main" count="4118" uniqueCount="542">
  <si>
    <t>December</t>
  </si>
  <si>
    <t>PLAN</t>
  </si>
  <si>
    <t>PEAK</t>
  </si>
  <si>
    <t>LOW</t>
  </si>
  <si>
    <t>Large Industrials</t>
  </si>
  <si>
    <t>INDUSTRIALS</t>
  </si>
  <si>
    <t>Air Products</t>
  </si>
  <si>
    <t>Alcoa</t>
  </si>
  <si>
    <t xml:space="preserve">CP&amp;L </t>
  </si>
  <si>
    <t>Beau Meth</t>
  </si>
  <si>
    <t xml:space="preserve">HL&amp;P </t>
  </si>
  <si>
    <t>Brandywine</t>
  </si>
  <si>
    <t>Crown Cent</t>
  </si>
  <si>
    <t>SHELL</t>
  </si>
  <si>
    <t>Equistar</t>
  </si>
  <si>
    <t>TUFCO</t>
  </si>
  <si>
    <t>Enron Meth</t>
  </si>
  <si>
    <t>MISC ELEC &amp; LDC'S</t>
  </si>
  <si>
    <t>Formosa</t>
  </si>
  <si>
    <t xml:space="preserve">ENTEX </t>
  </si>
  <si>
    <t>Lyondell Cit</t>
  </si>
  <si>
    <t>Base &amp; Spot Sales</t>
  </si>
  <si>
    <t>Qualitech</t>
  </si>
  <si>
    <t>TOTAL SALES</t>
  </si>
  <si>
    <t xml:space="preserve">Sterling </t>
  </si>
  <si>
    <t>STORAGE</t>
  </si>
  <si>
    <t>Temple Inland</t>
  </si>
  <si>
    <t>SWIFT SHRINKAGE</t>
  </si>
  <si>
    <t>Valero  **</t>
  </si>
  <si>
    <t>Total Required</t>
  </si>
  <si>
    <t xml:space="preserve">BASE SUPPLY </t>
  </si>
  <si>
    <t>Physical Inj/(WD)</t>
  </si>
  <si>
    <t>Gas Daily</t>
  </si>
  <si>
    <t>Net Position</t>
  </si>
  <si>
    <t>Storage</t>
  </si>
  <si>
    <t>TERMINATED DEALS</t>
  </si>
  <si>
    <t>Katy Tailgate</t>
  </si>
  <si>
    <t>STORAGE INJECT / (WITHDRAW)</t>
  </si>
  <si>
    <t>Sales</t>
  </si>
  <si>
    <t>Purchases</t>
  </si>
  <si>
    <t>Buy</t>
  </si>
  <si>
    <t>Sell</t>
  </si>
  <si>
    <t xml:space="preserve">   Bammel</t>
  </si>
  <si>
    <t>/ month</t>
  </si>
  <si>
    <t xml:space="preserve">   Centana</t>
  </si>
  <si>
    <t>NET  TG</t>
  </si>
  <si>
    <t>Overall Katy</t>
  </si>
  <si>
    <t>Supply</t>
  </si>
  <si>
    <t>WGR</t>
  </si>
  <si>
    <t>LS</t>
  </si>
  <si>
    <t>BASE SUPPLY</t>
  </si>
  <si>
    <t>Oasis</t>
  </si>
  <si>
    <t>Teco</t>
  </si>
  <si>
    <t>BASELOAD PURCHASES</t>
  </si>
  <si>
    <t>PLUS EOG &amp; ZILKA GASBANK BTB</t>
  </si>
  <si>
    <t>TOT</t>
  </si>
  <si>
    <t>HPLC NET SUPPLY- est</t>
  </si>
  <si>
    <t>Valero Texoma</t>
  </si>
  <si>
    <t>Base Supply for</t>
  </si>
  <si>
    <t xml:space="preserve">    TOTAL</t>
  </si>
  <si>
    <t>SALES</t>
  </si>
  <si>
    <t>SUPPLY</t>
  </si>
  <si>
    <t>Possible Producer Serv</t>
  </si>
  <si>
    <t>Electrics/LDCs</t>
  </si>
  <si>
    <t>Term</t>
  </si>
  <si>
    <t>Base</t>
  </si>
  <si>
    <t>Dallas</t>
  </si>
  <si>
    <t>Air Liquide</t>
  </si>
  <si>
    <t>Amoco</t>
  </si>
  <si>
    <t>City of Brazoria</t>
  </si>
  <si>
    <t>Cerrito</t>
  </si>
  <si>
    <t>Aquila / OK</t>
  </si>
  <si>
    <t xml:space="preserve">D&amp;H Gas </t>
  </si>
  <si>
    <t>Entex Gas Mkt</t>
  </si>
  <si>
    <t>Entex Gas Mktg</t>
  </si>
  <si>
    <t>Aquila / TG</t>
  </si>
  <si>
    <t>Gulf Gas Util</t>
  </si>
  <si>
    <t>Exxon Chem</t>
  </si>
  <si>
    <t>Coral</t>
  </si>
  <si>
    <t>Markham</t>
  </si>
  <si>
    <t>Reliant Entex</t>
  </si>
  <si>
    <t>Koch</t>
  </si>
  <si>
    <t>Cornerstone</t>
  </si>
  <si>
    <t>Mercado</t>
  </si>
  <si>
    <t>Solutia</t>
  </si>
  <si>
    <t>Southern Union</t>
  </si>
  <si>
    <t>Phillips</t>
  </si>
  <si>
    <t>Goldston/Tex</t>
  </si>
  <si>
    <t>Hess</t>
  </si>
  <si>
    <t>Titan Tire</t>
  </si>
  <si>
    <t>North Central</t>
  </si>
  <si>
    <t>PG&amp;E</t>
  </si>
  <si>
    <t>Petrofina</t>
  </si>
  <si>
    <t>Shell Western</t>
  </si>
  <si>
    <t>Swift</t>
  </si>
  <si>
    <t>Western</t>
  </si>
  <si>
    <t>Wagner Brown</t>
  </si>
  <si>
    <t>Aquila</t>
  </si>
  <si>
    <t>Waha</t>
  </si>
  <si>
    <t>Empire</t>
  </si>
  <si>
    <t>Dynegy</t>
  </si>
  <si>
    <t>TXU</t>
  </si>
  <si>
    <t>Texaco</t>
  </si>
  <si>
    <t>SUBTOTAL</t>
  </si>
  <si>
    <t>TOTAL</t>
  </si>
  <si>
    <t>SUMMER PRICE</t>
  </si>
  <si>
    <t>ZONE</t>
  </si>
  <si>
    <t>COMPRESSOR</t>
  </si>
  <si>
    <t>THRUPUT FUEL %</t>
  </si>
  <si>
    <t>% GAS THRUPUT</t>
  </si>
  <si>
    <t>CALC FUEL %</t>
  </si>
  <si>
    <t>$/MMBTU @</t>
  </si>
  <si>
    <t>EDNA</t>
  </si>
  <si>
    <t>NEEDVILLE</t>
  </si>
  <si>
    <t>MANVEL</t>
  </si>
  <si>
    <t>VICTORIA</t>
  </si>
  <si>
    <t>MISSION VALLEY</t>
  </si>
  <si>
    <t>SOUTH TX</t>
  </si>
  <si>
    <t>THOMPSONVILLE</t>
  </si>
  <si>
    <t>NUECES</t>
  </si>
  <si>
    <t>ODEM</t>
  </si>
  <si>
    <t>ENCINAL</t>
  </si>
  <si>
    <t>TOTAL DOWNSTREAM OF THOMPSONVILLE</t>
  </si>
  <si>
    <t>TOTAL UPSTREAM OF THOMPSONVILLE</t>
  </si>
  <si>
    <t>ROBSTOWN</t>
  </si>
  <si>
    <t>CORPUS</t>
  </si>
  <si>
    <t>GREGORY</t>
  </si>
  <si>
    <t>A/S SOUTH</t>
  </si>
  <si>
    <t>STA 800</t>
  </si>
  <si>
    <t>AGUA DULCE (INCLUDED IN ROBSTOWN)</t>
  </si>
  <si>
    <t>STA 806</t>
  </si>
  <si>
    <t>PORT LAVACA</t>
  </si>
  <si>
    <t>STA 809</t>
  </si>
  <si>
    <t>BAY CITY</t>
  </si>
  <si>
    <t>A/S SHIP CHANNEL</t>
  </si>
  <si>
    <t>STA 812</t>
  </si>
  <si>
    <t>SHIP CHANNEL</t>
  </si>
  <si>
    <t>A/S EAST</t>
  </si>
  <si>
    <t>STA 816</t>
  </si>
  <si>
    <t>SABINE</t>
  </si>
  <si>
    <t>Industrials</t>
  </si>
  <si>
    <t>Oct</t>
  </si>
  <si>
    <t>sale</t>
  </si>
  <si>
    <t>Co 016</t>
  </si>
  <si>
    <t>Corpus Christi</t>
  </si>
  <si>
    <t>Ace</t>
  </si>
  <si>
    <t>central desk</t>
  </si>
  <si>
    <t>Merit</t>
  </si>
  <si>
    <t>Amerada Hess</t>
  </si>
  <si>
    <t>Exxon</t>
  </si>
  <si>
    <t>Praxair</t>
  </si>
  <si>
    <t>hplr</t>
  </si>
  <si>
    <t>Union Carbide</t>
  </si>
  <si>
    <t>lamay</t>
  </si>
  <si>
    <t>Co 078</t>
  </si>
  <si>
    <t>Engineered Carbons</t>
  </si>
  <si>
    <t>Blackstone</t>
  </si>
  <si>
    <t>pioneer</t>
  </si>
  <si>
    <t>Buyback</t>
  </si>
  <si>
    <t>Cactus-swift</t>
  </si>
  <si>
    <t>Schenectady</t>
  </si>
  <si>
    <t>Cima</t>
  </si>
  <si>
    <t>Co 012</t>
  </si>
  <si>
    <t>Advanced Aromatics</t>
  </si>
  <si>
    <t>cokinos/6835</t>
  </si>
  <si>
    <t>cokinos/4286</t>
  </si>
  <si>
    <t>cokinos/9676</t>
  </si>
  <si>
    <t>Amoco chem</t>
  </si>
  <si>
    <t>cokinos</t>
  </si>
  <si>
    <t>Aristech</t>
  </si>
  <si>
    <t>conoco</t>
  </si>
  <si>
    <t>BASF</t>
  </si>
  <si>
    <t>coral</t>
  </si>
  <si>
    <t>Beaum Meth</t>
  </si>
  <si>
    <t>cox&amp;perkins exploration</t>
  </si>
  <si>
    <t>BP</t>
  </si>
  <si>
    <t>crosstex</t>
  </si>
  <si>
    <t xml:space="preserve">dale </t>
  </si>
  <si>
    <t>Calgon</t>
  </si>
  <si>
    <t>dallas</t>
  </si>
  <si>
    <t>Chemicals</t>
  </si>
  <si>
    <t>Chevron</t>
  </si>
  <si>
    <t>embassy</t>
  </si>
  <si>
    <t>Chusei</t>
  </si>
  <si>
    <t>encina/6392</t>
  </si>
  <si>
    <t>&lt;-------------</t>
  </si>
  <si>
    <t>Cgen Lyon</t>
  </si>
  <si>
    <t>Crown Central</t>
  </si>
  <si>
    <t>Fischer</t>
  </si>
  <si>
    <t>Diamond Shamrock</t>
  </si>
  <si>
    <t>forest/4132</t>
  </si>
  <si>
    <t>Dianal</t>
  </si>
  <si>
    <t>four sq</t>
  </si>
  <si>
    <t>9705,6599,6844,1560</t>
  </si>
  <si>
    <t>Dixie</t>
  </si>
  <si>
    <t>freeman/3405</t>
  </si>
  <si>
    <t>Dresser</t>
  </si>
  <si>
    <t>GSF</t>
  </si>
  <si>
    <t>Duke Energy Field</t>
  </si>
  <si>
    <t>Highland Energy</t>
  </si>
  <si>
    <t>hilcorp energy LP</t>
  </si>
  <si>
    <t>EGP Fuels</t>
  </si>
  <si>
    <t>Loius Dreyfuw</t>
  </si>
  <si>
    <t>Enichem</t>
  </si>
  <si>
    <t>mcbee</t>
  </si>
  <si>
    <t>midcoast</t>
  </si>
  <si>
    <t>pan grande</t>
  </si>
  <si>
    <t>6673,6674</t>
  </si>
  <si>
    <t>Eurecat</t>
  </si>
  <si>
    <t>Pecos</t>
  </si>
  <si>
    <t>Exxon chem</t>
  </si>
  <si>
    <t>phillips</t>
  </si>
  <si>
    <t>In Prod serv nom.</t>
  </si>
  <si>
    <t>pioneer/5310</t>
  </si>
  <si>
    <t>Geon</t>
  </si>
  <si>
    <t>5767,6675</t>
  </si>
  <si>
    <t>Global Octanes</t>
  </si>
  <si>
    <t>pioneer res/6534</t>
  </si>
  <si>
    <t>Griffin</t>
  </si>
  <si>
    <t>pioneer res/6614</t>
  </si>
  <si>
    <t>Haldor Topsoe</t>
  </si>
  <si>
    <t>Primeenergy</t>
  </si>
  <si>
    <t>Hampshire</t>
  </si>
  <si>
    <t>REH/5310</t>
  </si>
  <si>
    <t>royal</t>
  </si>
  <si>
    <t>Kaneka</t>
  </si>
  <si>
    <t>Seagull/1713</t>
  </si>
  <si>
    <t>Lonza</t>
  </si>
  <si>
    <t>Seagull/6387</t>
  </si>
  <si>
    <t>Lousiana-Pacific</t>
  </si>
  <si>
    <t>Seagull Mktg/4132</t>
  </si>
  <si>
    <t>Lubrizol</t>
  </si>
  <si>
    <t>Seagull Mktg/2356</t>
  </si>
  <si>
    <t>Lyon-Citgo</t>
  </si>
  <si>
    <t>Seagull Mktg/990</t>
  </si>
  <si>
    <t>Marathon Ashland</t>
  </si>
  <si>
    <t>Shoreline/7211</t>
  </si>
  <si>
    <t>McNic</t>
  </si>
  <si>
    <t>Shoreline/6722</t>
  </si>
  <si>
    <t>Mobil Chem</t>
  </si>
  <si>
    <t>Sonat/308</t>
  </si>
  <si>
    <t>Nisseki</t>
  </si>
  <si>
    <t>STB</t>
  </si>
  <si>
    <t>Nova Molecular</t>
  </si>
  <si>
    <t>Texlan</t>
  </si>
  <si>
    <t>The Houston Exploration</t>
  </si>
  <si>
    <t>Roche</t>
  </si>
  <si>
    <t>United Minerals</t>
  </si>
  <si>
    <t>Rhom and Haas</t>
  </si>
  <si>
    <t>Upstream</t>
  </si>
  <si>
    <t>4548,5155,6763</t>
  </si>
  <si>
    <t>San Jacinto Industrial</t>
  </si>
  <si>
    <t>Valence/4132</t>
  </si>
  <si>
    <t>Shell Chem</t>
  </si>
  <si>
    <t>Vintage</t>
  </si>
  <si>
    <t>Vintage PL</t>
  </si>
  <si>
    <t>Solvay</t>
  </si>
  <si>
    <t>Southern Ionics</t>
  </si>
  <si>
    <t>Sterling</t>
  </si>
  <si>
    <t>Western Gulf</t>
  </si>
  <si>
    <t>yates</t>
  </si>
  <si>
    <t>Texas Industries</t>
  </si>
  <si>
    <t>United Salt</t>
  </si>
  <si>
    <t xml:space="preserve">Valero </t>
  </si>
  <si>
    <t>Velsicol</t>
  </si>
  <si>
    <t>Wyman Gordan</t>
  </si>
  <si>
    <t>Zeneca</t>
  </si>
  <si>
    <t>Occidental</t>
  </si>
  <si>
    <t>Rhodia</t>
  </si>
  <si>
    <t>Re-negotiating</t>
  </si>
  <si>
    <t>Rhone Poulenc</t>
  </si>
  <si>
    <t>Beam Meth</t>
  </si>
  <si>
    <t>gd</t>
  </si>
  <si>
    <t>10 gd</t>
  </si>
  <si>
    <t>Adjustments</t>
  </si>
  <si>
    <t xml:space="preserve">Marathon </t>
  </si>
  <si>
    <t>5 gd</t>
  </si>
  <si>
    <t>Valero</t>
  </si>
  <si>
    <t>Total Adjustments</t>
  </si>
  <si>
    <t>Base Supply</t>
  </si>
  <si>
    <t>HPLC Base</t>
  </si>
  <si>
    <t>Unify</t>
  </si>
  <si>
    <t>Unocal</t>
  </si>
  <si>
    <t>Cliffwood</t>
  </si>
  <si>
    <t>Coastal</t>
  </si>
  <si>
    <t>Saxet</t>
  </si>
  <si>
    <t>O'conner&amp;Hewwitt</t>
  </si>
  <si>
    <t>Cody/Wagner Oil</t>
  </si>
  <si>
    <t>Gulf Energy</t>
  </si>
  <si>
    <t>Bellweather</t>
  </si>
  <si>
    <t>Blackhawk</t>
  </si>
  <si>
    <t>D&amp;P</t>
  </si>
  <si>
    <t>Eog</t>
  </si>
  <si>
    <t>Geo</t>
  </si>
  <si>
    <t>States</t>
  </si>
  <si>
    <t>Wagner</t>
  </si>
  <si>
    <t>Danex</t>
  </si>
  <si>
    <t>EOG</t>
  </si>
  <si>
    <t>Usage/Sales</t>
  </si>
  <si>
    <t>Sitara HPLC Balance</t>
  </si>
  <si>
    <t>Central</t>
  </si>
  <si>
    <t>Christeve</t>
  </si>
  <si>
    <t>after usage</t>
  </si>
  <si>
    <t>Exxon/KR</t>
  </si>
  <si>
    <t>Shrink 3 rivers</t>
  </si>
  <si>
    <t>Gaither</t>
  </si>
  <si>
    <t>usage</t>
  </si>
  <si>
    <t>H&amp;D</t>
  </si>
  <si>
    <t>Usage in Sitara</t>
  </si>
  <si>
    <t>Lamay</t>
  </si>
  <si>
    <t>Prefered Pipe</t>
  </si>
  <si>
    <t>Entex</t>
  </si>
  <si>
    <t>Operational</t>
  </si>
  <si>
    <t>Not in Sitara</t>
  </si>
  <si>
    <t>EOG/9788</t>
  </si>
  <si>
    <t>Adjusted Base Supply</t>
  </si>
  <si>
    <t>January</t>
  </si>
  <si>
    <t>AEP / 6351</t>
  </si>
  <si>
    <t>Bayer 13</t>
  </si>
  <si>
    <t>Calpine Cogen    65.7 - Cl Lk,   96 - Tx City</t>
  </si>
  <si>
    <t>Occident 5</t>
  </si>
  <si>
    <t>R&amp;H  17</t>
  </si>
  <si>
    <t>Williams</t>
  </si>
  <si>
    <t>Cilco</t>
  </si>
  <si>
    <t>Conoco</t>
  </si>
  <si>
    <t>Enron Methonal</t>
  </si>
  <si>
    <t>Lyon Citgo</t>
  </si>
  <si>
    <t>Dixie Chem</t>
  </si>
  <si>
    <t>00</t>
  </si>
  <si>
    <t>Albmarle</t>
  </si>
  <si>
    <t>MOBIL- excl 10 EOGM transport</t>
  </si>
  <si>
    <t>&lt;-----------------</t>
  </si>
  <si>
    <t>Coral 4120</t>
  </si>
  <si>
    <t>Prize</t>
  </si>
  <si>
    <t>CES Position</t>
  </si>
  <si>
    <t>Richardson</t>
  </si>
  <si>
    <t>TET</t>
  </si>
  <si>
    <t>Cokinos/9676</t>
  </si>
  <si>
    <t>Midcoast/5097</t>
  </si>
  <si>
    <t>United O&amp;M/5053</t>
  </si>
  <si>
    <t>Vintage/2540</t>
  </si>
  <si>
    <t>Bristol</t>
  </si>
  <si>
    <t>Cokinos/6551</t>
  </si>
  <si>
    <t>Core Explor</t>
  </si>
  <si>
    <t>Arco</t>
  </si>
  <si>
    <t>Cokinos</t>
  </si>
  <si>
    <t>EEX</t>
  </si>
  <si>
    <t>EGP Fuels AVG</t>
  </si>
  <si>
    <t>LCRA</t>
  </si>
  <si>
    <t>Prefferred PL</t>
  </si>
  <si>
    <t>Rlacy</t>
  </si>
  <si>
    <t>Tribo</t>
  </si>
  <si>
    <t>Unit</t>
  </si>
  <si>
    <t>Wag Brwm</t>
  </si>
  <si>
    <t>dan a hughes</t>
  </si>
  <si>
    <t>Decker</t>
  </si>
  <si>
    <t>Duke Energy</t>
  </si>
  <si>
    <t>Jay Mgmt</t>
  </si>
  <si>
    <t>1-63</t>
  </si>
  <si>
    <t>Marathon</t>
  </si>
  <si>
    <t>Triad</t>
  </si>
  <si>
    <t>Zachry</t>
  </si>
  <si>
    <t>Tejones</t>
  </si>
  <si>
    <t>Lois Drey</t>
  </si>
  <si>
    <t>Adams</t>
  </si>
  <si>
    <t>Cody</t>
  </si>
  <si>
    <t>Base mtm</t>
  </si>
  <si>
    <t>Feb</t>
  </si>
  <si>
    <t>ENTEX  - Residential</t>
  </si>
  <si>
    <t>ENTEX  - H,W,C</t>
  </si>
  <si>
    <t>ENTEX  - Industrial</t>
  </si>
  <si>
    <t>Jan</t>
  </si>
  <si>
    <t xml:space="preserve">EGP Fuels </t>
  </si>
  <si>
    <t>ENTEX TOTAL</t>
  </si>
  <si>
    <t>Texas Desk Bid Plan</t>
  </si>
  <si>
    <t>City of Garland</t>
  </si>
  <si>
    <t>11/day 2/19-29</t>
  </si>
  <si>
    <t>Wyman-Gordan</t>
  </si>
  <si>
    <t>Cima/6284</t>
  </si>
  <si>
    <t>Cerrito/1558</t>
  </si>
  <si>
    <t>Calpine Cogen    70 - Cl Lk,   90 - Tx City</t>
  </si>
  <si>
    <t>Lyondell Citgo</t>
  </si>
  <si>
    <t>6673</t>
  </si>
  <si>
    <t>6675</t>
  </si>
  <si>
    <t>5155,6763</t>
  </si>
  <si>
    <t>3405/9643</t>
  </si>
  <si>
    <t>Enron Reserve Acq</t>
  </si>
  <si>
    <t>Titan</t>
  </si>
  <si>
    <t>Burlington</t>
  </si>
  <si>
    <t>Texas Desk Storage</t>
  </si>
  <si>
    <t>** Valero Bayport down for first 6 days (35,000/d)</t>
  </si>
  <si>
    <t xml:space="preserve">    Global Octanes from -0- to 11,000 on 2/19.</t>
  </si>
  <si>
    <t>Costilla purch expected to increase by 7,000 mid-month (Gas Daily)</t>
  </si>
  <si>
    <t>Coastal purch increase mid-month by 20,000.  Our call to accept.  Impacts King Ranch.</t>
  </si>
  <si>
    <t>Bayer</t>
  </si>
  <si>
    <t>Am Coastal</t>
  </si>
  <si>
    <t>Aquarius</t>
  </si>
  <si>
    <t>Houston Expl</t>
  </si>
  <si>
    <t>Tx Energy Tran</t>
  </si>
  <si>
    <t xml:space="preserve">Exxon </t>
  </si>
  <si>
    <t>Rhom &amp; Haas</t>
  </si>
  <si>
    <t>cokinos/6480</t>
  </si>
  <si>
    <t>Cologne</t>
  </si>
  <si>
    <t xml:space="preserve">Engage </t>
  </si>
  <si>
    <t>Highland</t>
  </si>
  <si>
    <t xml:space="preserve">Occident </t>
  </si>
  <si>
    <t>JC energy</t>
  </si>
  <si>
    <t>Mitchel</t>
  </si>
  <si>
    <t>Petrocom</t>
  </si>
  <si>
    <t>AEP</t>
  </si>
  <si>
    <t xml:space="preserve">Brandywine </t>
  </si>
  <si>
    <t>PGE</t>
  </si>
  <si>
    <t>Duke</t>
  </si>
  <si>
    <t>LD</t>
  </si>
  <si>
    <t>Encina</t>
  </si>
  <si>
    <t>avg</t>
  </si>
  <si>
    <t>East Desk</t>
  </si>
  <si>
    <t>Exxxon</t>
  </si>
  <si>
    <t>KN</t>
  </si>
  <si>
    <t>Mar</t>
  </si>
  <si>
    <t>El Paso</t>
  </si>
  <si>
    <t>Air Products/Laport</t>
  </si>
  <si>
    <t>Aquila/EOL</t>
  </si>
  <si>
    <t>Calpine Cogen    73 - Cl Lk,   80 - Tx City</t>
  </si>
  <si>
    <t>El Paso/EOL</t>
  </si>
  <si>
    <t>Phillips Sweeney</t>
  </si>
  <si>
    <t>North Central/71</t>
  </si>
  <si>
    <t>Gulf Gas Utilities</t>
  </si>
  <si>
    <t>Wellhead Sales</t>
  </si>
  <si>
    <t>Saxet-Osprey #3   8,000/day at Gas Daily</t>
  </si>
  <si>
    <t>Mitchell</t>
  </si>
  <si>
    <t>Louis Dreyfus</t>
  </si>
  <si>
    <t>Exxon/Cl Lk</t>
  </si>
  <si>
    <t>Engage</t>
  </si>
  <si>
    <t>Loius Dreyfus</t>
  </si>
  <si>
    <t>ICC</t>
  </si>
  <si>
    <t>CP&amp;L</t>
  </si>
  <si>
    <t>JC Energy</t>
  </si>
  <si>
    <t>EGM</t>
  </si>
  <si>
    <t>1-10  zero, 11-31  33/d</t>
  </si>
  <si>
    <t>Goldston</t>
  </si>
  <si>
    <t>Terminates 4/1/00</t>
  </si>
  <si>
    <t>Apr</t>
  </si>
  <si>
    <t>AEP/6351</t>
  </si>
  <si>
    <t>Burlington / LS</t>
  </si>
  <si>
    <t>Terminated 3/31/00</t>
  </si>
  <si>
    <t>tx</t>
  </si>
  <si>
    <t>terminated 3/31/00</t>
  </si>
  <si>
    <t>Louis-Pacific</t>
  </si>
  <si>
    <t>Philips / CL</t>
  </si>
  <si>
    <t>Encore Acq</t>
  </si>
  <si>
    <t>TXU/Waha</t>
  </si>
  <si>
    <t>Koch/Waha</t>
  </si>
  <si>
    <t>Conoco/Waha</t>
  </si>
  <si>
    <t>Booked</t>
  </si>
  <si>
    <t>Entex Gas Mktg / 1370</t>
  </si>
  <si>
    <t xml:space="preserve"> </t>
  </si>
  <si>
    <t>Western-EOL</t>
  </si>
  <si>
    <t>Aquila-EOL</t>
  </si>
  <si>
    <t>E-Prime</t>
  </si>
  <si>
    <t>wh 4/1/00</t>
  </si>
  <si>
    <t>w</t>
  </si>
  <si>
    <t>change from mar</t>
  </si>
  <si>
    <t>Phillips CL</t>
  </si>
  <si>
    <t xml:space="preserve">El Paso </t>
  </si>
  <si>
    <t>E-Prime-EOL</t>
  </si>
  <si>
    <t>Texaco-EOL</t>
  </si>
  <si>
    <t>Southern</t>
  </si>
  <si>
    <t>Tejas</t>
  </si>
  <si>
    <t>Wagner &amp; Brown</t>
  </si>
  <si>
    <t>Oneok</t>
  </si>
  <si>
    <t>Altrade</t>
  </si>
  <si>
    <t>American Central Energy</t>
  </si>
  <si>
    <t>Minerals Mgmt</t>
  </si>
  <si>
    <t>Oxy Viyls</t>
  </si>
  <si>
    <t>HPLR Liqs Shrinkage</t>
  </si>
  <si>
    <t>PH</t>
  </si>
  <si>
    <t>6838</t>
  </si>
  <si>
    <t>Avg 29.167 at Bayport.  -0- 4/1-5</t>
  </si>
  <si>
    <t>May</t>
  </si>
  <si>
    <t>Carthage</t>
  </si>
  <si>
    <t>R Lacy</t>
  </si>
  <si>
    <t>Baroid/Dresser</t>
  </si>
  <si>
    <t>West</t>
  </si>
  <si>
    <t>20,000 with Equistar is to be delivered off Tejas or Channel</t>
  </si>
  <si>
    <t>Gas Solutions</t>
  </si>
  <si>
    <t>May be Wellhead ----&gt;</t>
  </si>
  <si>
    <t>Gulf Coast</t>
  </si>
  <si>
    <t>Hilcorp</t>
  </si>
  <si>
    <t>Phillips / CL</t>
  </si>
  <si>
    <t>6782, BM</t>
  </si>
  <si>
    <t>South Hampton</t>
  </si>
  <si>
    <t>Chevron **</t>
  </si>
  <si>
    <t>El Paso Merchant</t>
  </si>
  <si>
    <t>Reliant</t>
  </si>
  <si>
    <t>75 into Midcon</t>
  </si>
  <si>
    <t>Texla</t>
  </si>
  <si>
    <t>USGT</t>
  </si>
  <si>
    <t>Cogen Lyon</t>
  </si>
  <si>
    <t>Shoreham</t>
  </si>
  <si>
    <t>CSW</t>
  </si>
  <si>
    <t>Exxon Mobil</t>
  </si>
  <si>
    <t>JC</t>
  </si>
  <si>
    <t>Oxy Vinyls</t>
  </si>
  <si>
    <t>American Central</t>
  </si>
  <si>
    <t>OneOk</t>
  </si>
  <si>
    <t>Tufco</t>
  </si>
  <si>
    <t>Aspect</t>
  </si>
  <si>
    <t>El Paso / Sonat</t>
  </si>
  <si>
    <t>Roberson/Pecos</t>
  </si>
  <si>
    <t>Torch-Rally</t>
  </si>
  <si>
    <t>Calpine Cogen    73 - Cl Lk,   85 - Tx City</t>
  </si>
  <si>
    <t>June</t>
  </si>
  <si>
    <t>Micnic</t>
  </si>
  <si>
    <t>Oneok / TG</t>
  </si>
  <si>
    <t>WH</t>
  </si>
  <si>
    <t>Ames</t>
  </si>
  <si>
    <t>Tufco/SDS</t>
  </si>
  <si>
    <t>95 into Midcon</t>
  </si>
  <si>
    <t>Cannon Interests</t>
  </si>
  <si>
    <t xml:space="preserve">Southern </t>
  </si>
  <si>
    <t>Wag Brown</t>
  </si>
  <si>
    <t>Tenaska / OK</t>
  </si>
  <si>
    <t>Mitchell TG</t>
  </si>
  <si>
    <t>65 HPLR, 40 WB</t>
  </si>
  <si>
    <t>Aquila EOL</t>
  </si>
  <si>
    <t>Southern EOL</t>
  </si>
  <si>
    <t>Richardson EOL</t>
  </si>
  <si>
    <t>Tenaska EOL</t>
  </si>
  <si>
    <t>Alltrade</t>
  </si>
  <si>
    <t>hpl</t>
  </si>
  <si>
    <t>Hl&amp;p</t>
  </si>
  <si>
    <t>Aquila / EOL</t>
  </si>
  <si>
    <t>ABB</t>
  </si>
  <si>
    <t>USGT EOL</t>
  </si>
  <si>
    <t>Seminole PL</t>
  </si>
  <si>
    <t>Rohm &amp; Haas</t>
  </si>
  <si>
    <t>E-Prim EOL</t>
  </si>
  <si>
    <t>USGT EOL 4.08</t>
  </si>
  <si>
    <t>Aquila EOL 4.095</t>
  </si>
  <si>
    <t xml:space="preserve">USGT EOL </t>
  </si>
  <si>
    <t>Dynegy EOL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</si>
</sst>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5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65" formatCode="dd\-mmm_)"/>
    <numFmt numFmtId="166" formatCode="hh:mm\ AM/PM_)"/>
    <numFmt numFmtId="167" formatCode="#,##0.0_);\(#,##0.0\)"/>
    <numFmt numFmtId="168" formatCode="0.0_)"/>
    <numFmt numFmtId="169" formatCode="0.00_)"/>
    <numFmt numFmtId="173" formatCode="#,##0.000_);[Red]\(#,##0.000\)"/>
    <numFmt numFmtId="174" formatCode="0.0"/>
    <numFmt numFmtId="175" formatCode="0.000"/>
    <numFmt numFmtId="176" formatCode="0.0000"/>
    <numFmt numFmtId="180" formatCode="_(* #,##0_);_(* \(#,##0\);_(* &quot;-&quot;??_);_(@_)"/>
    <numFmt numFmtId="183" formatCode="_(* #,##0.00000_);_(* \(#,##0.00000\);_(* &quot;-&quot;??_);_(@_)"/>
    <numFmt numFmtId="190" formatCode="#,##0.000_);\(#,##0.000\)"/>
    <numFmt numFmtId="191" formatCode="#,##0.00000_);\(#,##0.00000\)"/>
    <numFmt numFmtId="198" formatCode=".0000%"/>
    <numFmt numFmtId="202" formatCode="#,##0.0000_);[Red]\(#,##0.0000\)"/>
    <numFmt numFmtId="203" formatCode="_(* #,##0.0_);_(* \(#,##0.0\);_(* &quot;-&quot;_);_(@_)"/>
    <numFmt numFmtId="212" formatCode="&quot;£&quot;#,##0;[Red]\-&quot;£&quot;#,##0"/>
    <numFmt numFmtId="213" formatCode="&quot;£&quot;#,##0.00;\-&quot;£&quot;#,##0.00"/>
    <numFmt numFmtId="214" formatCode="&quot;£&quot;#,##0.00;[Red]\-&quot;£&quot;#,##0.00"/>
    <numFmt numFmtId="215" formatCode="_-&quot;£&quot;* #,##0_-;\-&quot;£&quot;* #,##0_-;_-&quot;£&quot;* &quot;-&quot;_-;_-@_-"/>
    <numFmt numFmtId="216" formatCode="_-* #,##0_-;\-* #,##0_-;_-* &quot;-&quot;_-;_-@_-"/>
    <numFmt numFmtId="217" formatCode="_-&quot;£&quot;* #,##0.00_-;\-&quot;£&quot;* #,##0.00_-;_-&quot;£&quot;* &quot;-&quot;??_-;_-@_-"/>
    <numFmt numFmtId="218" formatCode="_-* #,##0.00_-;\-* #,##0.00_-;_-* &quot;-&quot;??_-;_-@_-"/>
    <numFmt numFmtId="222" formatCode="#,##0.00_);\(#,##0.00\);\-\ \ "/>
    <numFmt numFmtId="224" formatCode="#,##0_);\(#,##0\);\-\ \ "/>
    <numFmt numFmtId="225" formatCode="#,##0.000_);\(#,##0.000\);\ \-\ \ "/>
    <numFmt numFmtId="226" formatCode="###0"/>
    <numFmt numFmtId="231" formatCode="0.0%;\(0.0\)%;\ \-\ \ "/>
    <numFmt numFmtId="250" formatCode="#.0,,;[Red]\(#.0,,\)"/>
    <numFmt numFmtId="251" formatCode="#,##0_);\(#,##0\)\-"/>
    <numFmt numFmtId="252" formatCode="#,##0_);\(#,##0\);\-"/>
    <numFmt numFmtId="253" formatCode="0.000%"/>
    <numFmt numFmtId="257" formatCode="#,###.0_);\(#,##0.0\);\ \-\ _ "/>
    <numFmt numFmtId="258" formatCode="0.0_;"/>
    <numFmt numFmtId="267" formatCode="#,##0_);[Red]\(#,##0\);\-"/>
    <numFmt numFmtId="268" formatCode="&quot;$&quot;#,##0.0_);[Red]\(&quot;$&quot;#,##0.0\)"/>
    <numFmt numFmtId="269" formatCode="&quot;$&quot;\ \ #,##0_);[Red]\(&quot;$&quot;\ \ #,##0\)"/>
    <numFmt numFmtId="270" formatCode="&quot;$&quot;\ \ #,##0.0_);[Red]\(&quot;$&quot;\ \ #,##0.0\)"/>
    <numFmt numFmtId="271" formatCode="&quot;$&quot;\ \ #,##0.00_);[Red]\(&quot;$&quot;\ \ #,##0.00\)"/>
    <numFmt numFmtId="272" formatCode="#,##0.0_);[Red]\(#,##0.0\);\-"/>
    <numFmt numFmtId="274" formatCode="&quot;$&quot;\ \ \ #,##0.00_);\(&quot;$&quot;\ \ \ #,##0.00\);&quot;$&quot;\ \ \ \ \ \ \ \ \ \ \-"/>
    <numFmt numFmtId="278" formatCode="&quot;$&quot;\ \ \ \ \ \ \ \ \ #,###.00_);&quot;$&quot;\ \ \ \ \ \ \ \ \ \(#,###.00\);&quot;$&quot;\ \ \ \ \ \ \ \ \ \ \ \ \ \ \-"/>
    <numFmt numFmtId="279" formatCode="&quot;$&quot;\ \ \ #,##0_);[Red]&quot;$&quot;\ \ \ \(#,##0\);&quot;$&quot;\ \ \ \ \ \ \ \ \ \-"/>
    <numFmt numFmtId="280" formatCode="&quot;$&quot;\ \ \ #,##0_);[Red]&quot;$&quot;\ \ \ \(#,##0\);&quot;$&quot;\ \ \ \ \ \ \ \ \ \ \ \ \-"/>
    <numFmt numFmtId="281" formatCode="&quot;$&quot;\ \ \ \ \ \ \ \ \ #,###.00_);&quot;$&quot;\ \ \ \ \ \ \ \ \ \(#,###.00\);&quot;$&quot;\ \ \ \ \ \ \ \ \ \ \ \ \ \ \ \-"/>
    <numFmt numFmtId="282" formatCode="&quot;$&quot;\ \ \ \ \ \ \ \ \ #,###.00_);&quot;$&quot;\ \ \ \ \ \ \ \ \ \(#,###.00\);&quot;$&quot;\ \ \ \ \ \ \ \ \ \ \ \ \ \ \ \ \-"/>
    <numFmt numFmtId="284" formatCode="&quot;$&quot;\ \ \ \ \ \ \ \ #,###.00_);&quot;$&quot;\ \ \ \ \ \ \ \ \(#,###.00\);&quot;$&quot;\ \ \ \ \ \ \ \ \ \ \ \ \ \ \ \ \-"/>
    <numFmt numFmtId="286" formatCode="&quot;$&quot;\ \ \ \ \ \ \ \ \ #,###.00_);&quot;$&quot;\ \ \ \ \ \ \ \(#,###.00\);&quot;$&quot;\ \ \ \ \ \ \ \ \ \ \ \ \ \ \ \ \-"/>
    <numFmt numFmtId="288" formatCode="#,##0.0000_);\(#,##0.0000\);_ \-\ \ "/>
    <numFmt numFmtId="289" formatCode="0.0_%;\(0.0\)%;\ \-\ \ \ "/>
    <numFmt numFmtId="290" formatCode="0.0%_;\(0.0\)%;\ \-\ \ \ "/>
    <numFmt numFmtId="291" formatCode="0.0%_);\(0.0\)%;\ \-"/>
    <numFmt numFmtId="292" formatCode="0.0%\);\(0.0\)%;\ \-"/>
    <numFmt numFmtId="293" formatCode="0.0%\ \)"/>
    <numFmt numFmtId="294" formatCode="0.0%\ ;\(0.0\)%\ ;\-\ \ \ "/>
    <numFmt numFmtId="295" formatCode="#,##0.00__;"/>
    <numFmt numFmtId="296" formatCode="#,##0_);\(#,##0\);\ \-\ \ \ \ "/>
    <numFmt numFmtId="297" formatCode="#,##0.00000___;"/>
    <numFmt numFmtId="298" formatCode="&quot;$&quot;#,##0;\-&quot;$&quot;#,##0"/>
    <numFmt numFmtId="299" formatCode="&quot;$&quot;#,##0;[Red]\-&quot;$&quot;#,##0"/>
    <numFmt numFmtId="301" formatCode="&quot;$&quot;#,##0.00;[Red]\-&quot;$&quot;#,##0.00"/>
    <numFmt numFmtId="302" formatCode="_-&quot;$&quot;* #,##0_-;\-&quot;$&quot;* #,##0_-;_-&quot;$&quot;* &quot;-&quot;_-;_-@_-"/>
    <numFmt numFmtId="303" formatCode="_-&quot;$&quot;* #,##0.00_-;\-&quot;$&quot;* #,##0.00_-;_-&quot;$&quot;* &quot;-&quot;??_-;_-@_-"/>
    <numFmt numFmtId="311" formatCode="#,##0.0________\);\(#,##0.0\);_______ \-\ \ "/>
    <numFmt numFmtId="312" formatCode="#,##0.0________\);\(#,##0.0\);________\ \-\ \ "/>
    <numFmt numFmtId="313" formatCode="#,##0.0_________);\(#,##0.0\);________\ \-\ \ "/>
    <numFmt numFmtId="314" formatCode="#,##0_________);\(#,##0\);_________-\ \ "/>
    <numFmt numFmtId="315" formatCode="#,##0.0_________);\(#,##0.0\);\ \-\ \ "/>
    <numFmt numFmtId="316" formatCode="#,##0.0_______);\(#,##0.0\);______\ \-\ \ "/>
    <numFmt numFmtId="318" formatCode="#,##0.0_);\(#,##0.0\);_ \ \-"/>
    <numFmt numFmtId="319" formatCode="#,##0.00__\);\(#,##0.00\);__\ \ \-"/>
    <numFmt numFmtId="320" formatCode="#,##0.00___);\(#,##0.00\);___ \ \-"/>
    <numFmt numFmtId="323" formatCode="#,##0___);\(#,##0\);\ \-\ __"/>
    <numFmt numFmtId="324" formatCode="#,###___);\(#,##0\);\ \-\ __"/>
    <numFmt numFmtId="325" formatCode="#,##0___);\(#,##0\);\ \-__\ \ "/>
    <numFmt numFmtId="326" formatCode="#,##0___);\(#,##0\)_;\ \-__\ \ "/>
    <numFmt numFmtId="327" formatCode="#,##0___);\(#,##0\)___;\ \-__\ \ "/>
    <numFmt numFmtId="328" formatCode="#,###_);\(#,##0\);\ \-_ "/>
    <numFmt numFmtId="330" formatCode="#,##0_)_ ;\(#,##0\)\ ;\ \-_ _)"/>
    <numFmt numFmtId="331" formatCode="#,##0_)_ ;\(#,##0\)\ ;\-_)_ _ "/>
    <numFmt numFmtId="332" formatCode="#,##0_);\(#,##0\)\ ;\-_)_ _ "/>
    <numFmt numFmtId="333" formatCode="_##,##0_);\(#,##0\)\ ;\-_)_ _ "/>
    <numFmt numFmtId="334" formatCode="_##,##0_);\(#,##0\);\-_)_ _ "/>
    <numFmt numFmtId="335" formatCode="#,###_)"/>
    <numFmt numFmtId="336" formatCode="#,###_)_ "/>
    <numFmt numFmtId="338" formatCode="#,##0_);\(#,##0\);\-_)_ _ "/>
    <numFmt numFmtId="345" formatCode="_(##0_);\(##0\)_1;\-_)_ _ "/>
    <numFmt numFmtId="360" formatCode="###,###"/>
  </numFmts>
  <fonts count="103">
    <font>
      <sz val="10"/>
      <name val="Arial"/>
    </font>
    <font>
      <b/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2"/>
      <name val="Arial"/>
    </font>
    <font>
      <b/>
      <sz val="9.5"/>
      <name val="Courier"/>
    </font>
    <font>
      <sz val="10"/>
      <name val="MS Sans Serif"/>
    </font>
    <font>
      <sz val="10"/>
      <name val="Arial Narrow"/>
      <family val="2"/>
    </font>
    <font>
      <sz val="10"/>
      <name val="Geneva"/>
      <family val="2"/>
    </font>
    <font>
      <sz val="10"/>
      <name val="Book Antiqua"/>
    </font>
    <font>
      <sz val="10"/>
      <name val="Book Antiqua"/>
      <family val="1"/>
    </font>
    <font>
      <sz val="10"/>
      <name val="Times New Roman"/>
    </font>
    <font>
      <sz val="12"/>
      <name val="Century Schoolbook"/>
    </font>
    <font>
      <sz val="10"/>
      <name val="Advisor SSi"/>
      <family val="1"/>
    </font>
    <font>
      <sz val="8"/>
      <name val="Arial"/>
    </font>
    <font>
      <sz val="8"/>
      <name val="Times New Roman"/>
    </font>
    <font>
      <sz val="10"/>
      <name val="Helv"/>
    </font>
    <font>
      <b/>
      <sz val="9.85"/>
      <name val="Times New Roman"/>
    </font>
    <font>
      <sz val="8"/>
      <name val="Arial"/>
      <family val="2"/>
    </font>
    <font>
      <b/>
      <sz val="12"/>
      <name val="Times New Roman"/>
    </font>
    <font>
      <b/>
      <u/>
      <sz val="11"/>
      <color indexed="37"/>
      <name val="Arial"/>
      <family val="2"/>
    </font>
    <font>
      <b/>
      <sz val="12"/>
      <name val="Arial"/>
      <family val="2"/>
    </font>
    <font>
      <b/>
      <sz val="12"/>
      <name val="Arial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Helv"/>
    </font>
    <font>
      <sz val="12"/>
      <name val="Arial"/>
      <family val="2"/>
    </font>
    <font>
      <sz val="10"/>
      <name val="Courier"/>
    </font>
    <font>
      <sz val="12"/>
      <name val="Helv"/>
    </font>
    <font>
      <sz val="12"/>
      <name val="Helv"/>
      <family val="2"/>
    </font>
    <font>
      <sz val="8"/>
      <name val="SWISS"/>
    </font>
    <font>
      <sz val="12"/>
      <name val="Courier"/>
      <family val="3"/>
    </font>
    <font>
      <sz val="8"/>
      <name val="Courier"/>
      <family val="3"/>
    </font>
    <font>
      <sz val="10"/>
      <color indexed="8"/>
      <name val="MS Sans Serif"/>
    </font>
    <font>
      <sz val="9"/>
      <name val="Times New Roman"/>
    </font>
    <font>
      <sz val="10"/>
      <name val="Times New Roman"/>
      <family val="1"/>
    </font>
    <font>
      <sz val="8"/>
      <name val="Arial"/>
    </font>
    <font>
      <sz val="11"/>
      <name val="Arial"/>
    </font>
    <font>
      <sz val="12"/>
      <name val="Comic Sans MS"/>
    </font>
    <font>
      <sz val="8"/>
      <name val="MS Sans Serif"/>
      <family val="2"/>
    </font>
    <font>
      <sz val="9"/>
      <name val="Arial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8.5"/>
      <name val="MS Sans Serif"/>
      <family val="2"/>
    </font>
    <font>
      <sz val="12"/>
      <name val="SWISS"/>
    </font>
    <font>
      <sz val="10"/>
      <name val="Century Gothic"/>
    </font>
    <font>
      <sz val="10"/>
      <name val="SWISS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  <family val="1"/>
    </font>
    <font>
      <sz val="9.85"/>
      <name val="Times New Roman"/>
    </font>
    <font>
      <sz val="8"/>
      <color indexed="12"/>
      <name val="Arial"/>
      <family val="2"/>
    </font>
    <font>
      <b/>
      <sz val="12"/>
      <name val="Helv"/>
    </font>
    <font>
      <b/>
      <sz val="10"/>
      <color indexed="12"/>
      <name val="Helv"/>
    </font>
    <font>
      <b/>
      <sz val="10"/>
      <name val="Helv"/>
    </font>
    <font>
      <b/>
      <sz val="10"/>
      <name val="Arial"/>
      <family val="2"/>
    </font>
    <font>
      <sz val="9"/>
      <name val="Helv"/>
    </font>
    <font>
      <sz val="10"/>
      <color indexed="12"/>
      <name val="Helv"/>
    </font>
    <font>
      <sz val="9"/>
      <color indexed="12"/>
      <name val="Arial"/>
      <family val="2"/>
    </font>
    <font>
      <b/>
      <sz val="9"/>
      <name val="Arial"/>
      <family val="2"/>
    </font>
    <font>
      <sz val="10"/>
      <color indexed="10"/>
      <name val="Helv"/>
    </font>
    <font>
      <b/>
      <sz val="9"/>
      <name val="Arial"/>
    </font>
    <font>
      <sz val="9"/>
      <color indexed="12"/>
      <name val="Helv"/>
    </font>
    <font>
      <sz val="9"/>
      <color indexed="10"/>
      <name val="Helv"/>
    </font>
    <font>
      <i/>
      <sz val="10"/>
      <color indexed="12"/>
      <name val="Helv"/>
    </font>
    <font>
      <sz val="9"/>
      <color indexed="10"/>
      <name val="Arial"/>
      <family val="2"/>
    </font>
    <font>
      <sz val="9"/>
      <color indexed="50"/>
      <name val="Arial"/>
      <family val="2"/>
    </font>
    <font>
      <b/>
      <sz val="9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9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9"/>
      <name val="Arial"/>
      <family val="2"/>
    </font>
    <font>
      <b/>
      <sz val="9"/>
      <name val="Helv"/>
    </font>
    <font>
      <sz val="8"/>
      <color indexed="10"/>
      <name val="Tahoma"/>
      <family val="2"/>
    </font>
    <font>
      <sz val="9"/>
      <color indexed="9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0"/>
        <bgColor indexed="64"/>
      </patternFill>
    </fill>
  </fills>
  <borders count="81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/>
      <right style="thin">
        <color indexed="8"/>
      </right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/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64"/>
      </bottom>
      <diagonal/>
    </border>
    <border>
      <left style="medium">
        <color indexed="8"/>
      </left>
      <right style="medium">
        <color indexed="64"/>
      </right>
      <top style="medium">
        <color indexed="8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otted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dotted">
        <color indexed="64"/>
      </right>
      <top/>
      <bottom/>
      <diagonal/>
    </border>
    <border>
      <left style="thin">
        <color indexed="64"/>
      </left>
      <right style="dotted">
        <color indexed="64"/>
      </right>
      <top/>
      <bottom/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/>
      <top style="medium">
        <color indexed="64"/>
      </top>
      <bottom style="medium">
        <color indexed="64"/>
      </bottom>
      <diagonal/>
    </border>
  </borders>
  <cellStyleXfs count="23">
    <xf numFmtId="0" fontId="0" fillId="0" borderId="0"/>
    <xf numFmtId="0" fontId="5" fillId="0" borderId="0"/>
    <xf numFmtId="274" fontId="2" fillId="2" borderId="1">
      <alignment horizontal="center" vertical="center"/>
    </xf>
    <xf numFmtId="345" fontId="2" fillId="0" borderId="0" applyFill="0" applyBorder="0" applyAlignment="0"/>
    <xf numFmtId="43" fontId="2" fillId="0" borderId="0" applyFont="0" applyFill="0" applyBorder="0" applyAlignment="0" applyProtection="0"/>
    <xf numFmtId="6" fontId="8" fillId="0" borderId="0">
      <protection locked="0"/>
    </xf>
    <xf numFmtId="288" fontId="2" fillId="0" borderId="0">
      <protection locked="0"/>
    </xf>
    <xf numFmtId="38" fontId="26" fillId="4" borderId="0" applyNumberFormat="0" applyBorder="0" applyAlignment="0" applyProtection="0"/>
    <xf numFmtId="0" fontId="28" fillId="0" borderId="0" applyNumberFormat="0" applyFill="0" applyBorder="0" applyAlignment="0" applyProtection="0"/>
    <xf numFmtId="0" fontId="29" fillId="0" borderId="2" applyNumberFormat="0" applyAlignment="0" applyProtection="0">
      <alignment horizontal="left" vertical="center"/>
    </xf>
    <xf numFmtId="0" fontId="29" fillId="0" borderId="3">
      <alignment horizontal="left" vertical="center"/>
    </xf>
    <xf numFmtId="335" fontId="2" fillId="0" borderId="0">
      <protection locked="0"/>
    </xf>
    <xf numFmtId="335" fontId="2" fillId="0" borderId="0">
      <protection locked="0"/>
    </xf>
    <xf numFmtId="0" fontId="31" fillId="0" borderId="4" applyNumberFormat="0" applyFill="0" applyAlignment="0" applyProtection="0"/>
    <xf numFmtId="10" fontId="26" fillId="5" borderId="5" applyNumberFormat="0" applyBorder="0" applyAlignment="0" applyProtection="0"/>
    <xf numFmtId="37" fontId="32" fillId="0" borderId="0"/>
    <xf numFmtId="169" fontId="33" fillId="0" borderId="0"/>
    <xf numFmtId="10" fontId="2" fillId="0" borderId="0" applyFont="0" applyFill="0" applyBorder="0" applyAlignment="0" applyProtection="0"/>
    <xf numFmtId="335" fontId="2" fillId="0" borderId="7">
      <protection locked="0"/>
    </xf>
    <xf numFmtId="37" fontId="26" fillId="7" borderId="0" applyNumberFormat="0" applyBorder="0" applyAlignment="0" applyProtection="0"/>
    <xf numFmtId="37" fontId="22" fillId="0" borderId="0"/>
    <xf numFmtId="37" fontId="22" fillId="4" borderId="0" applyNumberFormat="0" applyBorder="0" applyAlignment="0" applyProtection="0"/>
    <xf numFmtId="3" fontId="77" fillId="0" borderId="4" applyProtection="0"/>
  </cellStyleXfs>
  <cellXfs count="434">
    <xf numFmtId="0" fontId="0" fillId="0" borderId="0" xfId="0"/>
    <xf numFmtId="164" fontId="78" fillId="4" borderId="8" xfId="0" applyNumberFormat="1" applyFont="1" applyFill="1" applyBorder="1" applyAlignment="1" applyProtection="1">
      <alignment horizontal="centerContinuous"/>
    </xf>
    <xf numFmtId="0" fontId="37" fillId="4" borderId="9" xfId="0" applyFont="1" applyFill="1" applyBorder="1" applyAlignment="1">
      <alignment horizontal="centerContinuous"/>
    </xf>
    <xf numFmtId="0" fontId="37" fillId="4" borderId="10" xfId="0" applyFont="1" applyFill="1" applyBorder="1" applyAlignment="1">
      <alignment horizontal="centerContinuous"/>
    </xf>
    <xf numFmtId="0" fontId="78" fillId="4" borderId="9" xfId="0" applyFont="1" applyFill="1" applyBorder="1" applyAlignment="1">
      <alignment horizontal="centerContinuous"/>
    </xf>
    <xf numFmtId="0" fontId="37" fillId="4" borderId="11" xfId="0" applyFont="1" applyFill="1" applyBorder="1" applyAlignment="1">
      <alignment horizontal="centerContinuous"/>
    </xf>
    <xf numFmtId="0" fontId="37" fillId="0" borderId="0" xfId="0" applyFont="1"/>
    <xf numFmtId="0" fontId="12" fillId="0" borderId="0" xfId="0" applyFont="1"/>
    <xf numFmtId="165" fontId="24" fillId="0" borderId="12" xfId="0" applyNumberFormat="1" applyFont="1" applyBorder="1" applyProtection="1"/>
    <xf numFmtId="0" fontId="24" fillId="0" borderId="13" xfId="0" applyFont="1" applyBorder="1"/>
    <xf numFmtId="0" fontId="2" fillId="0" borderId="0" xfId="0" applyFont="1" applyBorder="1"/>
    <xf numFmtId="0" fontId="2" fillId="0" borderId="14" xfId="0" applyFont="1" applyBorder="1"/>
    <xf numFmtId="0" fontId="49" fillId="0" borderId="0" xfId="0" applyFont="1"/>
    <xf numFmtId="166" fontId="24" fillId="0" borderId="15" xfId="0" applyNumberFormat="1" applyFont="1" applyBorder="1" applyProtection="1"/>
    <xf numFmtId="164" fontId="24" fillId="0" borderId="16" xfId="0" applyNumberFormat="1" applyFont="1" applyBorder="1" applyAlignment="1" applyProtection="1">
      <alignment horizontal="centerContinuous"/>
    </xf>
    <xf numFmtId="0" fontId="24" fillId="0" borderId="16" xfId="0" applyFont="1" applyBorder="1"/>
    <xf numFmtId="0" fontId="24" fillId="6" borderId="12" xfId="0" applyFont="1" applyFill="1" applyBorder="1"/>
    <xf numFmtId="0" fontId="79" fillId="4" borderId="17" xfId="0" applyFont="1" applyFill="1" applyBorder="1" applyAlignment="1">
      <alignment horizontal="center"/>
    </xf>
    <xf numFmtId="0" fontId="80" fillId="4" borderId="18" xfId="0" applyFont="1" applyFill="1" applyBorder="1"/>
    <xf numFmtId="164" fontId="80" fillId="4" borderId="18" xfId="0" applyNumberFormat="1" applyFont="1" applyFill="1" applyBorder="1" applyAlignment="1" applyProtection="1">
      <alignment horizontal="center"/>
    </xf>
    <xf numFmtId="164" fontId="80" fillId="4" borderId="19" xfId="0" applyNumberFormat="1" applyFont="1" applyFill="1" applyBorder="1" applyAlignment="1" applyProtection="1">
      <alignment horizontal="center"/>
    </xf>
    <xf numFmtId="0" fontId="24" fillId="0" borderId="20" xfId="0" applyFont="1" applyBorder="1"/>
    <xf numFmtId="0" fontId="24" fillId="0" borderId="0" xfId="0" applyFont="1" applyBorder="1"/>
    <xf numFmtId="164" fontId="79" fillId="4" borderId="21" xfId="0" applyNumberFormat="1" applyFont="1" applyFill="1" applyBorder="1" applyAlignment="1" applyProtection="1">
      <alignment horizontal="center"/>
    </xf>
    <xf numFmtId="164" fontId="80" fillId="4" borderId="0" xfId="0" applyNumberFormat="1" applyFont="1" applyFill="1" applyBorder="1" applyAlignment="1" applyProtection="1">
      <alignment horizontal="center"/>
    </xf>
    <xf numFmtId="164" fontId="80" fillId="4" borderId="22" xfId="0" applyNumberFormat="1" applyFont="1" applyFill="1" applyBorder="1" applyAlignment="1" applyProtection="1">
      <alignment horizontal="center"/>
    </xf>
    <xf numFmtId="164" fontId="80" fillId="4" borderId="23" xfId="0" applyNumberFormat="1" applyFont="1" applyFill="1" applyBorder="1" applyAlignment="1" applyProtection="1">
      <alignment horizontal="center"/>
    </xf>
    <xf numFmtId="164" fontId="80" fillId="4" borderId="24" xfId="0" applyNumberFormat="1" applyFont="1" applyFill="1" applyBorder="1" applyAlignment="1" applyProtection="1">
      <alignment horizontal="center"/>
    </xf>
    <xf numFmtId="164" fontId="80" fillId="4" borderId="25" xfId="0" applyNumberFormat="1" applyFont="1" applyFill="1" applyBorder="1" applyAlignment="1" applyProtection="1">
      <alignment horizontal="centerContinuous"/>
    </xf>
    <xf numFmtId="164" fontId="80" fillId="4" borderId="26" xfId="0" applyNumberFormat="1" applyFont="1" applyFill="1" applyBorder="1" applyAlignment="1" applyProtection="1">
      <alignment horizontal="centerContinuous"/>
    </xf>
    <xf numFmtId="0" fontId="49" fillId="0" borderId="0" xfId="0" applyFont="1" applyFill="1" applyBorder="1"/>
    <xf numFmtId="164" fontId="82" fillId="0" borderId="20" xfId="0" applyNumberFormat="1" applyFont="1" applyBorder="1" applyAlignment="1" applyProtection="1">
      <alignment horizontal="left"/>
    </xf>
    <xf numFmtId="167" fontId="83" fillId="0" borderId="27" xfId="0" applyNumberFormat="1" applyFont="1" applyFill="1" applyBorder="1" applyProtection="1"/>
    <xf numFmtId="167" fontId="83" fillId="0" borderId="0" xfId="0" applyNumberFormat="1" applyFont="1" applyFill="1" applyBorder="1" applyProtection="1"/>
    <xf numFmtId="0" fontId="84" fillId="0" borderId="28" xfId="0" applyFont="1" applyBorder="1"/>
    <xf numFmtId="0" fontId="84" fillId="0" borderId="19" xfId="0" applyFont="1" applyBorder="1"/>
    <xf numFmtId="164" fontId="24" fillId="0" borderId="0" xfId="0" applyNumberFormat="1" applyFont="1" applyBorder="1" applyProtection="1"/>
    <xf numFmtId="167" fontId="83" fillId="0" borderId="29" xfId="0" applyNumberFormat="1" applyFont="1" applyFill="1" applyBorder="1" applyProtection="1"/>
    <xf numFmtId="0" fontId="84" fillId="0" borderId="20" xfId="0" applyFont="1" applyBorder="1"/>
    <xf numFmtId="0" fontId="84" fillId="0" borderId="14" xfId="0" applyFont="1" applyBorder="1"/>
    <xf numFmtId="0" fontId="85" fillId="0" borderId="0" xfId="0" applyFont="1" applyFill="1" applyBorder="1"/>
    <xf numFmtId="0" fontId="34" fillId="0" borderId="0" xfId="0" applyFont="1" applyBorder="1"/>
    <xf numFmtId="167" fontId="49" fillId="0" borderId="0" xfId="0" applyNumberFormat="1" applyFont="1" applyFill="1" applyBorder="1"/>
    <xf numFmtId="167" fontId="24" fillId="4" borderId="30" xfId="0" applyNumberFormat="1" applyFont="1" applyFill="1" applyBorder="1" applyProtection="1"/>
    <xf numFmtId="167" fontId="24" fillId="4" borderId="31" xfId="0" applyNumberFormat="1" applyFont="1" applyFill="1" applyBorder="1" applyProtection="1"/>
    <xf numFmtId="0" fontId="4" fillId="0" borderId="0" xfId="0" applyFont="1"/>
    <xf numFmtId="167" fontId="24" fillId="0" borderId="29" xfId="0" applyNumberFormat="1" applyFont="1" applyBorder="1" applyProtection="1"/>
    <xf numFmtId="0" fontId="84" fillId="0" borderId="32" xfId="0" applyFont="1" applyBorder="1"/>
    <xf numFmtId="0" fontId="84" fillId="0" borderId="33" xfId="0" applyFont="1" applyBorder="1"/>
    <xf numFmtId="0" fontId="2" fillId="0" borderId="20" xfId="0" applyFont="1" applyBorder="1"/>
    <xf numFmtId="164" fontId="80" fillId="0" borderId="34" xfId="0" applyNumberFormat="1" applyFont="1" applyBorder="1" applyAlignment="1" applyProtection="1">
      <alignment horizontal="right"/>
    </xf>
    <xf numFmtId="0" fontId="2" fillId="0" borderId="32" xfId="0" applyFont="1" applyBorder="1"/>
    <xf numFmtId="0" fontId="24" fillId="0" borderId="25" xfId="0" applyFont="1" applyBorder="1"/>
    <xf numFmtId="164" fontId="80" fillId="0" borderId="35" xfId="0" applyNumberFormat="1" applyFont="1" applyBorder="1" applyAlignment="1" applyProtection="1">
      <alignment horizontal="right"/>
    </xf>
    <xf numFmtId="167" fontId="24" fillId="4" borderId="36" xfId="0" applyNumberFormat="1" applyFont="1" applyFill="1" applyBorder="1" applyProtection="1"/>
    <xf numFmtId="0" fontId="2" fillId="0" borderId="28" xfId="0" applyFont="1" applyBorder="1"/>
    <xf numFmtId="164" fontId="80" fillId="0" borderId="0" xfId="0" applyNumberFormat="1" applyFont="1" applyBorder="1" applyAlignment="1" applyProtection="1">
      <alignment horizontal="right"/>
    </xf>
    <xf numFmtId="167" fontId="24" fillId="0" borderId="19" xfId="0" applyNumberFormat="1" applyFont="1" applyFill="1" applyBorder="1" applyProtection="1"/>
    <xf numFmtId="167" fontId="24" fillId="0" borderId="0" xfId="0" applyNumberFormat="1" applyFont="1" applyFill="1" applyBorder="1" applyProtection="1"/>
    <xf numFmtId="167" fontId="24" fillId="0" borderId="0" xfId="0" applyNumberFormat="1" applyFont="1" applyBorder="1" applyProtection="1"/>
    <xf numFmtId="0" fontId="80" fillId="0" borderId="0" xfId="0" applyFont="1" applyBorder="1"/>
    <xf numFmtId="0" fontId="2" fillId="4" borderId="32" xfId="0" applyFont="1" applyFill="1" applyBorder="1"/>
    <xf numFmtId="0" fontId="24" fillId="4" borderId="25" xfId="0" applyFont="1" applyFill="1" applyBorder="1"/>
    <xf numFmtId="164" fontId="80" fillId="4" borderId="25" xfId="0" applyNumberFormat="1" applyFont="1" applyFill="1" applyBorder="1" applyAlignment="1" applyProtection="1">
      <alignment horizontal="right"/>
    </xf>
    <xf numFmtId="167" fontId="24" fillId="4" borderId="33" xfId="0" applyNumberFormat="1" applyFont="1" applyFill="1" applyBorder="1" applyProtection="1"/>
    <xf numFmtId="0" fontId="49" fillId="0" borderId="0" xfId="0" applyFont="1" applyFill="1"/>
    <xf numFmtId="0" fontId="0" fillId="0" borderId="0" xfId="0" applyFill="1"/>
    <xf numFmtId="0" fontId="49" fillId="4" borderId="0" xfId="0" applyFont="1" applyFill="1"/>
    <xf numFmtId="0" fontId="0" fillId="0" borderId="0" xfId="0" applyBorder="1"/>
    <xf numFmtId="0" fontId="24" fillId="0" borderId="0" xfId="0" applyFont="1" applyBorder="1" applyAlignment="1">
      <alignment horizontal="centerContinuous"/>
    </xf>
    <xf numFmtId="164" fontId="80" fillId="0" borderId="0" xfId="0" applyNumberFormat="1" applyFont="1" applyBorder="1" applyAlignment="1" applyProtection="1">
      <alignment horizontal="centerContinuous"/>
    </xf>
    <xf numFmtId="167" fontId="24" fillId="0" borderId="0" xfId="0" applyNumberFormat="1" applyFont="1" applyFill="1" applyBorder="1" applyAlignment="1" applyProtection="1">
      <alignment horizontal="centerContinuous"/>
    </xf>
    <xf numFmtId="164" fontId="24" fillId="0" borderId="0" xfId="0" applyNumberFormat="1" applyFont="1" applyBorder="1" applyAlignment="1" applyProtection="1">
      <alignment horizontal="left"/>
    </xf>
    <xf numFmtId="3" fontId="24" fillId="0" borderId="0" xfId="0" applyNumberFormat="1" applyFont="1" applyBorder="1" applyProtection="1"/>
    <xf numFmtId="0" fontId="49" fillId="0" borderId="0" xfId="0" applyFont="1" applyBorder="1"/>
    <xf numFmtId="164" fontId="80" fillId="4" borderId="37" xfId="0" applyNumberFormat="1" applyFont="1" applyFill="1" applyBorder="1" applyAlignment="1" applyProtection="1">
      <alignment horizontal="centerContinuous"/>
    </xf>
    <xf numFmtId="167" fontId="80" fillId="4" borderId="2" xfId="0" applyNumberFormat="1" applyFont="1" applyFill="1" applyBorder="1" applyAlignment="1" applyProtection="1">
      <alignment horizontal="centerContinuous"/>
    </xf>
    <xf numFmtId="0" fontId="1" fillId="4" borderId="2" xfId="0" applyFont="1" applyFill="1" applyBorder="1" applyAlignment="1">
      <alignment horizontal="centerContinuous"/>
    </xf>
    <xf numFmtId="0" fontId="1" fillId="4" borderId="38" xfId="0" applyFont="1" applyFill="1" applyBorder="1" applyAlignment="1">
      <alignment horizontal="centerContinuous"/>
    </xf>
    <xf numFmtId="0" fontId="1" fillId="4" borderId="25" xfId="0" applyFont="1" applyFill="1" applyBorder="1" applyAlignment="1">
      <alignment horizontal="centerContinuous"/>
    </xf>
    <xf numFmtId="0" fontId="80" fillId="4" borderId="39" xfId="0" applyFont="1" applyFill="1" applyBorder="1" applyAlignment="1">
      <alignment horizontal="centerContinuous"/>
    </xf>
    <xf numFmtId="0" fontId="1" fillId="4" borderId="37" xfId="0" applyFont="1" applyFill="1" applyBorder="1" applyAlignment="1">
      <alignment horizontal="centerContinuous"/>
    </xf>
    <xf numFmtId="0" fontId="1" fillId="4" borderId="40" xfId="0" applyFont="1" applyFill="1" applyBorder="1" applyAlignment="1">
      <alignment horizontal="centerContinuous"/>
    </xf>
    <xf numFmtId="0" fontId="87" fillId="4" borderId="41" xfId="0" applyFont="1" applyFill="1" applyBorder="1" applyAlignment="1">
      <alignment horizontal="center"/>
    </xf>
    <xf numFmtId="0" fontId="87" fillId="4" borderId="40" xfId="0" applyFont="1" applyFill="1" applyBorder="1" applyAlignment="1">
      <alignment horizontal="center"/>
    </xf>
    <xf numFmtId="0" fontId="0" fillId="0" borderId="20" xfId="0" quotePrefix="1" applyBorder="1"/>
    <xf numFmtId="190" fontId="24" fillId="0" borderId="0" xfId="0" applyNumberFormat="1" applyFont="1" applyFill="1" applyBorder="1"/>
    <xf numFmtId="0" fontId="0" fillId="0" borderId="0" xfId="0" quotePrefix="1"/>
    <xf numFmtId="183" fontId="2" fillId="0" borderId="0" xfId="4" applyNumberFormat="1"/>
    <xf numFmtId="164" fontId="88" fillId="0" borderId="42" xfId="0" applyNumberFormat="1" applyFont="1" applyBorder="1" applyAlignment="1" applyProtection="1">
      <alignment horizontal="left"/>
    </xf>
    <xf numFmtId="167" fontId="88" fillId="0" borderId="42" xfId="0" applyNumberFormat="1" applyFont="1" applyFill="1" applyBorder="1" applyAlignment="1" applyProtection="1">
      <alignment horizontal="left"/>
    </xf>
    <xf numFmtId="167" fontId="88" fillId="0" borderId="43" xfId="0" applyNumberFormat="1" applyFont="1" applyFill="1" applyBorder="1" applyProtection="1"/>
    <xf numFmtId="37" fontId="24" fillId="0" borderId="0" xfId="0" applyNumberFormat="1" applyFont="1" applyBorder="1"/>
    <xf numFmtId="190" fontId="24" fillId="0" borderId="14" xfId="0" applyNumberFormat="1" applyFont="1" applyBorder="1" applyProtection="1"/>
    <xf numFmtId="0" fontId="1" fillId="0" borderId="25" xfId="0" applyFont="1" applyBorder="1" applyAlignment="1">
      <alignment horizontal="right"/>
    </xf>
    <xf numFmtId="167" fontId="87" fillId="4" borderId="41" xfId="0" applyNumberFormat="1" applyFont="1" applyFill="1" applyBorder="1"/>
    <xf numFmtId="0" fontId="1" fillId="0" borderId="0" xfId="0" applyFont="1" applyFill="1" applyBorder="1" applyAlignment="1">
      <alignment horizontal="centerContinuous"/>
    </xf>
    <xf numFmtId="164" fontId="82" fillId="0" borderId="32" xfId="0" applyNumberFormat="1" applyFont="1" applyBorder="1" applyAlignment="1" applyProtection="1">
      <alignment horizontal="left"/>
    </xf>
    <xf numFmtId="167" fontId="24" fillId="0" borderId="44" xfId="0" applyNumberFormat="1" applyFont="1" applyFill="1" applyBorder="1" applyProtection="1"/>
    <xf numFmtId="0" fontId="87" fillId="0" borderId="0" xfId="0" applyFont="1" applyFill="1" applyBorder="1" applyAlignment="1">
      <alignment horizontal="center"/>
    </xf>
    <xf numFmtId="164" fontId="24" fillId="4" borderId="20" xfId="0" applyNumberFormat="1" applyFont="1" applyFill="1" applyBorder="1" applyAlignment="1" applyProtection="1">
      <alignment horizontal="left"/>
    </xf>
    <xf numFmtId="0" fontId="24" fillId="4" borderId="0" xfId="0" applyFont="1" applyFill="1" applyBorder="1"/>
    <xf numFmtId="167" fontId="24" fillId="4" borderId="0" xfId="0" applyNumberFormat="1" applyFont="1" applyFill="1" applyBorder="1" applyProtection="1"/>
    <xf numFmtId="164" fontId="80" fillId="0" borderId="28" xfId="0" applyNumberFormat="1" applyFont="1" applyBorder="1" applyAlignment="1" applyProtection="1">
      <alignment horizontal="centerContinuous"/>
    </xf>
    <xf numFmtId="0" fontId="24" fillId="0" borderId="45" xfId="0" applyFont="1" applyBorder="1" applyAlignment="1">
      <alignment horizontal="centerContinuous"/>
    </xf>
    <xf numFmtId="167" fontId="24" fillId="0" borderId="45" xfId="0" applyNumberFormat="1" applyFont="1" applyFill="1" applyBorder="1" applyAlignment="1" applyProtection="1">
      <alignment horizontal="centerContinuous"/>
    </xf>
    <xf numFmtId="167" fontId="89" fillId="0" borderId="42" xfId="0" applyNumberFormat="1" applyFont="1" applyBorder="1" applyAlignment="1" applyProtection="1">
      <alignment horizontal="left"/>
    </xf>
    <xf numFmtId="167" fontId="89" fillId="0" borderId="43" xfId="0" applyNumberFormat="1" applyFont="1" applyBorder="1" applyProtection="1"/>
    <xf numFmtId="167" fontId="24" fillId="0" borderId="14" xfId="0" applyNumberFormat="1" applyFont="1" applyBorder="1" applyProtection="1"/>
    <xf numFmtId="0" fontId="4" fillId="0" borderId="32" xfId="0" applyFont="1" applyBorder="1"/>
    <xf numFmtId="39" fontId="24" fillId="0" borderId="14" xfId="0" applyNumberFormat="1" applyFont="1" applyBorder="1" applyProtection="1"/>
    <xf numFmtId="0" fontId="87" fillId="4" borderId="27" xfId="0" applyFont="1" applyFill="1" applyBorder="1" applyAlignment="1">
      <alignment horizontal="center"/>
    </xf>
    <xf numFmtId="0" fontId="2" fillId="0" borderId="0" xfId="0" applyFont="1"/>
    <xf numFmtId="164" fontId="24" fillId="0" borderId="42" xfId="0" applyNumberFormat="1" applyFont="1" applyBorder="1" applyAlignment="1" applyProtection="1">
      <alignment horizontal="left"/>
    </xf>
    <xf numFmtId="168" fontId="24" fillId="0" borderId="43" xfId="0" applyNumberFormat="1" applyFont="1" applyBorder="1" applyProtection="1"/>
    <xf numFmtId="0" fontId="4" fillId="0" borderId="41" xfId="0" applyFont="1" applyBorder="1"/>
    <xf numFmtId="0" fontId="1" fillId="0" borderId="46" xfId="0" applyFont="1" applyBorder="1" applyAlignment="1">
      <alignment horizontal="right"/>
    </xf>
    <xf numFmtId="167" fontId="90" fillId="0" borderId="14" xfId="0" applyNumberFormat="1" applyFont="1" applyFill="1" applyBorder="1" applyProtection="1"/>
    <xf numFmtId="164" fontId="24" fillId="0" borderId="25" xfId="0" applyNumberFormat="1" applyFont="1" applyBorder="1" applyAlignment="1" applyProtection="1">
      <alignment horizontal="right"/>
    </xf>
    <xf numFmtId="164" fontId="24" fillId="0" borderId="25" xfId="0" applyNumberFormat="1" applyFont="1" applyBorder="1" applyProtection="1"/>
    <xf numFmtId="167" fontId="24" fillId="4" borderId="41" xfId="0" applyNumberFormat="1" applyFont="1" applyFill="1" applyBorder="1" applyProtection="1"/>
    <xf numFmtId="167" fontId="80" fillId="0" borderId="47" xfId="0" applyNumberFormat="1" applyFont="1" applyBorder="1" applyAlignment="1" applyProtection="1">
      <alignment horizontal="right"/>
    </xf>
    <xf numFmtId="167" fontId="24" fillId="4" borderId="48" xfId="0" applyNumberFormat="1" applyFont="1" applyFill="1" applyBorder="1" applyProtection="1"/>
    <xf numFmtId="167" fontId="24" fillId="4" borderId="49" xfId="0" applyNumberFormat="1" applyFont="1" applyFill="1" applyBorder="1" applyProtection="1"/>
    <xf numFmtId="0" fontId="87" fillId="4" borderId="37" xfId="0" applyFont="1" applyFill="1" applyBorder="1" applyAlignment="1">
      <alignment horizontal="centerContinuous"/>
    </xf>
    <xf numFmtId="0" fontId="49" fillId="4" borderId="2" xfId="0" applyFont="1" applyFill="1" applyBorder="1" applyAlignment="1">
      <alignment horizontal="centerContinuous"/>
    </xf>
    <xf numFmtId="0" fontId="49" fillId="4" borderId="2" xfId="0" applyFont="1" applyFill="1" applyBorder="1"/>
    <xf numFmtId="0" fontId="49" fillId="4" borderId="40" xfId="0" applyFont="1" applyFill="1" applyBorder="1"/>
    <xf numFmtId="0" fontId="49" fillId="4" borderId="40" xfId="0" applyFont="1" applyFill="1" applyBorder="1" applyAlignment="1">
      <alignment horizontal="centerContinuous"/>
    </xf>
    <xf numFmtId="0" fontId="49" fillId="2" borderId="50" xfId="0" applyFont="1" applyFill="1" applyBorder="1" applyAlignment="1">
      <alignment horizontal="centerContinuous"/>
    </xf>
    <xf numFmtId="0" fontId="49" fillId="2" borderId="51" xfId="0" applyFont="1" applyFill="1" applyBorder="1" applyAlignment="1">
      <alignment horizontal="centerContinuous"/>
    </xf>
    <xf numFmtId="0" fontId="49" fillId="2" borderId="52" xfId="0" applyFont="1" applyFill="1" applyBorder="1" applyAlignment="1">
      <alignment horizontal="centerContinuous"/>
    </xf>
    <xf numFmtId="0" fontId="49" fillId="2" borderId="53" xfId="0" applyFont="1" applyFill="1" applyBorder="1" applyAlignment="1">
      <alignment horizontal="centerContinuous"/>
    </xf>
    <xf numFmtId="0" fontId="49" fillId="2" borderId="52" xfId="0" applyFont="1" applyFill="1" applyBorder="1" applyAlignment="1">
      <alignment horizontal="left"/>
    </xf>
    <xf numFmtId="0" fontId="84" fillId="0" borderId="54" xfId="0" applyFont="1" applyFill="1" applyBorder="1"/>
    <xf numFmtId="0" fontId="84" fillId="0" borderId="55" xfId="0" applyFont="1" applyFill="1" applyBorder="1"/>
    <xf numFmtId="0" fontId="84" fillId="0" borderId="56" xfId="0" applyFont="1" applyFill="1" applyBorder="1"/>
    <xf numFmtId="0" fontId="84" fillId="0" borderId="0" xfId="0" applyFont="1" applyFill="1" applyBorder="1"/>
    <xf numFmtId="0" fontId="91" fillId="0" borderId="54" xfId="0" applyFont="1" applyFill="1" applyBorder="1"/>
    <xf numFmtId="0" fontId="91" fillId="0" borderId="55" xfId="0" applyFont="1" applyFill="1" applyBorder="1"/>
    <xf numFmtId="0" fontId="84" fillId="0" borderId="14" xfId="0" applyFont="1" applyFill="1" applyBorder="1"/>
    <xf numFmtId="0" fontId="84" fillId="0" borderId="57" xfId="0" applyFont="1" applyFill="1" applyBorder="1"/>
    <xf numFmtId="0" fontId="92" fillId="0" borderId="0" xfId="0" applyFont="1" applyFill="1" applyBorder="1"/>
    <xf numFmtId="0" fontId="49" fillId="0" borderId="54" xfId="0" applyFont="1" applyFill="1" applyBorder="1"/>
    <xf numFmtId="0" fontId="49" fillId="0" borderId="55" xfId="0" applyFont="1" applyFill="1" applyBorder="1"/>
    <xf numFmtId="0" fontId="49" fillId="0" borderId="56" xfId="0" applyFont="1" applyFill="1" applyBorder="1"/>
    <xf numFmtId="0" fontId="93" fillId="4" borderId="56" xfId="0" applyFont="1" applyFill="1" applyBorder="1"/>
    <xf numFmtId="0" fontId="49" fillId="4" borderId="55" xfId="0" applyFont="1" applyFill="1" applyBorder="1"/>
    <xf numFmtId="0" fontId="91" fillId="4" borderId="56" xfId="0" applyFont="1" applyFill="1" applyBorder="1"/>
    <xf numFmtId="0" fontId="91" fillId="4" borderId="14" xfId="0" applyFont="1" applyFill="1" applyBorder="1"/>
    <xf numFmtId="0" fontId="84" fillId="4" borderId="55" xfId="0" applyFont="1" applyFill="1" applyBorder="1"/>
    <xf numFmtId="0" fontId="91" fillId="0" borderId="56" xfId="0" applyFont="1" applyFill="1" applyBorder="1"/>
    <xf numFmtId="0" fontId="49" fillId="0" borderId="50" xfId="0" applyFont="1" applyBorder="1"/>
    <xf numFmtId="0" fontId="49" fillId="0" borderId="51" xfId="0" applyFont="1" applyBorder="1"/>
    <xf numFmtId="0" fontId="49" fillId="0" borderId="52" xfId="0" applyFont="1" applyBorder="1"/>
    <xf numFmtId="0" fontId="84" fillId="0" borderId="58" xfId="0" applyFont="1" applyBorder="1"/>
    <xf numFmtId="0" fontId="84" fillId="0" borderId="53" xfId="0" applyFont="1" applyBorder="1"/>
    <xf numFmtId="0" fontId="49" fillId="0" borderId="20" xfId="0" applyFont="1" applyBorder="1" applyAlignment="1">
      <alignment horizontal="right"/>
    </xf>
    <xf numFmtId="0" fontId="49" fillId="0" borderId="59" xfId="0" applyFont="1" applyBorder="1"/>
    <xf numFmtId="0" fontId="49" fillId="0" borderId="0" xfId="0" applyFont="1" applyBorder="1" applyAlignment="1">
      <alignment horizontal="right"/>
    </xf>
    <xf numFmtId="0" fontId="49" fillId="0" borderId="14" xfId="0" applyFont="1" applyBorder="1"/>
    <xf numFmtId="0" fontId="49" fillId="0" borderId="55" xfId="0" applyFont="1" applyBorder="1"/>
    <xf numFmtId="0" fontId="49" fillId="0" borderId="60" xfId="0" applyFont="1" applyBorder="1"/>
    <xf numFmtId="0" fontId="49" fillId="0" borderId="32" xfId="0" applyFont="1" applyBorder="1"/>
    <xf numFmtId="0" fontId="49" fillId="0" borderId="61" xfId="0" applyFont="1" applyBorder="1"/>
    <xf numFmtId="0" fontId="49" fillId="0" borderId="25" xfId="0" applyFont="1" applyBorder="1"/>
    <xf numFmtId="0" fontId="49" fillId="0" borderId="25" xfId="0" applyFont="1" applyBorder="1" applyAlignment="1">
      <alignment horizontal="right"/>
    </xf>
    <xf numFmtId="0" fontId="49" fillId="4" borderId="33" xfId="0" applyFont="1" applyFill="1" applyBorder="1"/>
    <xf numFmtId="0" fontId="85" fillId="0" borderId="0" xfId="0" applyFont="1" applyAlignment="1">
      <alignment horizontal="right"/>
    </xf>
    <xf numFmtId="0" fontId="87" fillId="4" borderId="0" xfId="0" applyFont="1" applyFill="1" applyAlignment="1">
      <alignment horizontal="center" wrapText="1"/>
    </xf>
    <xf numFmtId="0" fontId="0" fillId="0" borderId="0" xfId="0" applyAlignment="1">
      <alignment horizontal="right"/>
    </xf>
    <xf numFmtId="173" fontId="0" fillId="0" borderId="0" xfId="0" applyNumberFormat="1"/>
    <xf numFmtId="173" fontId="0" fillId="0" borderId="0" xfId="0" applyNumberFormat="1" applyAlignment="1">
      <alignment horizontal="right"/>
    </xf>
    <xf numFmtId="17" fontId="0" fillId="0" borderId="0" xfId="0" applyNumberFormat="1"/>
    <xf numFmtId="0" fontId="94" fillId="0" borderId="0" xfId="0" applyFont="1"/>
    <xf numFmtId="0" fontId="31" fillId="0" borderId="0" xfId="0" applyFont="1"/>
    <xf numFmtId="0" fontId="31" fillId="0" borderId="0" xfId="0" applyFont="1" applyFill="1"/>
    <xf numFmtId="0" fontId="91" fillId="0" borderId="0" xfId="0" applyFont="1" applyFill="1"/>
    <xf numFmtId="0" fontId="94" fillId="0" borderId="0" xfId="0" applyFont="1" applyFill="1"/>
    <xf numFmtId="0" fontId="84" fillId="0" borderId="0" xfId="0" applyFont="1" applyFill="1"/>
    <xf numFmtId="0" fontId="4" fillId="0" borderId="0" xfId="0" applyFont="1" applyFill="1"/>
    <xf numFmtId="180" fontId="49" fillId="0" borderId="0" xfId="4" applyNumberFormat="1" applyFont="1" applyFill="1"/>
    <xf numFmtId="0" fontId="81" fillId="0" borderId="0" xfId="0" applyFont="1" applyFill="1"/>
    <xf numFmtId="0" fontId="91" fillId="0" borderId="0" xfId="0" applyFont="1"/>
    <xf numFmtId="0" fontId="95" fillId="0" borderId="0" xfId="0" applyFont="1" applyFill="1"/>
    <xf numFmtId="0" fontId="85" fillId="8" borderId="62" xfId="0" applyFont="1" applyFill="1" applyBorder="1" applyAlignment="1">
      <alignment horizontal="center"/>
    </xf>
    <xf numFmtId="0" fontId="85" fillId="8" borderId="3" xfId="0" applyFont="1" applyFill="1" applyBorder="1" applyAlignment="1">
      <alignment horizontal="center"/>
    </xf>
    <xf numFmtId="0" fontId="85" fillId="8" borderId="63" xfId="0" applyFont="1" applyFill="1" applyBorder="1" applyAlignment="1">
      <alignment horizontal="center"/>
    </xf>
    <xf numFmtId="0" fontId="49" fillId="0" borderId="64" xfId="0" applyFont="1" applyBorder="1"/>
    <xf numFmtId="0" fontId="85" fillId="0" borderId="65" xfId="0" applyFont="1" applyBorder="1"/>
    <xf numFmtId="0" fontId="49" fillId="0" borderId="65" xfId="0" applyFont="1" applyBorder="1"/>
    <xf numFmtId="0" fontId="49" fillId="0" borderId="66" xfId="0" applyFont="1" applyBorder="1"/>
    <xf numFmtId="0" fontId="0" fillId="0" borderId="65" xfId="0" applyBorder="1"/>
    <xf numFmtId="180" fontId="2" fillId="0" borderId="65" xfId="4" applyNumberFormat="1" applyBorder="1"/>
    <xf numFmtId="180" fontId="26" fillId="0" borderId="0" xfId="4" applyNumberFormat="1" applyFont="1" applyBorder="1"/>
    <xf numFmtId="43" fontId="2" fillId="0" borderId="0" xfId="4"/>
    <xf numFmtId="180" fontId="49" fillId="0" borderId="0" xfId="4" applyNumberFormat="1" applyFont="1" applyBorder="1"/>
    <xf numFmtId="180" fontId="49" fillId="0" borderId="6" xfId="4" applyNumberFormat="1" applyFont="1" applyBorder="1"/>
    <xf numFmtId="43" fontId="4" fillId="0" borderId="0" xfId="4" applyFont="1"/>
    <xf numFmtId="180" fontId="49" fillId="2" borderId="0" xfId="4" applyNumberFormat="1" applyFont="1" applyFill="1" applyBorder="1"/>
    <xf numFmtId="0" fontId="84" fillId="0" borderId="0" xfId="0" applyFont="1" applyBorder="1"/>
    <xf numFmtId="180" fontId="84" fillId="2" borderId="0" xfId="4" applyNumberFormat="1" applyFont="1" applyFill="1" applyBorder="1"/>
    <xf numFmtId="180" fontId="84" fillId="9" borderId="0" xfId="4" applyNumberFormat="1" applyFont="1" applyFill="1" applyBorder="1"/>
    <xf numFmtId="180" fontId="49" fillId="0" borderId="0" xfId="0" applyNumberFormat="1" applyFont="1" applyBorder="1"/>
    <xf numFmtId="180" fontId="49" fillId="0" borderId="55" xfId="0" applyNumberFormat="1" applyFont="1" applyBorder="1"/>
    <xf numFmtId="0" fontId="96" fillId="0" borderId="0" xfId="0" applyFont="1" applyBorder="1" applyAlignment="1">
      <alignment horizontal="right"/>
    </xf>
    <xf numFmtId="0" fontId="49" fillId="0" borderId="67" xfId="0" applyFont="1" applyBorder="1"/>
    <xf numFmtId="0" fontId="49" fillId="0" borderId="6" xfId="0" applyFont="1" applyBorder="1"/>
    <xf numFmtId="180" fontId="96" fillId="0" borderId="68" xfId="4" applyNumberFormat="1" applyFont="1" applyBorder="1"/>
    <xf numFmtId="180" fontId="49" fillId="0" borderId="0" xfId="4" applyNumberFormat="1" applyFont="1"/>
    <xf numFmtId="0" fontId="0" fillId="9" borderId="0" xfId="0" applyFill="1"/>
    <xf numFmtId="3" fontId="49" fillId="0" borderId="0" xfId="0" quotePrefix="1" applyNumberFormat="1" applyFont="1" applyFill="1"/>
    <xf numFmtId="0" fontId="49" fillId="0" borderId="0" xfId="0" quotePrefix="1" applyFont="1" applyFill="1"/>
    <xf numFmtId="167" fontId="86" fillId="0" borderId="29" xfId="0" applyNumberFormat="1" applyFont="1" applyFill="1" applyBorder="1" applyProtection="1"/>
    <xf numFmtId="14" fontId="84" fillId="0" borderId="56" xfId="0" applyNumberFormat="1" applyFont="1" applyFill="1" applyBorder="1"/>
    <xf numFmtId="0" fontId="84" fillId="0" borderId="69" xfId="0" applyFont="1" applyFill="1" applyBorder="1"/>
    <xf numFmtId="0" fontId="84" fillId="4" borderId="56" xfId="0" applyFont="1" applyFill="1" applyBorder="1"/>
    <xf numFmtId="0" fontId="84" fillId="4" borderId="14" xfId="0" applyFont="1" applyFill="1" applyBorder="1"/>
    <xf numFmtId="168" fontId="88" fillId="0" borderId="43" xfId="0" applyNumberFormat="1" applyFont="1" applyBorder="1" applyProtection="1"/>
    <xf numFmtId="167" fontId="83" fillId="0" borderId="66" xfId="0" applyNumberFormat="1" applyFont="1" applyFill="1" applyBorder="1" applyProtection="1"/>
    <xf numFmtId="168" fontId="83" fillId="0" borderId="27" xfId="0" applyNumberFormat="1" applyFont="1" applyFill="1" applyBorder="1" applyProtection="1"/>
    <xf numFmtId="168" fontId="83" fillId="0" borderId="14" xfId="0" applyNumberFormat="1" applyFont="1" applyFill="1" applyBorder="1" applyProtection="1"/>
    <xf numFmtId="168" fontId="83" fillId="0" borderId="29" xfId="0" applyNumberFormat="1" applyFont="1" applyFill="1" applyBorder="1" applyProtection="1"/>
    <xf numFmtId="168" fontId="24" fillId="0" borderId="70" xfId="0" applyNumberFormat="1" applyFont="1" applyFill="1" applyBorder="1" applyProtection="1"/>
    <xf numFmtId="167" fontId="24" fillId="0" borderId="71" xfId="0" applyNumberFormat="1" applyFont="1" applyFill="1" applyBorder="1" applyProtection="1"/>
    <xf numFmtId="167" fontId="24" fillId="0" borderId="29" xfId="0" applyNumberFormat="1" applyFont="1" applyFill="1" applyBorder="1" applyProtection="1"/>
    <xf numFmtId="168" fontId="24" fillId="0" borderId="29" xfId="0" applyNumberFormat="1" applyFont="1" applyFill="1" applyBorder="1" applyProtection="1"/>
    <xf numFmtId="168" fontId="24" fillId="0" borderId="14" xfId="0" applyNumberFormat="1" applyFont="1" applyFill="1" applyBorder="1" applyProtection="1"/>
    <xf numFmtId="168" fontId="24" fillId="0" borderId="72" xfId="0" applyNumberFormat="1" applyFont="1" applyFill="1" applyBorder="1" applyProtection="1"/>
    <xf numFmtId="167" fontId="83" fillId="0" borderId="72" xfId="0" applyNumberFormat="1" applyFont="1" applyFill="1" applyBorder="1" applyProtection="1"/>
    <xf numFmtId="167" fontId="24" fillId="0" borderId="72" xfId="0" applyNumberFormat="1" applyFont="1" applyFill="1" applyBorder="1" applyProtection="1"/>
    <xf numFmtId="168" fontId="24" fillId="4" borderId="70" xfId="0" applyNumberFormat="1" applyFont="1" applyFill="1" applyBorder="1" applyProtection="1"/>
    <xf numFmtId="167" fontId="24" fillId="4" borderId="70" xfId="0" applyNumberFormat="1" applyFont="1" applyFill="1" applyBorder="1" applyProtection="1"/>
    <xf numFmtId="164" fontId="80" fillId="4" borderId="73" xfId="0" quotePrefix="1" applyNumberFormat="1" applyFont="1" applyFill="1" applyBorder="1" applyAlignment="1" applyProtection="1">
      <alignment horizontal="center"/>
    </xf>
    <xf numFmtId="0" fontId="84" fillId="10" borderId="0" xfId="0" applyFont="1" applyFill="1"/>
    <xf numFmtId="0" fontId="93" fillId="0" borderId="0" xfId="0" applyFont="1" applyFill="1"/>
    <xf numFmtId="0" fontId="84" fillId="9" borderId="0" xfId="0" applyFont="1" applyFill="1"/>
    <xf numFmtId="0" fontId="80" fillId="0" borderId="0" xfId="0" applyFont="1" applyBorder="1" applyAlignment="1">
      <alignment horizontal="right"/>
    </xf>
    <xf numFmtId="167" fontId="24" fillId="0" borderId="14" xfId="0" applyNumberFormat="1" applyFont="1" applyFill="1" applyBorder="1" applyProtection="1"/>
    <xf numFmtId="0" fontId="31" fillId="0" borderId="32" xfId="0" applyFont="1" applyFill="1" applyBorder="1"/>
    <xf numFmtId="0" fontId="31" fillId="0" borderId="74" xfId="0" applyFont="1" applyFill="1" applyBorder="1"/>
    <xf numFmtId="180" fontId="31" fillId="0" borderId="74" xfId="4" applyNumberFormat="1" applyFont="1" applyFill="1" applyBorder="1"/>
    <xf numFmtId="0" fontId="31" fillId="0" borderId="75" xfId="0" applyFont="1" applyFill="1" applyBorder="1"/>
    <xf numFmtId="0" fontId="84" fillId="0" borderId="59" xfId="0" applyFont="1" applyFill="1" applyBorder="1"/>
    <xf numFmtId="164" fontId="88" fillId="4" borderId="42" xfId="0" applyNumberFormat="1" applyFont="1" applyFill="1" applyBorder="1" applyAlignment="1" applyProtection="1">
      <alignment horizontal="left"/>
    </xf>
    <xf numFmtId="168" fontId="88" fillId="4" borderId="43" xfId="0" applyNumberFormat="1" applyFont="1" applyFill="1" applyBorder="1" applyProtection="1"/>
    <xf numFmtId="167" fontId="88" fillId="4" borderId="42" xfId="0" applyNumberFormat="1" applyFont="1" applyFill="1" applyBorder="1" applyAlignment="1" applyProtection="1">
      <alignment horizontal="left"/>
    </xf>
    <xf numFmtId="167" fontId="88" fillId="4" borderId="43" xfId="0" applyNumberFormat="1" applyFont="1" applyFill="1" applyBorder="1" applyProtection="1"/>
    <xf numFmtId="0" fontId="84" fillId="11" borderId="0" xfId="0" applyFont="1" applyFill="1"/>
    <xf numFmtId="0" fontId="31" fillId="11" borderId="0" xfId="0" applyFont="1" applyFill="1"/>
    <xf numFmtId="0" fontId="84" fillId="12" borderId="14" xfId="0" applyFont="1" applyFill="1" applyBorder="1"/>
    <xf numFmtId="16" fontId="84" fillId="12" borderId="56" xfId="0" applyNumberFormat="1" applyFont="1" applyFill="1" applyBorder="1"/>
    <xf numFmtId="0" fontId="84" fillId="0" borderId="52" xfId="0" applyFont="1" applyFill="1" applyBorder="1"/>
    <xf numFmtId="0" fontId="84" fillId="0" borderId="53" xfId="0" applyFont="1" applyFill="1" applyBorder="1"/>
    <xf numFmtId="167" fontId="83" fillId="11" borderId="29" xfId="0" applyNumberFormat="1" applyFont="1" applyFill="1" applyBorder="1" applyProtection="1"/>
    <xf numFmtId="190" fontId="24" fillId="11" borderId="76" xfId="0" applyNumberFormat="1" applyFont="1" applyFill="1" applyBorder="1" applyProtection="1"/>
    <xf numFmtId="167" fontId="83" fillId="11" borderId="14" xfId="0" applyNumberFormat="1" applyFont="1" applyFill="1" applyBorder="1" applyProtection="1"/>
    <xf numFmtId="1" fontId="84" fillId="0" borderId="55" xfId="0" applyNumberFormat="1" applyFont="1" applyFill="1" applyBorder="1"/>
    <xf numFmtId="17" fontId="49" fillId="0" borderId="0" xfId="0" quotePrefix="1" applyNumberFormat="1" applyFont="1" applyFill="1"/>
    <xf numFmtId="0" fontId="31" fillId="13" borderId="0" xfId="0" applyFont="1" applyFill="1"/>
    <xf numFmtId="1" fontId="31" fillId="13" borderId="0" xfId="0" applyNumberFormat="1" applyFont="1" applyFill="1"/>
    <xf numFmtId="0" fontId="84" fillId="13" borderId="56" xfId="0" applyFont="1" applyFill="1" applyBorder="1"/>
    <xf numFmtId="0" fontId="84" fillId="13" borderId="55" xfId="0" applyFont="1" applyFill="1" applyBorder="1"/>
    <xf numFmtId="174" fontId="84" fillId="0" borderId="14" xfId="0" applyNumberFormat="1" applyFont="1" applyBorder="1"/>
    <xf numFmtId="167" fontId="83" fillId="14" borderId="27" xfId="0" applyNumberFormat="1" applyFont="1" applyFill="1" applyBorder="1" applyProtection="1"/>
    <xf numFmtId="168" fontId="83" fillId="14" borderId="27" xfId="0" applyNumberFormat="1" applyFont="1" applyFill="1" applyBorder="1" applyProtection="1"/>
    <xf numFmtId="168" fontId="83" fillId="14" borderId="14" xfId="0" applyNumberFormat="1" applyFont="1" applyFill="1" applyBorder="1" applyProtection="1"/>
    <xf numFmtId="167" fontId="83" fillId="14" borderId="29" xfId="0" applyNumberFormat="1" applyFont="1" applyFill="1" applyBorder="1" applyProtection="1"/>
    <xf numFmtId="168" fontId="83" fillId="14" borderId="29" xfId="0" applyNumberFormat="1" applyFont="1" applyFill="1" applyBorder="1" applyProtection="1"/>
    <xf numFmtId="167" fontId="24" fillId="14" borderId="31" xfId="0" applyNumberFormat="1" applyFont="1" applyFill="1" applyBorder="1" applyProtection="1"/>
    <xf numFmtId="168" fontId="24" fillId="14" borderId="70" xfId="0" applyNumberFormat="1" applyFont="1" applyFill="1" applyBorder="1" applyProtection="1"/>
    <xf numFmtId="167" fontId="24" fillId="14" borderId="29" xfId="0" applyNumberFormat="1" applyFont="1" applyFill="1" applyBorder="1" applyProtection="1"/>
    <xf numFmtId="168" fontId="24" fillId="14" borderId="29" xfId="0" applyNumberFormat="1" applyFont="1" applyFill="1" applyBorder="1" applyProtection="1"/>
    <xf numFmtId="168" fontId="24" fillId="14" borderId="14" xfId="0" applyNumberFormat="1" applyFont="1" applyFill="1" applyBorder="1" applyProtection="1"/>
    <xf numFmtId="168" fontId="24" fillId="14" borderId="72" xfId="0" applyNumberFormat="1" applyFont="1" applyFill="1" applyBorder="1" applyProtection="1"/>
    <xf numFmtId="167" fontId="24" fillId="14" borderId="70" xfId="0" applyNumberFormat="1" applyFont="1" applyFill="1" applyBorder="1" applyProtection="1"/>
    <xf numFmtId="167" fontId="83" fillId="14" borderId="72" xfId="0" applyNumberFormat="1" applyFont="1" applyFill="1" applyBorder="1" applyProtection="1"/>
    <xf numFmtId="167" fontId="24" fillId="14" borderId="72" xfId="0" applyNumberFormat="1" applyFont="1" applyFill="1" applyBorder="1" applyProtection="1"/>
    <xf numFmtId="167" fontId="24" fillId="14" borderId="36" xfId="0" applyNumberFormat="1" applyFont="1" applyFill="1" applyBorder="1" applyProtection="1"/>
    <xf numFmtId="167" fontId="24" fillId="0" borderId="31" xfId="0" applyNumberFormat="1" applyFont="1" applyFill="1" applyBorder="1" applyProtection="1"/>
    <xf numFmtId="167" fontId="24" fillId="0" borderId="36" xfId="0" applyNumberFormat="1" applyFont="1" applyFill="1" applyBorder="1" applyProtection="1"/>
    <xf numFmtId="167" fontId="83" fillId="0" borderId="14" xfId="0" applyNumberFormat="1" applyFont="1" applyFill="1" applyBorder="1" applyProtection="1"/>
    <xf numFmtId="190" fontId="24" fillId="0" borderId="76" xfId="0" applyNumberFormat="1" applyFont="1" applyFill="1" applyBorder="1" applyProtection="1"/>
    <xf numFmtId="164" fontId="88" fillId="0" borderId="42" xfId="0" applyNumberFormat="1" applyFont="1" applyFill="1" applyBorder="1" applyAlignment="1" applyProtection="1">
      <alignment horizontal="left"/>
    </xf>
    <xf numFmtId="168" fontId="88" fillId="0" borderId="43" xfId="0" applyNumberFormat="1" applyFont="1" applyFill="1" applyBorder="1" applyProtection="1"/>
    <xf numFmtId="0" fontId="80" fillId="14" borderId="18" xfId="0" applyFont="1" applyFill="1" applyBorder="1"/>
    <xf numFmtId="164" fontId="80" fillId="14" borderId="18" xfId="0" applyNumberFormat="1" applyFont="1" applyFill="1" applyBorder="1" applyAlignment="1" applyProtection="1">
      <alignment horizontal="center"/>
    </xf>
    <xf numFmtId="164" fontId="80" fillId="14" borderId="19" xfId="0" applyNumberFormat="1" applyFont="1" applyFill="1" applyBorder="1" applyAlignment="1" applyProtection="1">
      <alignment horizontal="center"/>
    </xf>
    <xf numFmtId="164" fontId="79" fillId="14" borderId="21" xfId="0" applyNumberFormat="1" applyFont="1" applyFill="1" applyBorder="1" applyAlignment="1" applyProtection="1">
      <alignment horizontal="center"/>
    </xf>
    <xf numFmtId="164" fontId="80" fillId="14" borderId="0" xfId="0" applyNumberFormat="1" applyFont="1" applyFill="1" applyBorder="1" applyAlignment="1" applyProtection="1">
      <alignment horizontal="center"/>
    </xf>
    <xf numFmtId="164" fontId="80" fillId="14" borderId="22" xfId="0" applyNumberFormat="1" applyFont="1" applyFill="1" applyBorder="1" applyAlignment="1" applyProtection="1">
      <alignment horizontal="center"/>
    </xf>
    <xf numFmtId="164" fontId="80" fillId="14" borderId="24" xfId="0" applyNumberFormat="1" applyFont="1" applyFill="1" applyBorder="1" applyAlignment="1" applyProtection="1">
      <alignment horizontal="center"/>
    </xf>
    <xf numFmtId="164" fontId="80" fillId="14" borderId="25" xfId="0" applyNumberFormat="1" applyFont="1" applyFill="1" applyBorder="1" applyAlignment="1" applyProtection="1">
      <alignment horizontal="centerContinuous"/>
    </xf>
    <xf numFmtId="164" fontId="80" fillId="14" borderId="26" xfId="0" applyNumberFormat="1" applyFont="1" applyFill="1" applyBorder="1" applyAlignment="1" applyProtection="1">
      <alignment horizontal="centerContinuous"/>
    </xf>
    <xf numFmtId="0" fontId="31" fillId="14" borderId="32" xfId="0" applyFont="1" applyFill="1" applyBorder="1"/>
    <xf numFmtId="0" fontId="31" fillId="14" borderId="74" xfId="0" applyFont="1" applyFill="1" applyBorder="1"/>
    <xf numFmtId="0" fontId="4" fillId="14" borderId="32" xfId="0" applyFont="1" applyFill="1" applyBorder="1"/>
    <xf numFmtId="180" fontId="31" fillId="14" borderId="74" xfId="4" applyNumberFormat="1" applyFont="1" applyFill="1" applyBorder="1"/>
    <xf numFmtId="0" fontId="31" fillId="14" borderId="75" xfId="0" applyFont="1" applyFill="1" applyBorder="1"/>
    <xf numFmtId="0" fontId="4" fillId="14" borderId="41" xfId="0" applyFont="1" applyFill="1" applyBorder="1"/>
    <xf numFmtId="0" fontId="31" fillId="2" borderId="0" xfId="0" applyFont="1" applyFill="1"/>
    <xf numFmtId="0" fontId="84" fillId="2" borderId="0" xfId="0" applyFont="1" applyFill="1"/>
    <xf numFmtId="0" fontId="81" fillId="2" borderId="62" xfId="0" applyFont="1" applyFill="1" applyBorder="1" applyAlignment="1">
      <alignment horizontal="center"/>
    </xf>
    <xf numFmtId="0" fontId="81" fillId="2" borderId="3" xfId="0" applyFont="1" applyFill="1" applyBorder="1" applyAlignment="1">
      <alignment horizontal="center"/>
    </xf>
    <xf numFmtId="0" fontId="81" fillId="2" borderId="63" xfId="0" applyFont="1" applyFill="1" applyBorder="1" applyAlignment="1">
      <alignment horizontal="center"/>
    </xf>
    <xf numFmtId="0" fontId="4" fillId="0" borderId="32" xfId="0" applyFont="1" applyFill="1" applyBorder="1"/>
    <xf numFmtId="0" fontId="4" fillId="0" borderId="41" xfId="0" applyFont="1" applyFill="1" applyBorder="1"/>
    <xf numFmtId="0" fontId="1" fillId="4" borderId="25" xfId="0" applyFont="1" applyFill="1" applyBorder="1" applyAlignment="1">
      <alignment horizontal="right"/>
    </xf>
    <xf numFmtId="0" fontId="1" fillId="4" borderId="46" xfId="0" applyFont="1" applyFill="1" applyBorder="1" applyAlignment="1">
      <alignment horizontal="right"/>
    </xf>
    <xf numFmtId="164" fontId="80" fillId="4" borderId="24" xfId="0" quotePrefix="1" applyNumberFormat="1" applyFont="1" applyFill="1" applyBorder="1" applyAlignment="1" applyProtection="1">
      <alignment horizontal="center"/>
    </xf>
    <xf numFmtId="0" fontId="99" fillId="0" borderId="0" xfId="0" applyFont="1"/>
    <xf numFmtId="168" fontId="24" fillId="0" borderId="77" xfId="0" applyNumberFormat="1" applyFont="1" applyFill="1" applyBorder="1" applyProtection="1"/>
    <xf numFmtId="167" fontId="83" fillId="0" borderId="78" xfId="0" applyNumberFormat="1" applyFont="1" applyFill="1" applyBorder="1" applyProtection="1"/>
    <xf numFmtId="167" fontId="24" fillId="0" borderId="78" xfId="0" applyNumberFormat="1" applyFont="1" applyFill="1" applyBorder="1" applyProtection="1"/>
    <xf numFmtId="167" fontId="24" fillId="4" borderId="79" xfId="0" applyNumberFormat="1" applyFont="1" applyFill="1" applyBorder="1" applyProtection="1"/>
    <xf numFmtId="164" fontId="100" fillId="0" borderId="20" xfId="0" applyNumberFormat="1" applyFont="1" applyBorder="1" applyAlignment="1" applyProtection="1">
      <alignment horizontal="left"/>
    </xf>
    <xf numFmtId="0" fontId="84" fillId="15" borderId="0" xfId="0" applyFont="1" applyFill="1"/>
    <xf numFmtId="174" fontId="84" fillId="16" borderId="55" xfId="0" applyNumberFormat="1" applyFont="1" applyFill="1" applyBorder="1"/>
    <xf numFmtId="167" fontId="83" fillId="16" borderId="29" xfId="0" applyNumberFormat="1" applyFont="1" applyFill="1" applyBorder="1" applyProtection="1"/>
    <xf numFmtId="0" fontId="31" fillId="17" borderId="0" xfId="0" applyFont="1" applyFill="1"/>
    <xf numFmtId="0" fontId="84" fillId="16" borderId="55" xfId="0" applyFont="1" applyFill="1" applyBorder="1"/>
    <xf numFmtId="0" fontId="84" fillId="16" borderId="14" xfId="0" applyFont="1" applyFill="1" applyBorder="1"/>
    <xf numFmtId="0" fontId="84" fillId="16" borderId="0" xfId="0" applyFont="1" applyFill="1"/>
    <xf numFmtId="0" fontId="31" fillId="16" borderId="0" xfId="0" applyFont="1" applyFill="1"/>
    <xf numFmtId="0" fontId="84" fillId="16" borderId="59" xfId="0" applyFont="1" applyFill="1" applyBorder="1"/>
    <xf numFmtId="1" fontId="84" fillId="16" borderId="55" xfId="0" applyNumberFormat="1" applyFont="1" applyFill="1" applyBorder="1"/>
    <xf numFmtId="0" fontId="84" fillId="16" borderId="53" xfId="0" applyFont="1" applyFill="1" applyBorder="1"/>
    <xf numFmtId="1" fontId="31" fillId="16" borderId="0" xfId="0" applyNumberFormat="1" applyFont="1" applyFill="1"/>
    <xf numFmtId="167" fontId="83" fillId="16" borderId="14" xfId="0" applyNumberFormat="1" applyFont="1" applyFill="1" applyBorder="1" applyProtection="1"/>
    <xf numFmtId="0" fontId="4" fillId="16" borderId="0" xfId="0" applyFont="1" applyFill="1"/>
    <xf numFmtId="0" fontId="84" fillId="16" borderId="0" xfId="0" applyFont="1" applyFill="1" applyBorder="1"/>
    <xf numFmtId="0" fontId="94" fillId="16" borderId="0" xfId="0" applyFont="1" applyFill="1"/>
    <xf numFmtId="0" fontId="0" fillId="16" borderId="0" xfId="0" applyFill="1"/>
    <xf numFmtId="0" fontId="49" fillId="16" borderId="0" xfId="0" applyFont="1" applyFill="1"/>
    <xf numFmtId="164" fontId="80" fillId="14" borderId="24" xfId="0" quotePrefix="1" applyNumberFormat="1" applyFont="1" applyFill="1" applyBorder="1" applyAlignment="1" applyProtection="1">
      <alignment horizontal="center"/>
    </xf>
    <xf numFmtId="167" fontId="83" fillId="14" borderId="66" xfId="0" applyNumberFormat="1" applyFont="1" applyFill="1" applyBorder="1" applyProtection="1"/>
    <xf numFmtId="167" fontId="24" fillId="14" borderId="30" xfId="0" applyNumberFormat="1" applyFont="1" applyFill="1" applyBorder="1" applyProtection="1"/>
    <xf numFmtId="167" fontId="24" fillId="14" borderId="71" xfId="0" applyNumberFormat="1" applyFont="1" applyFill="1" applyBorder="1" applyProtection="1"/>
    <xf numFmtId="167" fontId="83" fillId="14" borderId="78" xfId="0" applyNumberFormat="1" applyFont="1" applyFill="1" applyBorder="1" applyProtection="1"/>
    <xf numFmtId="167" fontId="24" fillId="14" borderId="78" xfId="0" applyNumberFormat="1" applyFont="1" applyFill="1" applyBorder="1" applyProtection="1"/>
    <xf numFmtId="168" fontId="24" fillId="14" borderId="77" xfId="0" applyNumberFormat="1" applyFont="1" applyFill="1" applyBorder="1" applyProtection="1"/>
    <xf numFmtId="174" fontId="84" fillId="0" borderId="55" xfId="0" applyNumberFormat="1" applyFont="1" applyFill="1" applyBorder="1"/>
    <xf numFmtId="0" fontId="49" fillId="0" borderId="51" xfId="0" applyFont="1" applyFill="1" applyBorder="1"/>
    <xf numFmtId="0" fontId="31" fillId="10" borderId="0" xfId="0" applyFont="1" applyFill="1"/>
    <xf numFmtId="0" fontId="31" fillId="18" borderId="0" xfId="0" applyFont="1" applyFill="1"/>
    <xf numFmtId="180" fontId="85" fillId="0" borderId="0" xfId="4" applyNumberFormat="1" applyFont="1" applyFill="1"/>
    <xf numFmtId="167" fontId="87" fillId="0" borderId="41" xfId="0" applyNumberFormat="1" applyFont="1" applyFill="1" applyBorder="1"/>
    <xf numFmtId="167" fontId="90" fillId="19" borderId="14" xfId="0" applyNumberFormat="1" applyFont="1" applyFill="1" applyBorder="1" applyProtection="1"/>
    <xf numFmtId="16" fontId="84" fillId="2" borderId="56" xfId="0" applyNumberFormat="1" applyFont="1" applyFill="1" applyBorder="1"/>
    <xf numFmtId="0" fontId="84" fillId="2" borderId="14" xfId="0" applyFont="1" applyFill="1" applyBorder="1"/>
    <xf numFmtId="0" fontId="4" fillId="20" borderId="0" xfId="0" applyFont="1" applyFill="1"/>
    <xf numFmtId="0" fontId="0" fillId="20" borderId="0" xfId="0" applyFill="1"/>
    <xf numFmtId="0" fontId="31" fillId="20" borderId="0" xfId="0" applyFont="1" applyFill="1"/>
    <xf numFmtId="0" fontId="84" fillId="20" borderId="55" xfId="0" applyFont="1" applyFill="1" applyBorder="1"/>
    <xf numFmtId="0" fontId="84" fillId="20" borderId="0" xfId="0" applyFont="1" applyFill="1"/>
    <xf numFmtId="0" fontId="84" fillId="20" borderId="59" xfId="0" applyFont="1" applyFill="1" applyBorder="1"/>
    <xf numFmtId="0" fontId="84" fillId="20" borderId="14" xfId="0" applyFont="1" applyFill="1" applyBorder="1"/>
    <xf numFmtId="1" fontId="84" fillId="20" borderId="55" xfId="0" applyNumberFormat="1" applyFont="1" applyFill="1" applyBorder="1"/>
    <xf numFmtId="1" fontId="31" fillId="20" borderId="0" xfId="0" applyNumberFormat="1" applyFont="1" applyFill="1"/>
    <xf numFmtId="167" fontId="83" fillId="20" borderId="29" xfId="0" applyNumberFormat="1" applyFont="1" applyFill="1" applyBorder="1" applyProtection="1"/>
    <xf numFmtId="0" fontId="84" fillId="20" borderId="0" xfId="0" applyFont="1" applyFill="1" applyBorder="1"/>
    <xf numFmtId="167" fontId="83" fillId="20" borderId="0" xfId="0" applyNumberFormat="1" applyFont="1" applyFill="1" applyBorder="1" applyProtection="1"/>
    <xf numFmtId="0" fontId="31" fillId="9" borderId="0" xfId="0" applyFont="1" applyFill="1"/>
    <xf numFmtId="174" fontId="84" fillId="20" borderId="55" xfId="0" applyNumberFormat="1" applyFont="1" applyFill="1" applyBorder="1"/>
    <xf numFmtId="16" fontId="84" fillId="0" borderId="56" xfId="0" applyNumberFormat="1" applyFont="1" applyFill="1" applyBorder="1"/>
    <xf numFmtId="0" fontId="84" fillId="0" borderId="20" xfId="0" applyFont="1" applyFill="1" applyBorder="1"/>
    <xf numFmtId="0" fontId="91" fillId="9" borderId="0" xfId="0" applyFont="1" applyFill="1"/>
    <xf numFmtId="0" fontId="49" fillId="9" borderId="0" xfId="0" applyFont="1" applyFill="1"/>
    <xf numFmtId="0" fontId="24" fillId="0" borderId="0" xfId="0" applyFont="1" applyBorder="1" applyAlignment="1">
      <alignment horizontal="right"/>
    </xf>
    <xf numFmtId="0" fontId="4" fillId="9" borderId="0" xfId="0" applyFont="1" applyFill="1"/>
    <xf numFmtId="0" fontId="99" fillId="0" borderId="55" xfId="0" applyFont="1" applyFill="1" applyBorder="1"/>
    <xf numFmtId="1" fontId="31" fillId="0" borderId="0" xfId="0" applyNumberFormat="1" applyFont="1" applyFill="1"/>
    <xf numFmtId="0" fontId="84" fillId="9" borderId="14" xfId="0" applyFont="1" applyFill="1" applyBorder="1"/>
    <xf numFmtId="0" fontId="49" fillId="0" borderId="27" xfId="0" applyFont="1" applyBorder="1"/>
    <xf numFmtId="0" fontId="49" fillId="0" borderId="46" xfId="0" applyFont="1" applyBorder="1"/>
    <xf numFmtId="169" fontId="88" fillId="0" borderId="43" xfId="0" applyNumberFormat="1" applyFont="1" applyFill="1" applyBorder="1" applyProtection="1"/>
    <xf numFmtId="0" fontId="84" fillId="18" borderId="0" xfId="0" applyFont="1" applyFill="1"/>
    <xf numFmtId="0" fontId="49" fillId="18" borderId="0" xfId="0" applyFont="1" applyFill="1"/>
    <xf numFmtId="0" fontId="85" fillId="0" borderId="0" xfId="0" applyFont="1" applyFill="1" applyAlignment="1">
      <alignment horizontal="right"/>
    </xf>
    <xf numFmtId="17" fontId="49" fillId="0" borderId="0" xfId="0" applyNumberFormat="1" applyFont="1" applyFill="1"/>
    <xf numFmtId="0" fontId="84" fillId="12" borderId="0" xfId="0" applyFont="1" applyFill="1"/>
    <xf numFmtId="0" fontId="91" fillId="12" borderId="0" xfId="0" applyFont="1" applyFill="1"/>
    <xf numFmtId="0" fontId="84" fillId="9" borderId="55" xfId="0" applyFont="1" applyFill="1" applyBorder="1"/>
    <xf numFmtId="167" fontId="83" fillId="9" borderId="29" xfId="0" applyNumberFormat="1" applyFont="1" applyFill="1" applyBorder="1" applyProtection="1"/>
    <xf numFmtId="175" fontId="84" fillId="9" borderId="55" xfId="0" applyNumberFormat="1" applyFont="1" applyFill="1" applyBorder="1"/>
    <xf numFmtId="0" fontId="84" fillId="9" borderId="59" xfId="0" applyFont="1" applyFill="1" applyBorder="1"/>
    <xf numFmtId="1" fontId="84" fillId="9" borderId="55" xfId="0" applyNumberFormat="1" applyFont="1" applyFill="1" applyBorder="1"/>
    <xf numFmtId="1" fontId="31" fillId="9" borderId="0" xfId="0" applyNumberFormat="1" applyFont="1" applyFill="1"/>
    <xf numFmtId="0" fontId="99" fillId="9" borderId="55" xfId="0" applyFont="1" applyFill="1" applyBorder="1"/>
    <xf numFmtId="167" fontId="83" fillId="9" borderId="0" xfId="0" applyNumberFormat="1" applyFont="1" applyFill="1" applyBorder="1" applyProtection="1"/>
    <xf numFmtId="0" fontId="84" fillId="18" borderId="55" xfId="0" applyFont="1" applyFill="1" applyBorder="1"/>
    <xf numFmtId="0" fontId="84" fillId="21" borderId="0" xfId="0" applyFont="1" applyFill="1"/>
    <xf numFmtId="174" fontId="88" fillId="0" borderId="43" xfId="0" applyNumberFormat="1" applyFont="1" applyFill="1" applyBorder="1" applyProtection="1"/>
    <xf numFmtId="0" fontId="82" fillId="0" borderId="0" xfId="0" applyFont="1" applyBorder="1"/>
    <xf numFmtId="0" fontId="102" fillId="0" borderId="0" xfId="0" applyFont="1"/>
    <xf numFmtId="0" fontId="84" fillId="12" borderId="55" xfId="0" applyFont="1" applyFill="1" applyBorder="1"/>
    <xf numFmtId="167" fontId="83" fillId="12" borderId="29" xfId="0" applyNumberFormat="1" applyFont="1" applyFill="1" applyBorder="1" applyProtection="1"/>
    <xf numFmtId="175" fontId="84" fillId="12" borderId="55" xfId="0" applyNumberFormat="1" applyFont="1" applyFill="1" applyBorder="1"/>
    <xf numFmtId="0" fontId="84" fillId="12" borderId="0" xfId="0" applyFont="1" applyFill="1" applyBorder="1"/>
    <xf numFmtId="0" fontId="84" fillId="12" borderId="59" xfId="0" applyFont="1" applyFill="1" applyBorder="1"/>
    <xf numFmtId="1" fontId="84" fillId="12" borderId="55" xfId="0" applyNumberFormat="1" applyFont="1" applyFill="1" applyBorder="1"/>
    <xf numFmtId="0" fontId="99" fillId="12" borderId="55" xfId="0" applyFont="1" applyFill="1" applyBorder="1"/>
    <xf numFmtId="167" fontId="83" fillId="12" borderId="0" xfId="0" applyNumberFormat="1" applyFont="1" applyFill="1" applyBorder="1" applyProtection="1"/>
    <xf numFmtId="0" fontId="49" fillId="12" borderId="0" xfId="0" applyFont="1" applyFill="1"/>
    <xf numFmtId="0" fontId="102" fillId="0" borderId="54" xfId="0" applyFont="1" applyFill="1" applyBorder="1"/>
    <xf numFmtId="0" fontId="102" fillId="0" borderId="55" xfId="0" applyFont="1" applyFill="1" applyBorder="1"/>
    <xf numFmtId="14" fontId="102" fillId="0" borderId="56" xfId="0" applyNumberFormat="1" applyFont="1" applyFill="1" applyBorder="1"/>
    <xf numFmtId="0" fontId="99" fillId="0" borderId="54" xfId="0" applyFont="1" applyFill="1" applyBorder="1"/>
    <xf numFmtId="14" fontId="99" fillId="0" borderId="56" xfId="0" applyNumberFormat="1" applyFont="1" applyFill="1" applyBorder="1"/>
    <xf numFmtId="0" fontId="102" fillId="0" borderId="0" xfId="0" applyFont="1" applyFill="1"/>
    <xf numFmtId="0" fontId="99" fillId="0" borderId="0" xfId="0" applyFont="1" applyFill="1" applyBorder="1"/>
    <xf numFmtId="0" fontId="102" fillId="0" borderId="0" xfId="0" applyFont="1" applyFill="1" applyBorder="1"/>
    <xf numFmtId="0" fontId="31" fillId="0" borderId="56" xfId="0" applyFont="1" applyBorder="1"/>
    <xf numFmtId="0" fontId="31" fillId="0" borderId="14" xfId="0" applyFont="1" applyBorder="1"/>
    <xf numFmtId="0" fontId="84" fillId="0" borderId="52" xfId="0" applyFont="1" applyBorder="1"/>
    <xf numFmtId="0" fontId="84" fillId="0" borderId="51" xfId="0" applyFont="1" applyBorder="1"/>
    <xf numFmtId="0" fontId="84" fillId="0" borderId="50" xfId="0" applyFont="1" applyBorder="1"/>
    <xf numFmtId="0" fontId="84" fillId="0" borderId="51" xfId="0" applyFont="1" applyFill="1" applyBorder="1"/>
    <xf numFmtId="0" fontId="99" fillId="12" borderId="14" xfId="0" applyFont="1" applyFill="1" applyBorder="1"/>
    <xf numFmtId="0" fontId="99" fillId="12" borderId="0" xfId="0" applyFont="1" applyFill="1" applyBorder="1"/>
    <xf numFmtId="0" fontId="99" fillId="0" borderId="0" xfId="0" applyFont="1" applyFill="1"/>
    <xf numFmtId="0" fontId="81" fillId="2" borderId="62" xfId="0" applyFont="1" applyFill="1" applyBorder="1" applyAlignment="1">
      <alignment horizontal="center"/>
    </xf>
    <xf numFmtId="0" fontId="81" fillId="2" borderId="3" xfId="0" applyFont="1" applyFill="1" applyBorder="1" applyAlignment="1">
      <alignment horizontal="center"/>
    </xf>
    <xf numFmtId="0" fontId="81" fillId="2" borderId="63" xfId="0" applyFont="1" applyFill="1" applyBorder="1" applyAlignment="1">
      <alignment horizontal="center"/>
    </xf>
    <xf numFmtId="0" fontId="81" fillId="4" borderId="37" xfId="0" applyFont="1" applyFill="1" applyBorder="1" applyAlignment="1">
      <alignment horizontal="center"/>
    </xf>
    <xf numFmtId="0" fontId="81" fillId="4" borderId="40" xfId="0" applyFont="1" applyFill="1" applyBorder="1" applyAlignment="1">
      <alignment horizontal="center"/>
    </xf>
    <xf numFmtId="0" fontId="1" fillId="4" borderId="80" xfId="0" applyFont="1" applyFill="1" applyBorder="1" applyAlignment="1">
      <alignment horizontal="center"/>
    </xf>
    <xf numFmtId="0" fontId="0" fillId="0" borderId="40" xfId="0" applyBorder="1"/>
    <xf numFmtId="0" fontId="1" fillId="4" borderId="40" xfId="0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45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16" fontId="84" fillId="12" borderId="66" xfId="0" applyNumberFormat="1" applyFont="1" applyFill="1" applyBorder="1" applyAlignment="1">
      <alignment horizontal="center"/>
    </xf>
    <xf numFmtId="16" fontId="84" fillId="12" borderId="14" xfId="0" applyNumberFormat="1" applyFont="1" applyFill="1" applyBorder="1" applyAlignment="1">
      <alignment horizontal="center"/>
    </xf>
  </cellXfs>
  <cellStyles count="23">
    <cellStyle name="??_?.????" xfId="1"/>
    <cellStyle name="Actual Date" xfId="2"/>
    <cellStyle name="Calc Currency (0)" xfId="3"/>
    <cellStyle name="Comma" xfId="4" builtinId="3"/>
    <cellStyle name="Date" xfId="5"/>
    <cellStyle name="Fixed" xfId="6"/>
    <cellStyle name="Grey" xfId="7"/>
    <cellStyle name="HEADER" xfId="8"/>
    <cellStyle name="Header1" xfId="9"/>
    <cellStyle name="Header2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Percent [2]" xfId="17"/>
    <cellStyle name="Total" xfId="18" builtinId="25" customBuiltin="1"/>
    <cellStyle name="Unprot" xfId="19"/>
    <cellStyle name="Unprot$" xfId="20"/>
    <cellStyle name="Unprot_CurrencySKorea" xfId="21"/>
    <cellStyle name="Unprotect" xf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prebid9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*01"/>
      <sheetName val="Jul"/>
      <sheetName val="Sheet1"/>
      <sheetName val="Aug"/>
      <sheetName val="Jun Zone"/>
      <sheetName val="Aug Zone"/>
      <sheetName val="Sheet2"/>
      <sheetName val="Sep"/>
      <sheetName val="Sep Zone"/>
      <sheetName val="Oct"/>
      <sheetName val="Nov"/>
      <sheetName val="De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4">
          <cell r="D14">
            <v>7.5579999999999998</v>
          </cell>
        </row>
        <row r="16">
          <cell r="D16">
            <v>171.10300000000001</v>
          </cell>
        </row>
        <row r="21">
          <cell r="D21">
            <v>1075.4280000000001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J374"/>
  <sheetViews>
    <sheetView showGridLines="0" topLeftCell="A153" zoomScale="80" workbookViewId="0">
      <selection activeCell="D7" sqref="D7"/>
    </sheetView>
  </sheetViews>
  <sheetFormatPr defaultRowHeight="12"/>
  <cols>
    <col min="1" max="2" width="12.140625" style="12" customWidth="1"/>
    <col min="3" max="3" width="11.28515625" style="12" customWidth="1"/>
    <col min="4" max="4" width="11.85546875" style="12" customWidth="1"/>
    <col min="5" max="5" width="11.5703125" style="12" customWidth="1"/>
    <col min="6" max="6" width="11.7109375" style="12" customWidth="1"/>
    <col min="7" max="7" width="11.85546875" style="12" customWidth="1"/>
    <col min="8" max="8" width="11.7109375" style="12" customWidth="1"/>
    <col min="9" max="9" width="11.85546875" style="12" customWidth="1"/>
    <col min="10" max="10" width="8.7109375" style="12" customWidth="1"/>
    <col min="11" max="11" width="11.85546875" style="12" customWidth="1"/>
    <col min="12" max="12" width="9.140625" style="12"/>
    <col min="13" max="13" width="8.5703125" style="12" bestFit="1" customWidth="1"/>
    <col min="14" max="14" width="9.140625" style="12"/>
    <col min="15" max="15" width="5.5703125" style="12" customWidth="1"/>
    <col min="16" max="16384" width="9.140625" style="12"/>
  </cols>
  <sheetData>
    <row r="1" spans="1:16" s="7" customFormat="1" ht="16.5" thickBot="1">
      <c r="A1" s="1" t="s">
        <v>374</v>
      </c>
      <c r="B1" s="2"/>
      <c r="C1" s="3"/>
      <c r="D1" s="4"/>
      <c r="E1" s="2"/>
      <c r="F1" s="2"/>
      <c r="G1" s="2"/>
      <c r="H1" s="5"/>
      <c r="I1" s="6"/>
    </row>
    <row r="2" spans="1:16" ht="12.75">
      <c r="A2" s="8"/>
      <c r="B2" s="9"/>
      <c r="C2" s="9"/>
      <c r="D2" s="10"/>
      <c r="E2" s="10"/>
      <c r="F2" s="10"/>
      <c r="G2" s="9"/>
      <c r="H2" s="11"/>
    </row>
    <row r="3" spans="1:16" ht="13.5" thickBot="1">
      <c r="A3" s="13"/>
      <c r="B3" s="14"/>
      <c r="C3" s="15"/>
      <c r="D3" s="10"/>
      <c r="E3" s="15"/>
      <c r="F3" s="15"/>
      <c r="G3" s="15"/>
      <c r="H3" s="11"/>
    </row>
    <row r="4" spans="1:16" ht="12.75">
      <c r="A4" s="16"/>
      <c r="B4" s="9"/>
      <c r="C4" s="9"/>
      <c r="D4" s="17" t="s">
        <v>316</v>
      </c>
      <c r="E4" s="18"/>
      <c r="F4" s="18"/>
      <c r="G4" s="19"/>
      <c r="H4" s="20"/>
      <c r="L4"/>
    </row>
    <row r="5" spans="1:16" ht="13.5" thickBot="1">
      <c r="A5" s="21"/>
      <c r="B5" s="22"/>
      <c r="C5" s="22"/>
      <c r="D5" s="233" t="s">
        <v>328</v>
      </c>
      <c r="E5" s="23" t="s">
        <v>0</v>
      </c>
      <c r="F5" s="23" t="str">
        <f>D4</f>
        <v>January</v>
      </c>
      <c r="G5" s="24" t="str">
        <f>+F5</f>
        <v>January</v>
      </c>
      <c r="H5" s="25" t="str">
        <f>+F5</f>
        <v>January</v>
      </c>
      <c r="L5"/>
    </row>
    <row r="6" spans="1:16" ht="13.5" thickBot="1">
      <c r="A6" s="21"/>
      <c r="B6" s="22"/>
      <c r="C6" s="22"/>
      <c r="D6" s="26" t="s">
        <v>1</v>
      </c>
      <c r="E6" s="27">
        <v>99</v>
      </c>
      <c r="F6" s="27">
        <v>99</v>
      </c>
      <c r="G6" s="28" t="s">
        <v>2</v>
      </c>
      <c r="H6" s="29" t="s">
        <v>3</v>
      </c>
      <c r="I6" s="30"/>
      <c r="K6" s="424" t="s">
        <v>4</v>
      </c>
      <c r="L6" s="425"/>
    </row>
    <row r="7" spans="1:16" ht="12.75">
      <c r="A7" s="31" t="s">
        <v>5</v>
      </c>
      <c r="B7" s="22"/>
      <c r="D7" s="32">
        <f>C196+C216</f>
        <v>408.27738709677419</v>
      </c>
      <c r="E7" s="219">
        <f>696.541-E11-E12</f>
        <v>485.42900000000003</v>
      </c>
      <c r="F7" s="32">
        <v>541.20000000000005</v>
      </c>
      <c r="G7" s="220">
        <f>D7*1.1</f>
        <v>449.10512580645167</v>
      </c>
      <c r="H7" s="221">
        <f>D7*0.9</f>
        <v>367.44964838709677</v>
      </c>
      <c r="I7" s="33"/>
      <c r="K7" s="34" t="s">
        <v>6</v>
      </c>
      <c r="L7" s="35">
        <f>C123</f>
        <v>16.5</v>
      </c>
      <c r="N7"/>
      <c r="O7"/>
    </row>
    <row r="8" spans="1:16" ht="12.75">
      <c r="A8" s="31" t="s">
        <v>319</v>
      </c>
      <c r="B8" s="22"/>
      <c r="C8" s="36"/>
      <c r="D8" s="254">
        <f>65.7+96</f>
        <v>161.69999999999999</v>
      </c>
      <c r="E8" s="219">
        <f>73.512+94.368</f>
        <v>167.88</v>
      </c>
      <c r="F8" s="37">
        <f>74.712+42.511</f>
        <v>117.22300000000001</v>
      </c>
      <c r="G8" s="222">
        <f>73+105</f>
        <v>178</v>
      </c>
      <c r="H8" s="221">
        <f>65.7+60</f>
        <v>125.7</v>
      </c>
      <c r="I8" s="30"/>
      <c r="K8" s="38" t="s">
        <v>7</v>
      </c>
      <c r="L8" s="39">
        <f>C124+C200</f>
        <v>0</v>
      </c>
      <c r="N8"/>
      <c r="O8"/>
    </row>
    <row r="9" spans="1:16" ht="12.75">
      <c r="A9" s="31" t="s">
        <v>8</v>
      </c>
      <c r="B9" s="22"/>
      <c r="C9" s="10"/>
      <c r="D9" s="254">
        <v>20</v>
      </c>
      <c r="E9" s="219">
        <f>38.325-5</f>
        <v>33.325000000000003</v>
      </c>
      <c r="F9" s="37">
        <v>26.905999999999999</v>
      </c>
      <c r="G9" s="222">
        <v>60</v>
      </c>
      <c r="H9" s="221">
        <v>20</v>
      </c>
      <c r="I9" s="30"/>
      <c r="K9" s="38" t="s">
        <v>9</v>
      </c>
      <c r="L9" s="263">
        <f>C130+C202</f>
        <v>13.548387096774194</v>
      </c>
      <c r="N9"/>
      <c r="O9"/>
    </row>
    <row r="10" spans="1:16" ht="12.75">
      <c r="A10" s="31" t="s">
        <v>10</v>
      </c>
      <c r="B10" s="22"/>
      <c r="C10" s="22"/>
      <c r="D10" s="254">
        <f>26.165+1.377</f>
        <v>27.541999999999998</v>
      </c>
      <c r="E10" s="219">
        <v>27</v>
      </c>
      <c r="F10" s="37">
        <v>86.2</v>
      </c>
      <c r="G10" s="222">
        <v>0</v>
      </c>
      <c r="H10" s="221">
        <v>0</v>
      </c>
      <c r="I10" s="40"/>
      <c r="K10" s="38" t="s">
        <v>11</v>
      </c>
      <c r="L10" s="39">
        <f>C132+C203</f>
        <v>0</v>
      </c>
      <c r="N10"/>
      <c r="O10"/>
    </row>
    <row r="11" spans="1:16" ht="12.75">
      <c r="A11" s="31" t="s">
        <v>330</v>
      </c>
      <c r="B11" s="22"/>
      <c r="C11" s="22"/>
      <c r="D11" s="254">
        <v>120.4</v>
      </c>
      <c r="E11" s="219">
        <v>114.471</v>
      </c>
      <c r="F11" s="37">
        <v>75.492999999999995</v>
      </c>
      <c r="G11" s="222">
        <v>145</v>
      </c>
      <c r="H11" s="221">
        <v>90</v>
      </c>
      <c r="I11" s="30"/>
      <c r="K11" s="38" t="s">
        <v>12</v>
      </c>
      <c r="L11" s="39">
        <f>C139+C204</f>
        <v>0</v>
      </c>
      <c r="N11"/>
      <c r="O11"/>
    </row>
    <row r="12" spans="1:16" ht="12.75">
      <c r="A12" s="31" t="s">
        <v>13</v>
      </c>
      <c r="B12" s="22"/>
      <c r="C12" s="22"/>
      <c r="D12" s="254">
        <v>95</v>
      </c>
      <c r="E12" s="219">
        <v>96.641000000000005</v>
      </c>
      <c r="F12" s="37">
        <v>99.506</v>
      </c>
      <c r="G12" s="222">
        <f>90*1.05</f>
        <v>94.5</v>
      </c>
      <c r="H12" s="221">
        <f>90*0.95</f>
        <v>85.5</v>
      </c>
      <c r="I12" s="30"/>
      <c r="K12" s="38" t="s">
        <v>14</v>
      </c>
      <c r="L12" s="39">
        <f>C149+C207</f>
        <v>80</v>
      </c>
      <c r="N12"/>
      <c r="O12"/>
    </row>
    <row r="13" spans="1:16" ht="12.75">
      <c r="A13" s="31" t="s">
        <v>15</v>
      </c>
      <c r="B13" s="22"/>
      <c r="C13" s="22"/>
      <c r="D13" s="254">
        <f>30+25</f>
        <v>55</v>
      </c>
      <c r="E13" s="219">
        <v>84.808999999999997</v>
      </c>
      <c r="F13" s="37">
        <f>1839.749/31</f>
        <v>59.34674193548387</v>
      </c>
      <c r="G13" s="222">
        <v>180</v>
      </c>
      <c r="H13" s="221">
        <v>0</v>
      </c>
      <c r="I13" s="30"/>
      <c r="J13"/>
      <c r="K13" s="38" t="s">
        <v>16</v>
      </c>
      <c r="L13" s="39">
        <f>C148+C206</f>
        <v>0</v>
      </c>
      <c r="N13"/>
      <c r="O13"/>
    </row>
    <row r="14" spans="1:16" ht="12.75">
      <c r="A14" s="31" t="s">
        <v>17</v>
      </c>
      <c r="B14" s="22"/>
      <c r="C14" s="22"/>
      <c r="D14" s="37">
        <f>B77</f>
        <v>10.558</v>
      </c>
      <c r="E14" s="219">
        <f>[1]Dec!D14</f>
        <v>7.5579999999999998</v>
      </c>
      <c r="F14" s="37">
        <v>14.9</v>
      </c>
      <c r="G14" s="222">
        <f>D14*1.05</f>
        <v>11.085900000000001</v>
      </c>
      <c r="H14" s="221">
        <f>D14*0.95</f>
        <v>10.030099999999999</v>
      </c>
      <c r="I14" s="30"/>
      <c r="K14" s="38" t="s">
        <v>18</v>
      </c>
      <c r="L14" s="39">
        <f>C152+C208</f>
        <v>35</v>
      </c>
      <c r="N14"/>
      <c r="O14"/>
    </row>
    <row r="15" spans="1:16" ht="12.75">
      <c r="A15" s="31" t="s">
        <v>19</v>
      </c>
      <c r="B15" s="41"/>
      <c r="C15" s="22"/>
      <c r="D15" s="213">
        <v>291.63799999999998</v>
      </c>
      <c r="E15" s="219">
        <v>166.97200000000001</v>
      </c>
      <c r="F15" s="37">
        <v>224</v>
      </c>
      <c r="G15" s="222">
        <v>1174</v>
      </c>
      <c r="H15" s="221">
        <v>0</v>
      </c>
      <c r="I15" s="30"/>
      <c r="K15" s="38" t="s">
        <v>20</v>
      </c>
      <c r="L15" s="39">
        <f>C164+C210</f>
        <v>0</v>
      </c>
      <c r="N15"/>
      <c r="O15"/>
      <c r="P15"/>
    </row>
    <row r="16" spans="1:16" ht="12.75">
      <c r="A16" s="31" t="s">
        <v>21</v>
      </c>
      <c r="B16" s="36"/>
      <c r="C16" s="36"/>
      <c r="D16" s="37">
        <f>F78-B77</f>
        <v>257.21000000000004</v>
      </c>
      <c r="E16" s="219">
        <f>[1]Dec!D16</f>
        <v>171.10300000000001</v>
      </c>
      <c r="F16" s="37">
        <v>10</v>
      </c>
      <c r="G16" s="222">
        <v>0</v>
      </c>
      <c r="H16" s="221">
        <v>0</v>
      </c>
      <c r="I16" s="42"/>
      <c r="K16" s="38" t="s">
        <v>22</v>
      </c>
      <c r="L16" s="39">
        <f>C120</f>
        <v>0</v>
      </c>
      <c r="N16"/>
      <c r="O16"/>
    </row>
    <row r="17" spans="1:36" ht="12.75">
      <c r="A17" s="31" t="s">
        <v>23</v>
      </c>
      <c r="B17" s="22"/>
      <c r="C17" s="22"/>
      <c r="D17" s="43">
        <f>SUM(D7:D16)</f>
        <v>1447.3253870967742</v>
      </c>
      <c r="E17" s="44">
        <f>SUM(E7:E16)</f>
        <v>1355.1880000000001</v>
      </c>
      <c r="F17" s="44">
        <f>SUM(F7:F16)</f>
        <v>1254.7747419354837</v>
      </c>
      <c r="G17" s="44">
        <f>SUM(G7:G16)</f>
        <v>2291.6910258064518</v>
      </c>
      <c r="H17" s="231">
        <f>SUM(H7:H16)</f>
        <v>698.67974838709665</v>
      </c>
      <c r="I17" s="33"/>
      <c r="K17" s="38" t="s">
        <v>24</v>
      </c>
      <c r="L17" s="39">
        <f>C182+C212</f>
        <v>40</v>
      </c>
      <c r="N17"/>
      <c r="O17" s="45"/>
    </row>
    <row r="18" spans="1:36" ht="12.75">
      <c r="A18" s="31" t="s">
        <v>25</v>
      </c>
      <c r="B18" s="22"/>
      <c r="C18" s="22"/>
      <c r="D18" s="46">
        <f>D29</f>
        <v>-64.516129032258064</v>
      </c>
      <c r="E18" s="224">
        <v>0</v>
      </c>
      <c r="F18" s="225">
        <v>0</v>
      </c>
      <c r="G18" s="226">
        <v>0</v>
      </c>
      <c r="H18" s="227">
        <v>0</v>
      </c>
      <c r="I18" s="30"/>
      <c r="K18" s="38" t="s">
        <v>26</v>
      </c>
      <c r="L18" s="39">
        <f>C183</f>
        <v>19</v>
      </c>
      <c r="N18" s="45"/>
      <c r="O18"/>
    </row>
    <row r="19" spans="1:36" ht="13.5" thickBot="1">
      <c r="A19" s="31" t="s">
        <v>27</v>
      </c>
      <c r="B19" s="22"/>
      <c r="C19" s="22"/>
      <c r="D19" s="37">
        <v>2.5</v>
      </c>
      <c r="E19" s="37">
        <v>2.5</v>
      </c>
      <c r="F19" s="37">
        <v>2.5</v>
      </c>
      <c r="G19" s="228">
        <v>0</v>
      </c>
      <c r="H19" s="227">
        <v>0</v>
      </c>
      <c r="I19" s="30"/>
      <c r="K19" s="47" t="s">
        <v>28</v>
      </c>
      <c r="L19" s="48">
        <f>C187+C215</f>
        <v>65</v>
      </c>
      <c r="N19"/>
    </row>
    <row r="20" spans="1:36" ht="12.75">
      <c r="A20" s="49"/>
      <c r="B20" s="22"/>
      <c r="C20" s="50" t="s">
        <v>29</v>
      </c>
      <c r="D20" s="44">
        <f>D19+D18+D17</f>
        <v>1385.3092580645161</v>
      </c>
      <c r="E20" s="44">
        <f>E19+E18+E17</f>
        <v>1357.6880000000001</v>
      </c>
      <c r="F20" s="44">
        <f>F19+F18+F17</f>
        <v>1257.2747419354837</v>
      </c>
      <c r="G20" s="44">
        <f>G19+G18+G17</f>
        <v>2291.6910258064518</v>
      </c>
      <c r="H20" s="232">
        <f>H19+H18+H17</f>
        <v>698.67974838709665</v>
      </c>
      <c r="I20" s="30"/>
      <c r="L20"/>
    </row>
    <row r="21" spans="1:36" ht="12.75">
      <c r="A21" s="31" t="s">
        <v>30</v>
      </c>
      <c r="B21" s="22"/>
      <c r="C21" s="22"/>
      <c r="D21" s="46">
        <f>D41</f>
        <v>1168.8259999999998</v>
      </c>
      <c r="E21" s="229">
        <f>[1]Dec!D21</f>
        <v>1075.4280000000001</v>
      </c>
      <c r="F21" s="229">
        <v>782.9</v>
      </c>
      <c r="G21" s="230">
        <f>D21</f>
        <v>1168.8259999999998</v>
      </c>
      <c r="H21" s="223">
        <f>D21</f>
        <v>1168.8259999999998</v>
      </c>
      <c r="I21" s="30"/>
      <c r="L21"/>
    </row>
    <row r="22" spans="1:36" ht="13.5" thickBot="1">
      <c r="A22" s="51"/>
      <c r="B22" s="52"/>
      <c r="C22" s="53" t="s">
        <v>31</v>
      </c>
      <c r="D22" s="54">
        <f>D21-D20</f>
        <v>-216.48325806451635</v>
      </c>
      <c r="E22" s="54">
        <f>E20-E21</f>
        <v>282.26</v>
      </c>
      <c r="F22" s="54"/>
      <c r="G22" s="54">
        <f>+G20-G21</f>
        <v>1122.865025806452</v>
      </c>
      <c r="H22" s="54">
        <f>+(H20-H21)</f>
        <v>-470.14625161290314</v>
      </c>
      <c r="I22" s="33"/>
      <c r="L22"/>
    </row>
    <row r="23" spans="1:36" ht="4.5" customHeight="1">
      <c r="A23" s="55"/>
      <c r="B23" s="22"/>
      <c r="C23" s="56"/>
      <c r="D23" s="57"/>
      <c r="E23" s="58"/>
      <c r="F23" s="58"/>
      <c r="G23" s="59"/>
      <c r="H23" s="59"/>
      <c r="I23" s="33"/>
      <c r="L23"/>
    </row>
    <row r="24" spans="1:36" ht="12.75">
      <c r="A24" s="49"/>
      <c r="C24" s="237" t="s">
        <v>334</v>
      </c>
      <c r="D24" s="238">
        <f>38.059</f>
        <v>38.058999999999997</v>
      </c>
      <c r="E24" s="58"/>
      <c r="F24" s="58"/>
      <c r="G24" s="58"/>
      <c r="H24" s="58"/>
      <c r="I24" s="33"/>
      <c r="L24"/>
    </row>
    <row r="25" spans="1:36" ht="12.75">
      <c r="A25" s="49"/>
      <c r="C25" s="60" t="s">
        <v>32</v>
      </c>
      <c r="D25" s="238">
        <v>0</v>
      </c>
      <c r="E25" s="58"/>
      <c r="F25" s="58"/>
      <c r="G25" s="58"/>
      <c r="H25" s="58"/>
      <c r="I25" s="33"/>
      <c r="L25"/>
    </row>
    <row r="26" spans="1:36" s="67" customFormat="1" ht="13.5" customHeight="1" thickBot="1">
      <c r="A26" s="61"/>
      <c r="B26" s="62"/>
      <c r="C26" s="63" t="s">
        <v>33</v>
      </c>
      <c r="D26" s="64">
        <f>D22+D25+D24</f>
        <v>-178.42425806451635</v>
      </c>
      <c r="E26" s="58"/>
      <c r="F26" s="58"/>
      <c r="G26" s="58"/>
      <c r="H26" s="58"/>
      <c r="I26" s="33"/>
      <c r="J26" s="65"/>
      <c r="K26" s="65"/>
      <c r="L26" s="66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</row>
    <row r="27" spans="1:36" ht="8.25" customHeight="1" thickBot="1">
      <c r="A27" s="68"/>
      <c r="B27" s="69"/>
      <c r="C27" s="70"/>
      <c r="D27" s="71"/>
      <c r="E27" s="10"/>
      <c r="F27" s="10"/>
      <c r="G27" s="72"/>
      <c r="H27" s="73"/>
      <c r="I27" s="74"/>
      <c r="L27"/>
    </row>
    <row r="28" spans="1:36" ht="13.5" thickBot="1">
      <c r="A28" s="429" t="s">
        <v>34</v>
      </c>
      <c r="B28" s="430"/>
      <c r="C28" s="430"/>
      <c r="D28" s="431"/>
      <c r="E28" s="75" t="s">
        <v>35</v>
      </c>
      <c r="F28" s="76"/>
      <c r="G28" s="77"/>
      <c r="H28" s="78"/>
      <c r="I28" s="426" t="s">
        <v>36</v>
      </c>
      <c r="J28" s="427"/>
      <c r="L28"/>
    </row>
    <row r="29" spans="1:36" ht="13.5" thickBot="1">
      <c r="A29" s="31" t="s">
        <v>37</v>
      </c>
      <c r="B29" s="72"/>
      <c r="C29" s="72"/>
      <c r="D29" s="255">
        <f>(B30+B31)/31</f>
        <v>-64.516129032258064</v>
      </c>
      <c r="E29" s="79" t="s">
        <v>38</v>
      </c>
      <c r="F29" s="80"/>
      <c r="G29" s="81" t="s">
        <v>39</v>
      </c>
      <c r="H29" s="82"/>
      <c r="I29" s="83" t="s">
        <v>40</v>
      </c>
      <c r="J29" s="84" t="s">
        <v>41</v>
      </c>
      <c r="L29"/>
    </row>
    <row r="30" spans="1:36" ht="13.5" thickBot="1">
      <c r="A30" s="85" t="s">
        <v>42</v>
      </c>
      <c r="B30" s="86">
        <v>-2000</v>
      </c>
      <c r="C30" s="87" t="s">
        <v>43</v>
      </c>
      <c r="D30" s="88"/>
      <c r="E30" s="244" t="s">
        <v>325</v>
      </c>
      <c r="F30" s="245">
        <v>42</v>
      </c>
      <c r="G30" s="90" t="s">
        <v>332</v>
      </c>
      <c r="H30" s="91">
        <v>1.2</v>
      </c>
      <c r="I30" s="239">
        <f>37.5+5+25</f>
        <v>67.5</v>
      </c>
      <c r="J30" s="240">
        <f>45+10</f>
        <v>55</v>
      </c>
      <c r="K30"/>
    </row>
    <row r="31" spans="1:36" ht="13.5" thickBot="1">
      <c r="A31" s="85" t="s">
        <v>44</v>
      </c>
      <c r="B31" s="92">
        <v>0</v>
      </c>
      <c r="C31" s="22"/>
      <c r="D31" s="93"/>
      <c r="E31" s="246" t="s">
        <v>201</v>
      </c>
      <c r="F31" s="247">
        <v>9</v>
      </c>
      <c r="G31" s="90" t="s">
        <v>337</v>
      </c>
      <c r="H31" s="91">
        <v>0.66</v>
      </c>
      <c r="I31" s="94" t="s">
        <v>45</v>
      </c>
      <c r="J31" s="95">
        <f>+I30-J30</f>
        <v>12.5</v>
      </c>
      <c r="K31" s="96"/>
      <c r="L31" s="96"/>
    </row>
    <row r="32" spans="1:36" ht="13.5" thickBot="1">
      <c r="A32" s="97"/>
      <c r="B32" s="52"/>
      <c r="C32" s="52"/>
      <c r="D32" s="98"/>
      <c r="E32" s="244" t="s">
        <v>326</v>
      </c>
      <c r="F32" s="245">
        <v>25</v>
      </c>
      <c r="G32" s="90" t="s">
        <v>338</v>
      </c>
      <c r="H32" s="91">
        <v>2</v>
      </c>
      <c r="I32"/>
      <c r="J32"/>
      <c r="K32" s="99"/>
      <c r="L32" s="99"/>
    </row>
    <row r="33" spans="1:18" ht="13.5" thickBot="1">
      <c r="A33" s="100"/>
      <c r="B33" s="101"/>
      <c r="C33" s="101"/>
      <c r="D33" s="102"/>
      <c r="E33" s="244" t="s">
        <v>327</v>
      </c>
      <c r="F33" s="245">
        <v>2</v>
      </c>
      <c r="G33" s="90" t="s">
        <v>339</v>
      </c>
      <c r="H33" s="91">
        <v>0.86099999999999999</v>
      </c>
      <c r="I33" s="426" t="s">
        <v>46</v>
      </c>
      <c r="J33" s="428"/>
      <c r="K33" s="74"/>
      <c r="L33" s="74"/>
    </row>
    <row r="34" spans="1:18" ht="13.5" thickBot="1">
      <c r="A34" s="103" t="s">
        <v>47</v>
      </c>
      <c r="B34" s="104"/>
      <c r="C34" s="104"/>
      <c r="D34" s="105"/>
      <c r="E34" s="89" t="s">
        <v>222</v>
      </c>
      <c r="F34" s="218">
        <v>0.9</v>
      </c>
      <c r="G34" s="106" t="s">
        <v>340</v>
      </c>
      <c r="H34" s="107">
        <v>0.01</v>
      </c>
      <c r="I34" s="83" t="s">
        <v>48</v>
      </c>
      <c r="J34" s="84" t="s">
        <v>49</v>
      </c>
      <c r="K34"/>
      <c r="L34"/>
    </row>
    <row r="35" spans="1:18" ht="13.5" thickBot="1">
      <c r="A35" s="31"/>
      <c r="B35" s="22"/>
      <c r="C35" s="22"/>
      <c r="D35" s="108"/>
      <c r="E35" s="89" t="s">
        <v>214</v>
      </c>
      <c r="F35" s="218">
        <v>6</v>
      </c>
      <c r="G35" s="106"/>
      <c r="H35" s="107"/>
      <c r="I35" s="109">
        <v>0</v>
      </c>
      <c r="J35" s="241">
        <f>-30+20</f>
        <v>-10</v>
      </c>
      <c r="K35"/>
      <c r="L35"/>
    </row>
    <row r="36" spans="1:18" ht="13.5" thickBot="1">
      <c r="A36" s="31" t="s">
        <v>50</v>
      </c>
      <c r="B36" s="22"/>
      <c r="C36" s="22"/>
      <c r="D36" s="110">
        <f>K196/1000</f>
        <v>91.921000000000006</v>
      </c>
      <c r="E36" s="89"/>
      <c r="F36" s="218"/>
      <c r="G36" s="106"/>
      <c r="H36" s="107"/>
      <c r="I36" s="111" t="s">
        <v>51</v>
      </c>
      <c r="J36" s="84" t="s">
        <v>52</v>
      </c>
      <c r="K36" s="112"/>
      <c r="L36"/>
    </row>
    <row r="37" spans="1:18" ht="13.5" thickBot="1">
      <c r="A37" s="31" t="s">
        <v>53</v>
      </c>
      <c r="B37" s="22"/>
      <c r="C37" s="22"/>
      <c r="D37" s="108">
        <f>L78</f>
        <v>415.57799999999997</v>
      </c>
      <c r="E37" s="89"/>
      <c r="F37" s="218"/>
      <c r="G37" s="113"/>
      <c r="H37" s="114"/>
      <c r="I37" s="242">
        <v>30</v>
      </c>
      <c r="J37" s="115">
        <v>0</v>
      </c>
      <c r="K37" s="112"/>
      <c r="L37"/>
    </row>
    <row r="38" spans="1:18" ht="13.5" thickBot="1">
      <c r="A38" s="31" t="s">
        <v>54</v>
      </c>
      <c r="B38" s="22"/>
      <c r="C38" s="22"/>
      <c r="D38" s="256">
        <v>40</v>
      </c>
      <c r="E38" s="89"/>
      <c r="F38" s="218"/>
      <c r="G38" s="113"/>
      <c r="H38" s="114"/>
      <c r="I38" s="116" t="s">
        <v>55</v>
      </c>
      <c r="J38" s="95">
        <f>J31+I35+J35+I37+J37</f>
        <v>32.5</v>
      </c>
      <c r="K38" s="112"/>
      <c r="L38"/>
    </row>
    <row r="39" spans="1:18" ht="13.5" thickBot="1">
      <c r="A39" s="31" t="s">
        <v>56</v>
      </c>
      <c r="B39" s="22"/>
      <c r="C39" s="22"/>
      <c r="D39" s="117">
        <f>637.762+14-19.33-2.759-7.672-0.148-0.7+0.16-0.2+0.214</f>
        <v>621.32699999999977</v>
      </c>
      <c r="E39" s="89"/>
      <c r="F39" s="218"/>
      <c r="G39" s="10"/>
      <c r="H39" s="11"/>
      <c r="K39"/>
      <c r="L39"/>
    </row>
    <row r="40" spans="1:18" ht="13.5" thickBot="1">
      <c r="A40" s="31"/>
      <c r="B40" s="22"/>
      <c r="C40" s="22"/>
      <c r="D40" s="108"/>
      <c r="E40" s="89"/>
      <c r="F40" s="218"/>
      <c r="G40" s="10"/>
      <c r="H40" s="11"/>
      <c r="I40" s="426" t="s">
        <v>57</v>
      </c>
      <c r="J40" s="427"/>
      <c r="K40"/>
      <c r="L40"/>
    </row>
    <row r="41" spans="1:18" ht="13.5" thickBot="1">
      <c r="A41" s="51"/>
      <c r="B41" s="118" t="s">
        <v>58</v>
      </c>
      <c r="C41" s="119" t="str">
        <f>+F5</f>
        <v>January</v>
      </c>
      <c r="D41" s="120">
        <f>SUM(D36:D39)</f>
        <v>1168.8259999999998</v>
      </c>
      <c r="E41" s="121" t="s">
        <v>59</v>
      </c>
      <c r="F41" s="122">
        <f>SUM(F30:F39)</f>
        <v>84.9</v>
      </c>
      <c r="G41" s="121" t="s">
        <v>59</v>
      </c>
      <c r="H41" s="123">
        <f>SUM(H30:H40)</f>
        <v>4.7309999999999999</v>
      </c>
      <c r="I41"/>
      <c r="J41" s="95">
        <v>15</v>
      </c>
      <c r="K41"/>
      <c r="L41"/>
    </row>
    <row r="42" spans="1:18" ht="12.75" thickBot="1"/>
    <row r="43" spans="1:18" ht="12.75" thickBot="1">
      <c r="A43" s="124" t="s">
        <v>60</v>
      </c>
      <c r="B43" s="125"/>
      <c r="C43" s="125"/>
      <c r="D43" s="125"/>
      <c r="E43" s="126"/>
      <c r="F43" s="127"/>
      <c r="G43" s="124" t="s">
        <v>61</v>
      </c>
      <c r="H43" s="125"/>
      <c r="I43" s="125"/>
      <c r="J43" s="125"/>
      <c r="K43" s="125"/>
      <c r="L43" s="128"/>
      <c r="P43" s="12" t="s">
        <v>62</v>
      </c>
    </row>
    <row r="44" spans="1:18">
      <c r="A44" s="129" t="s">
        <v>63</v>
      </c>
      <c r="B44" s="130"/>
      <c r="C44" s="131" t="s">
        <v>64</v>
      </c>
      <c r="D44" s="130"/>
      <c r="E44" s="131" t="s">
        <v>65</v>
      </c>
      <c r="F44" s="132"/>
      <c r="G44" s="133"/>
      <c r="H44" s="130"/>
      <c r="I44" s="131" t="s">
        <v>64</v>
      </c>
      <c r="J44" s="130"/>
      <c r="K44" s="131" t="s">
        <v>65</v>
      </c>
      <c r="L44" s="132"/>
      <c r="P44" s="12" t="s">
        <v>66</v>
      </c>
      <c r="Q44" s="12">
        <v>6789</v>
      </c>
      <c r="R44" s="12">
        <v>8000</v>
      </c>
    </row>
    <row r="45" spans="1:18">
      <c r="A45" s="134" t="s">
        <v>67</v>
      </c>
      <c r="B45" s="135">
        <v>0.2</v>
      </c>
      <c r="C45" s="136" t="s">
        <v>317</v>
      </c>
      <c r="D45" s="135">
        <v>10</v>
      </c>
      <c r="E45" s="215" t="s">
        <v>329</v>
      </c>
      <c r="F45" s="135">
        <v>4</v>
      </c>
      <c r="G45" s="138"/>
      <c r="H45" s="139"/>
      <c r="I45" s="136" t="s">
        <v>68</v>
      </c>
      <c r="J45" s="243">
        <v>40</v>
      </c>
      <c r="K45" s="136" t="s">
        <v>97</v>
      </c>
      <c r="L45" s="140">
        <v>25</v>
      </c>
    </row>
    <row r="46" spans="1:18">
      <c r="A46" s="134" t="s">
        <v>69</v>
      </c>
      <c r="B46" s="135">
        <v>0.21199999999999999</v>
      </c>
      <c r="C46" s="136" t="s">
        <v>67</v>
      </c>
      <c r="D46" s="135">
        <v>5</v>
      </c>
      <c r="E46" s="136" t="s">
        <v>323</v>
      </c>
      <c r="F46" s="140">
        <v>28</v>
      </c>
      <c r="G46" s="138"/>
      <c r="H46" s="139"/>
      <c r="I46" s="141" t="s">
        <v>71</v>
      </c>
      <c r="J46" s="257">
        <v>10</v>
      </c>
      <c r="K46" s="136" t="s">
        <v>323</v>
      </c>
      <c r="L46" s="140">
        <v>28</v>
      </c>
    </row>
    <row r="47" spans="1:18">
      <c r="A47" s="134" t="s">
        <v>72</v>
      </c>
      <c r="B47" s="135">
        <v>4.8000000000000001E-2</v>
      </c>
      <c r="C47" s="136" t="s">
        <v>11</v>
      </c>
      <c r="D47" s="135">
        <v>5</v>
      </c>
      <c r="E47" s="214" t="s">
        <v>74</v>
      </c>
      <c r="F47" s="140">
        <v>10</v>
      </c>
      <c r="G47" s="138"/>
      <c r="H47" s="139"/>
      <c r="I47" s="141" t="s">
        <v>75</v>
      </c>
      <c r="J47" s="135">
        <v>20</v>
      </c>
      <c r="K47" s="136" t="s">
        <v>335</v>
      </c>
      <c r="L47" s="140">
        <v>20</v>
      </c>
    </row>
    <row r="48" spans="1:18">
      <c r="A48" s="134" t="s">
        <v>76</v>
      </c>
      <c r="B48" s="135">
        <v>0.45</v>
      </c>
      <c r="C48" s="136" t="s">
        <v>70</v>
      </c>
      <c r="D48" s="135">
        <v>4</v>
      </c>
      <c r="E48" s="136" t="s">
        <v>77</v>
      </c>
      <c r="F48" s="140">
        <v>10</v>
      </c>
      <c r="G48" s="138"/>
      <c r="H48" s="139"/>
      <c r="I48" s="141" t="s">
        <v>78</v>
      </c>
      <c r="J48" s="135">
        <v>20</v>
      </c>
      <c r="K48" s="136" t="s">
        <v>336</v>
      </c>
      <c r="L48" s="140">
        <v>5</v>
      </c>
    </row>
    <row r="49" spans="1:12">
      <c r="A49" s="134" t="s">
        <v>79</v>
      </c>
      <c r="B49" s="135">
        <v>4.8000000000000001E-2</v>
      </c>
      <c r="C49" s="136" t="s">
        <v>327</v>
      </c>
      <c r="D49" s="135">
        <v>2</v>
      </c>
      <c r="E49" s="136"/>
      <c r="F49" s="140"/>
      <c r="G49" s="138"/>
      <c r="H49" s="139"/>
      <c r="I49" s="141" t="s">
        <v>82</v>
      </c>
      <c r="J49" s="135">
        <v>4</v>
      </c>
      <c r="K49" s="136"/>
      <c r="L49" s="140"/>
    </row>
    <row r="50" spans="1:12">
      <c r="A50" s="134"/>
      <c r="B50" s="135"/>
      <c r="C50" s="261" t="s">
        <v>347</v>
      </c>
      <c r="D50" s="262">
        <v>7.21</v>
      </c>
      <c r="E50" s="251">
        <v>36516</v>
      </c>
      <c r="F50" s="250"/>
      <c r="G50" s="138"/>
      <c r="H50" s="139"/>
      <c r="I50" s="141" t="s">
        <v>87</v>
      </c>
      <c r="J50" s="135">
        <v>33.700000000000003</v>
      </c>
      <c r="K50" s="251">
        <v>36516</v>
      </c>
      <c r="L50" s="250"/>
    </row>
    <row r="51" spans="1:12">
      <c r="A51" s="134" t="s">
        <v>83</v>
      </c>
      <c r="B51" s="135">
        <v>0.5</v>
      </c>
      <c r="C51" s="136" t="s">
        <v>16</v>
      </c>
      <c r="D51" s="135">
        <v>35</v>
      </c>
      <c r="E51" s="136" t="s">
        <v>345</v>
      </c>
      <c r="F51" s="140">
        <v>10</v>
      </c>
      <c r="G51" s="138"/>
      <c r="H51" s="139"/>
      <c r="I51" s="141" t="s">
        <v>90</v>
      </c>
      <c r="J51" s="135">
        <v>15</v>
      </c>
      <c r="K51" s="136" t="s">
        <v>350</v>
      </c>
      <c r="L51" s="140">
        <v>5</v>
      </c>
    </row>
    <row r="52" spans="1:12">
      <c r="A52" s="134" t="s">
        <v>85</v>
      </c>
      <c r="B52" s="135">
        <v>9.1</v>
      </c>
      <c r="C52" s="136" t="s">
        <v>73</v>
      </c>
      <c r="D52" s="135">
        <v>30</v>
      </c>
      <c r="E52" s="136" t="s">
        <v>81</v>
      </c>
      <c r="F52" s="140">
        <v>10</v>
      </c>
      <c r="G52" s="138"/>
      <c r="H52" s="139"/>
      <c r="I52" s="141" t="s">
        <v>91</v>
      </c>
      <c r="J52" s="135">
        <v>2</v>
      </c>
      <c r="K52" s="136" t="s">
        <v>324</v>
      </c>
      <c r="L52" s="140">
        <v>10</v>
      </c>
    </row>
    <row r="53" spans="1:12">
      <c r="A53" s="134"/>
      <c r="B53" s="135"/>
      <c r="C53" s="136" t="s">
        <v>77</v>
      </c>
      <c r="D53" s="135">
        <v>2.5</v>
      </c>
      <c r="E53" s="136" t="s">
        <v>352</v>
      </c>
      <c r="F53" s="140">
        <v>2</v>
      </c>
      <c r="G53" s="138"/>
      <c r="H53" s="139"/>
      <c r="I53" s="141" t="s">
        <v>93</v>
      </c>
      <c r="J53" s="135">
        <v>30</v>
      </c>
      <c r="K53" s="136" t="s">
        <v>346</v>
      </c>
      <c r="L53" s="140">
        <v>5</v>
      </c>
    </row>
    <row r="54" spans="1:12">
      <c r="A54" s="138"/>
      <c r="B54" s="139"/>
      <c r="C54" s="136" t="s">
        <v>326</v>
      </c>
      <c r="D54" s="135">
        <v>15</v>
      </c>
      <c r="E54" s="136"/>
      <c r="F54" s="140"/>
      <c r="G54" s="138"/>
      <c r="H54" s="139"/>
      <c r="I54" s="141" t="s">
        <v>94</v>
      </c>
      <c r="J54" s="135">
        <v>5</v>
      </c>
      <c r="K54" s="136" t="s">
        <v>254</v>
      </c>
      <c r="L54" s="140">
        <f>6.345+0.18</f>
        <v>6.5249999999999995</v>
      </c>
    </row>
    <row r="55" spans="1:12">
      <c r="A55" s="138"/>
      <c r="B55" s="139"/>
      <c r="C55" s="136" t="s">
        <v>92</v>
      </c>
      <c r="D55" s="135">
        <v>5</v>
      </c>
      <c r="E55" s="136" t="s">
        <v>318</v>
      </c>
      <c r="F55" s="140"/>
      <c r="G55" s="138"/>
      <c r="H55" s="139"/>
      <c r="I55" s="141" t="s">
        <v>95</v>
      </c>
      <c r="J55" s="135">
        <v>20</v>
      </c>
      <c r="K55" s="136" t="s">
        <v>353</v>
      </c>
      <c r="L55" s="140">
        <f>12.1+7.8</f>
        <v>19.899999999999999</v>
      </c>
    </row>
    <row r="56" spans="1:12">
      <c r="A56" s="138"/>
      <c r="B56" s="139"/>
      <c r="C56" s="136" t="s">
        <v>80</v>
      </c>
      <c r="D56" s="135">
        <v>20</v>
      </c>
      <c r="E56" s="136" t="s">
        <v>320</v>
      </c>
      <c r="F56" s="135"/>
      <c r="G56" s="138"/>
      <c r="H56" s="139"/>
      <c r="I56" s="141"/>
      <c r="J56" s="135"/>
      <c r="K56" s="251">
        <v>36516</v>
      </c>
      <c r="L56" s="250"/>
    </row>
    <row r="57" spans="1:12">
      <c r="A57" s="138"/>
      <c r="B57" s="139"/>
      <c r="C57" s="136" t="s">
        <v>84</v>
      </c>
      <c r="D57" s="135">
        <v>4.5</v>
      </c>
      <c r="E57" s="136" t="s">
        <v>321</v>
      </c>
      <c r="F57" s="137"/>
      <c r="G57" s="138"/>
      <c r="H57" s="139"/>
      <c r="I57" s="141"/>
      <c r="J57" s="135"/>
      <c r="K57" s="136" t="s">
        <v>364</v>
      </c>
      <c r="L57" s="140">
        <v>4.72</v>
      </c>
    </row>
    <row r="58" spans="1:12">
      <c r="A58" s="138"/>
      <c r="B58" s="139"/>
      <c r="C58" s="136" t="s">
        <v>85</v>
      </c>
      <c r="D58" s="135">
        <v>8</v>
      </c>
      <c r="E58" s="136"/>
      <c r="F58" s="142"/>
      <c r="G58" s="138"/>
      <c r="H58" s="139"/>
      <c r="I58" s="141"/>
      <c r="J58" s="135"/>
      <c r="K58" s="136"/>
      <c r="L58" s="140"/>
    </row>
    <row r="59" spans="1:12">
      <c r="A59" s="138"/>
      <c r="B59" s="139"/>
      <c r="C59" s="136" t="s">
        <v>89</v>
      </c>
      <c r="D59" s="135">
        <v>2</v>
      </c>
      <c r="E59" s="136"/>
      <c r="F59" s="137"/>
      <c r="G59" s="138"/>
      <c r="H59" s="139"/>
      <c r="I59" s="141"/>
      <c r="J59" s="135"/>
      <c r="K59" s="136"/>
      <c r="L59" s="140"/>
    </row>
    <row r="60" spans="1:12">
      <c r="A60" s="138"/>
      <c r="B60" s="139"/>
      <c r="C60" s="136"/>
      <c r="D60" s="135"/>
      <c r="E60" s="136"/>
      <c r="F60" s="142"/>
      <c r="G60" s="138"/>
      <c r="H60" s="139"/>
      <c r="I60" s="141"/>
      <c r="J60" s="135"/>
      <c r="K60" s="136"/>
      <c r="L60" s="140"/>
    </row>
    <row r="61" spans="1:12">
      <c r="A61" s="138"/>
      <c r="B61" s="139"/>
      <c r="C61" s="136"/>
      <c r="D61" s="135"/>
      <c r="E61" s="136"/>
      <c r="F61" s="142"/>
      <c r="G61" s="138"/>
      <c r="H61" s="139"/>
      <c r="I61" s="141"/>
      <c r="J61" s="135"/>
      <c r="K61" s="136"/>
      <c r="L61" s="140"/>
    </row>
    <row r="62" spans="1:12">
      <c r="A62" s="138"/>
      <c r="B62" s="139"/>
      <c r="C62" s="136"/>
      <c r="D62" s="135"/>
      <c r="E62" s="136"/>
      <c r="F62" s="142"/>
      <c r="G62" s="138"/>
      <c r="H62" s="139"/>
      <c r="I62" s="141"/>
      <c r="J62" s="135"/>
      <c r="K62" s="136"/>
      <c r="L62" s="140"/>
    </row>
    <row r="63" spans="1:12">
      <c r="A63" s="143"/>
      <c r="B63" s="144"/>
      <c r="C63" s="136"/>
      <c r="D63" s="135"/>
      <c r="E63" s="136"/>
      <c r="F63" s="137"/>
      <c r="G63" s="138"/>
      <c r="H63" s="139"/>
      <c r="I63" s="141"/>
      <c r="J63" s="135"/>
      <c r="K63" s="136"/>
      <c r="L63" s="140"/>
    </row>
    <row r="64" spans="1:12">
      <c r="A64" s="143"/>
      <c r="B64" s="144"/>
      <c r="C64" s="146" t="s">
        <v>98</v>
      </c>
      <c r="D64" s="147"/>
      <c r="E64" s="148"/>
      <c r="F64" s="149"/>
      <c r="G64" s="138"/>
      <c r="H64" s="139"/>
      <c r="I64" s="146" t="s">
        <v>98</v>
      </c>
      <c r="J64" s="150"/>
      <c r="K64" s="216"/>
      <c r="L64" s="217"/>
    </row>
    <row r="65" spans="1:12">
      <c r="A65" s="143"/>
      <c r="B65" s="144"/>
      <c r="C65" s="136" t="s">
        <v>99</v>
      </c>
      <c r="D65" s="135">
        <v>18</v>
      </c>
      <c r="E65" s="136"/>
      <c r="F65" s="140"/>
      <c r="G65" s="151"/>
      <c r="H65" s="139"/>
      <c r="I65" s="136" t="s">
        <v>324</v>
      </c>
      <c r="J65" s="135">
        <v>5</v>
      </c>
      <c r="K65" s="136" t="s">
        <v>95</v>
      </c>
      <c r="L65" s="140">
        <v>5</v>
      </c>
    </row>
    <row r="66" spans="1:12">
      <c r="A66" s="143"/>
      <c r="B66" s="144"/>
      <c r="C66" s="136" t="s">
        <v>101</v>
      </c>
      <c r="D66" s="135">
        <v>10</v>
      </c>
      <c r="E66" s="136"/>
      <c r="F66" s="140"/>
      <c r="G66" s="138"/>
      <c r="H66" s="139"/>
      <c r="I66" s="136" t="s">
        <v>100</v>
      </c>
      <c r="J66" s="135">
        <v>8</v>
      </c>
      <c r="K66" s="136"/>
      <c r="L66" s="140"/>
    </row>
    <row r="67" spans="1:12">
      <c r="A67" s="143"/>
      <c r="B67" s="144"/>
      <c r="C67" s="136"/>
      <c r="D67" s="135"/>
      <c r="E67" s="136"/>
      <c r="F67" s="140"/>
      <c r="G67" s="138"/>
      <c r="H67" s="139"/>
      <c r="I67" s="136" t="s">
        <v>81</v>
      </c>
      <c r="J67" s="135">
        <v>5</v>
      </c>
      <c r="K67" s="136"/>
      <c r="L67" s="140"/>
    </row>
    <row r="68" spans="1:12">
      <c r="A68" s="143"/>
      <c r="B68" s="144"/>
      <c r="C68" s="136"/>
      <c r="D68" s="135"/>
      <c r="E68" s="136"/>
      <c r="F68" s="140"/>
      <c r="G68" s="138"/>
      <c r="H68" s="139"/>
      <c r="I68" s="136" t="s">
        <v>348</v>
      </c>
      <c r="J68" s="135">
        <v>10</v>
      </c>
      <c r="K68" s="251">
        <v>36516</v>
      </c>
      <c r="L68" s="250"/>
    </row>
    <row r="69" spans="1:12">
      <c r="A69" s="143"/>
      <c r="B69" s="144"/>
      <c r="C69" s="145"/>
      <c r="D69" s="144"/>
      <c r="E69" s="136"/>
      <c r="F69" s="140"/>
      <c r="G69" s="138"/>
      <c r="H69" s="139"/>
      <c r="I69" s="151"/>
      <c r="J69" s="139"/>
      <c r="K69" s="136" t="s">
        <v>344</v>
      </c>
      <c r="L69" s="140">
        <v>5</v>
      </c>
    </row>
    <row r="70" spans="1:12">
      <c r="A70" s="143"/>
      <c r="B70" s="144"/>
      <c r="C70" s="145"/>
      <c r="D70" s="144"/>
      <c r="E70" s="136"/>
      <c r="F70" s="140"/>
      <c r="G70" s="138"/>
      <c r="H70" s="139"/>
      <c r="I70" s="151"/>
      <c r="J70" s="139"/>
      <c r="K70" s="136" t="s">
        <v>78</v>
      </c>
      <c r="L70" s="140">
        <f>6.533+3.5</f>
        <v>10.033000000000001</v>
      </c>
    </row>
    <row r="71" spans="1:12">
      <c r="A71" s="143"/>
      <c r="B71" s="144"/>
      <c r="C71" s="145"/>
      <c r="D71" s="144"/>
      <c r="E71" s="136"/>
      <c r="F71" s="140"/>
      <c r="G71" s="138"/>
      <c r="H71" s="139"/>
      <c r="I71" s="151"/>
      <c r="J71" s="139"/>
      <c r="K71" s="136" t="s">
        <v>149</v>
      </c>
      <c r="L71" s="140">
        <f>15.5+10.7</f>
        <v>26.2</v>
      </c>
    </row>
    <row r="72" spans="1:12">
      <c r="A72" s="143"/>
      <c r="B72" s="144"/>
      <c r="C72" s="145"/>
      <c r="D72" s="144"/>
      <c r="E72" s="136"/>
      <c r="F72" s="140"/>
      <c r="G72" s="138"/>
      <c r="H72" s="139"/>
      <c r="I72" s="151"/>
      <c r="J72" s="139"/>
      <c r="K72" s="251">
        <v>36516</v>
      </c>
      <c r="L72" s="250"/>
    </row>
    <row r="73" spans="1:12">
      <c r="A73" s="143"/>
      <c r="B73" s="144"/>
      <c r="C73" s="145"/>
      <c r="D73" s="144"/>
      <c r="E73" s="136"/>
      <c r="F73" s="140"/>
      <c r="G73" s="138"/>
      <c r="H73" s="139"/>
      <c r="I73" s="151"/>
      <c r="J73" s="139"/>
      <c r="K73" s="136" t="s">
        <v>363</v>
      </c>
      <c r="L73" s="140">
        <v>12.5</v>
      </c>
    </row>
    <row r="74" spans="1:12">
      <c r="A74" s="143"/>
      <c r="B74" s="144"/>
      <c r="C74" s="145"/>
      <c r="D74" s="144"/>
      <c r="E74" s="136"/>
      <c r="F74" s="140"/>
      <c r="G74" s="138"/>
      <c r="H74" s="139"/>
      <c r="I74" s="151"/>
      <c r="J74" s="139"/>
      <c r="K74" s="136"/>
      <c r="L74" s="140"/>
    </row>
    <row r="75" spans="1:12">
      <c r="A75" s="143"/>
      <c r="B75" s="144"/>
      <c r="C75" s="145"/>
      <c r="D75" s="144"/>
      <c r="E75" s="136"/>
      <c r="F75" s="140"/>
      <c r="G75" s="138"/>
      <c r="H75" s="139"/>
      <c r="I75" s="151"/>
      <c r="J75" s="139"/>
      <c r="K75" s="136"/>
      <c r="L75" s="140"/>
    </row>
    <row r="76" spans="1:12">
      <c r="A76" s="152"/>
      <c r="B76" s="153"/>
      <c r="C76" s="154"/>
      <c r="D76" s="153"/>
      <c r="E76" s="155"/>
      <c r="F76" s="156"/>
      <c r="G76" s="152"/>
      <c r="H76" s="153"/>
      <c r="I76" s="154"/>
      <c r="J76" s="153"/>
      <c r="K76" s="252"/>
      <c r="L76" s="253"/>
    </row>
    <row r="77" spans="1:12">
      <c r="A77" s="157" t="s">
        <v>103</v>
      </c>
      <c r="B77" s="158">
        <f>SUM(B44:B76)</f>
        <v>10.558</v>
      </c>
      <c r="C77" s="159" t="s">
        <v>103</v>
      </c>
      <c r="D77" s="158">
        <f>SUM(D44:D76)</f>
        <v>183.21</v>
      </c>
      <c r="E77" s="159" t="s">
        <v>103</v>
      </c>
      <c r="F77" s="160">
        <f>SUM(F44:F76)</f>
        <v>74</v>
      </c>
      <c r="G77" s="157"/>
      <c r="H77" s="158"/>
      <c r="I77" s="159" t="s">
        <v>103</v>
      </c>
      <c r="J77" s="161">
        <f>SUM(J44:J76)</f>
        <v>227.7</v>
      </c>
      <c r="K77" s="159" t="s">
        <v>103</v>
      </c>
      <c r="L77" s="162">
        <f>SUM(L44:L76)</f>
        <v>187.87799999999999</v>
      </c>
    </row>
    <row r="78" spans="1:12" ht="12.75" thickBot="1">
      <c r="A78" s="163"/>
      <c r="B78" s="164"/>
      <c r="C78" s="165"/>
      <c r="D78" s="164"/>
      <c r="E78" s="166" t="s">
        <v>104</v>
      </c>
      <c r="F78" s="167">
        <f>+B77+F77+D77</f>
        <v>267.76800000000003</v>
      </c>
      <c r="G78" s="163"/>
      <c r="H78" s="164"/>
      <c r="I78" s="165"/>
      <c r="J78" s="164"/>
      <c r="K78" s="166" t="s">
        <v>104</v>
      </c>
      <c r="L78" s="167">
        <f>J77+L77</f>
        <v>415.57799999999997</v>
      </c>
    </row>
    <row r="79" spans="1:12" ht="12.75">
      <c r="G79" s="168"/>
      <c r="H79"/>
    </row>
    <row r="80" spans="1:12" ht="12.75">
      <c r="G80" s="168"/>
      <c r="H80"/>
    </row>
    <row r="81" spans="1:15" ht="12.75">
      <c r="H81"/>
    </row>
    <row r="82" spans="1:15" ht="12.75" hidden="1">
      <c r="E82"/>
      <c r="G82" s="12" t="s">
        <v>105</v>
      </c>
      <c r="H82"/>
    </row>
    <row r="83" spans="1:15" ht="24" hidden="1">
      <c r="A83" s="169" t="s">
        <v>106</v>
      </c>
      <c r="B83" s="169" t="s">
        <v>107</v>
      </c>
      <c r="C83" s="169" t="s">
        <v>108</v>
      </c>
      <c r="D83" s="169" t="s">
        <v>109</v>
      </c>
      <c r="E83" s="169" t="s">
        <v>110</v>
      </c>
      <c r="F83" s="169" t="s">
        <v>111</v>
      </c>
      <c r="G83" s="12">
        <v>1.65</v>
      </c>
      <c r="H83"/>
    </row>
    <row r="84" spans="1:15" ht="12.75" hidden="1">
      <c r="A84" t="s">
        <v>112</v>
      </c>
      <c r="B84" t="s">
        <v>113</v>
      </c>
      <c r="C84">
        <v>10</v>
      </c>
      <c r="D84">
        <v>95</v>
      </c>
      <c r="E84">
        <v>0.09</v>
      </c>
      <c r="F84">
        <f>+$G$83*(E84/100)</f>
        <v>1.4849999999999998E-3</v>
      </c>
      <c r="G84"/>
      <c r="H84"/>
      <c r="I84"/>
      <c r="J84"/>
      <c r="K84"/>
      <c r="L84"/>
      <c r="M84"/>
      <c r="N84"/>
      <c r="O84"/>
    </row>
    <row r="85" spans="1:15" ht="12.75" hidden="1">
      <c r="A85"/>
      <c r="B85" t="s">
        <v>114</v>
      </c>
      <c r="C85">
        <v>42</v>
      </c>
      <c r="D85">
        <v>65</v>
      </c>
      <c r="E85">
        <v>0.27</v>
      </c>
      <c r="F85">
        <f>+$G$83*(E85/100)</f>
        <v>4.4549999999999998E-3</v>
      </c>
      <c r="G85"/>
      <c r="H85"/>
      <c r="I85"/>
      <c r="J85"/>
      <c r="K85"/>
      <c r="L85"/>
      <c r="M85"/>
      <c r="N85"/>
      <c r="O85"/>
    </row>
    <row r="86" spans="1:15" ht="12.75" hidden="1">
      <c r="A86"/>
      <c r="B86" t="s">
        <v>115</v>
      </c>
      <c r="C86">
        <v>89</v>
      </c>
      <c r="D86">
        <v>43.87</v>
      </c>
      <c r="E86">
        <v>0.39</v>
      </c>
      <c r="F86">
        <f>+$G$83*(E86/100)</f>
        <v>6.4349999999999997E-3</v>
      </c>
      <c r="G86"/>
      <c r="H86"/>
      <c r="I86"/>
      <c r="J86"/>
      <c r="K86"/>
      <c r="L86"/>
      <c r="M86"/>
      <c r="N86"/>
      <c r="O86"/>
    </row>
    <row r="87" spans="1:15" ht="12.75" hidden="1">
      <c r="A87"/>
      <c r="B87" t="s">
        <v>116</v>
      </c>
      <c r="C87">
        <v>2.44</v>
      </c>
      <c r="D87">
        <v>1.05</v>
      </c>
      <c r="E87">
        <v>0.03</v>
      </c>
      <c r="F87">
        <f>+$G$83*(E87/100)</f>
        <v>4.9499999999999989E-4</v>
      </c>
      <c r="G87"/>
      <c r="H87"/>
      <c r="I87"/>
      <c r="J87"/>
      <c r="K87"/>
      <c r="L87"/>
      <c r="M87"/>
      <c r="N87"/>
      <c r="O87"/>
    </row>
    <row r="88" spans="1:15" ht="12.75" hidden="1">
      <c r="A88"/>
      <c r="B88"/>
      <c r="C88"/>
      <c r="D88"/>
      <c r="E88" s="170" t="s">
        <v>104</v>
      </c>
      <c r="F88">
        <f>SUM(F84:F87)</f>
        <v>1.2869999999999999E-2</v>
      </c>
      <c r="G88"/>
      <c r="H88"/>
      <c r="I88"/>
      <c r="J88"/>
      <c r="K88"/>
      <c r="L88"/>
      <c r="M88"/>
      <c r="N88"/>
      <c r="O88"/>
    </row>
    <row r="89" spans="1:15" ht="12.75" hidden="1">
      <c r="A89"/>
      <c r="B89"/>
      <c r="C89"/>
      <c r="D89"/>
      <c r="E89" s="170"/>
      <c r="F89"/>
      <c r="G89"/>
      <c r="H89"/>
      <c r="I89"/>
      <c r="J89"/>
      <c r="K89"/>
      <c r="L89"/>
      <c r="M89"/>
      <c r="N89"/>
      <c r="O89"/>
    </row>
    <row r="90" spans="1:15" ht="12.75" hidden="1">
      <c r="A90" t="s">
        <v>117</v>
      </c>
      <c r="B90" t="s">
        <v>118</v>
      </c>
      <c r="C90" s="171">
        <v>0.27</v>
      </c>
      <c r="D90" s="171">
        <v>96.33</v>
      </c>
      <c r="E90" s="171">
        <v>0.26</v>
      </c>
      <c r="F90" s="171">
        <f>+$G$83*(E90/100)</f>
        <v>4.2899999999999995E-3</v>
      </c>
      <c r="G90"/>
      <c r="H90"/>
      <c r="I90"/>
      <c r="J90"/>
      <c r="K90"/>
      <c r="L90"/>
      <c r="M90"/>
      <c r="N90"/>
      <c r="O90"/>
    </row>
    <row r="91" spans="1:15" ht="12.75" hidden="1">
      <c r="A91"/>
      <c r="B91" t="s">
        <v>119</v>
      </c>
      <c r="C91" s="171">
        <v>0.36</v>
      </c>
      <c r="D91" s="171">
        <v>85.77</v>
      </c>
      <c r="E91" s="171">
        <v>0.31</v>
      </c>
      <c r="F91" s="171">
        <f>+$G$83*(E91/100)</f>
        <v>5.1149999999999998E-3</v>
      </c>
      <c r="G91"/>
      <c r="H91"/>
      <c r="I91"/>
      <c r="J91"/>
      <c r="K91"/>
      <c r="L91"/>
      <c r="M91"/>
      <c r="N91"/>
      <c r="O91"/>
    </row>
    <row r="92" spans="1:15" ht="12.75" hidden="1">
      <c r="A92"/>
      <c r="B92" t="s">
        <v>120</v>
      </c>
      <c r="C92" s="171">
        <v>0.8</v>
      </c>
      <c r="D92" s="171">
        <v>9.94</v>
      </c>
      <c r="E92" s="171">
        <v>0.08</v>
      </c>
      <c r="F92" s="171">
        <f>+$G$83*(E92/100)</f>
        <v>1.32E-3</v>
      </c>
      <c r="G92"/>
      <c r="H92"/>
      <c r="I92"/>
      <c r="J92"/>
      <c r="K92"/>
      <c r="L92"/>
      <c r="M92"/>
      <c r="N92"/>
      <c r="O92"/>
    </row>
    <row r="93" spans="1:15" ht="12.75" hidden="1">
      <c r="A93"/>
      <c r="B93" t="s">
        <v>121</v>
      </c>
      <c r="C93" s="171">
        <v>1.1399999999999999</v>
      </c>
      <c r="D93" s="171">
        <v>6.21</v>
      </c>
      <c r="E93" s="171">
        <v>7.0000000000000007E-2</v>
      </c>
      <c r="F93" s="171">
        <f>+$G$83*(E93/100)</f>
        <v>1.1550000000000002E-3</v>
      </c>
      <c r="G93"/>
      <c r="H93"/>
      <c r="I93"/>
      <c r="J93"/>
      <c r="K93"/>
      <c r="L93"/>
      <c r="M93"/>
      <c r="N93"/>
      <c r="O93"/>
    </row>
    <row r="94" spans="1:15" ht="12.75" hidden="1">
      <c r="A94"/>
      <c r="B94"/>
      <c r="C94" s="171"/>
      <c r="D94" s="171"/>
      <c r="E94" s="172" t="s">
        <v>122</v>
      </c>
      <c r="F94" s="171">
        <f>SUM(F91:F93)</f>
        <v>7.5899999999999995E-3</v>
      </c>
      <c r="G94"/>
      <c r="H94"/>
      <c r="I94"/>
      <c r="J94"/>
      <c r="K94"/>
      <c r="L94"/>
      <c r="M94"/>
      <c r="N94"/>
      <c r="O94"/>
    </row>
    <row r="95" spans="1:15" ht="12.75" hidden="1">
      <c r="A95"/>
      <c r="B95"/>
      <c r="C95" s="171"/>
      <c r="D95" s="171"/>
      <c r="E95" s="172" t="s">
        <v>123</v>
      </c>
      <c r="F95" s="171">
        <f>SUM(F90:F93)</f>
        <v>1.188E-2</v>
      </c>
      <c r="G95"/>
      <c r="H95"/>
      <c r="I95"/>
      <c r="J95"/>
      <c r="K95"/>
      <c r="L95"/>
      <c r="M95"/>
      <c r="N95"/>
      <c r="O95"/>
    </row>
    <row r="96" spans="1:15" ht="12.75" hidden="1">
      <c r="A96"/>
      <c r="B96"/>
      <c r="C96" s="171"/>
      <c r="D96" s="171"/>
      <c r="E96" s="171"/>
      <c r="F96" s="171"/>
      <c r="G96"/>
      <c r="H96"/>
      <c r="I96"/>
      <c r="J96"/>
      <c r="K96"/>
      <c r="L96"/>
      <c r="M96"/>
      <c r="N96"/>
      <c r="O96"/>
    </row>
    <row r="97" spans="1:15" ht="12.75" hidden="1">
      <c r="A97" t="s">
        <v>124</v>
      </c>
      <c r="B97" t="s">
        <v>124</v>
      </c>
      <c r="C97" s="171">
        <v>0.62</v>
      </c>
      <c r="D97" s="171">
        <v>94.29</v>
      </c>
      <c r="E97" s="171">
        <v>0.57999999999999996</v>
      </c>
      <c r="F97" s="171">
        <f>+$G$83*(E97/100)</f>
        <v>9.5699999999999986E-3</v>
      </c>
      <c r="G97"/>
      <c r="H97"/>
      <c r="I97"/>
      <c r="J97"/>
      <c r="K97"/>
      <c r="L97"/>
      <c r="M97"/>
      <c r="N97"/>
      <c r="O97"/>
    </row>
    <row r="98" spans="1:15" ht="12.75" hidden="1">
      <c r="A98"/>
      <c r="B98"/>
      <c r="C98" s="171"/>
      <c r="D98" s="171"/>
      <c r="E98" s="171"/>
      <c r="F98" s="171"/>
      <c r="G98"/>
      <c r="H98"/>
      <c r="I98"/>
      <c r="J98"/>
      <c r="K98"/>
      <c r="L98"/>
      <c r="M98"/>
      <c r="N98"/>
      <c r="O98"/>
    </row>
    <row r="99" spans="1:15" ht="12.75" hidden="1">
      <c r="A99" t="s">
        <v>125</v>
      </c>
      <c r="B99" t="s">
        <v>126</v>
      </c>
      <c r="C99" s="171">
        <v>0.85</v>
      </c>
      <c r="D99" s="171">
        <v>100</v>
      </c>
      <c r="E99" s="171">
        <v>0.85</v>
      </c>
      <c r="F99" s="171">
        <f>+$G$83*(E99/100)</f>
        <v>1.4025000000000001E-2</v>
      </c>
      <c r="G99"/>
      <c r="H99"/>
      <c r="I99"/>
      <c r="J99"/>
      <c r="K99"/>
      <c r="L99"/>
      <c r="M99"/>
      <c r="N99"/>
      <c r="O99"/>
    </row>
    <row r="100" spans="1:15" ht="12.75" hidden="1">
      <c r="A100"/>
      <c r="B100"/>
      <c r="C100" s="171"/>
      <c r="D100" s="171"/>
      <c r="E100" s="171"/>
      <c r="F100" s="171"/>
      <c r="G100"/>
      <c r="H100"/>
      <c r="I100"/>
      <c r="J100"/>
      <c r="K100"/>
      <c r="L100"/>
      <c r="M100"/>
      <c r="N100"/>
      <c r="O100"/>
    </row>
    <row r="101" spans="1:15" ht="12.75" hidden="1">
      <c r="A101" t="s">
        <v>127</v>
      </c>
      <c r="B101" t="s">
        <v>128</v>
      </c>
      <c r="C101" s="171" t="s">
        <v>129</v>
      </c>
      <c r="D101" s="171"/>
      <c r="E101" s="171">
        <v>0.35460000000000003</v>
      </c>
      <c r="F101" s="171">
        <f>+$G$83*(E101/100)</f>
        <v>5.8509E-3</v>
      </c>
      <c r="G101"/>
      <c r="H101"/>
      <c r="I101"/>
      <c r="J101"/>
      <c r="K101"/>
      <c r="L101"/>
      <c r="M101"/>
      <c r="N101"/>
      <c r="O101"/>
    </row>
    <row r="102" spans="1:15" ht="12.75" hidden="1">
      <c r="A102"/>
      <c r="B102" t="s">
        <v>130</v>
      </c>
      <c r="C102" s="171" t="s">
        <v>131</v>
      </c>
      <c r="D102" s="171"/>
      <c r="E102" s="171">
        <v>0.55700000000000005</v>
      </c>
      <c r="F102" s="171">
        <f>+$G$83*(E102/100)</f>
        <v>9.1905000000000008E-3</v>
      </c>
      <c r="G102"/>
      <c r="H102"/>
      <c r="I102"/>
    </row>
    <row r="103" spans="1:15" ht="12.75" hidden="1">
      <c r="A103"/>
      <c r="B103" t="s">
        <v>132</v>
      </c>
      <c r="C103" s="171" t="s">
        <v>133</v>
      </c>
      <c r="D103" s="171"/>
      <c r="E103" s="171">
        <v>0.628</v>
      </c>
      <c r="F103" s="171">
        <f>+$G$83*(E103/100)</f>
        <v>1.0362E-2</v>
      </c>
      <c r="G103"/>
      <c r="H103"/>
      <c r="I103"/>
    </row>
    <row r="104" spans="1:15" ht="12.75" hidden="1">
      <c r="A104"/>
      <c r="B104"/>
      <c r="C104" s="171"/>
      <c r="D104" s="171"/>
      <c r="E104" s="171"/>
      <c r="F104" s="171"/>
      <c r="G104"/>
      <c r="H104"/>
      <c r="I104"/>
    </row>
    <row r="105" spans="1:15" ht="12.75" hidden="1">
      <c r="A105" t="s">
        <v>134</v>
      </c>
      <c r="B105" t="s">
        <v>135</v>
      </c>
      <c r="C105" s="171" t="s">
        <v>136</v>
      </c>
      <c r="D105" s="171"/>
      <c r="E105" s="171">
        <v>0.309</v>
      </c>
      <c r="F105" s="171">
        <f>+$G$83*(E105/100)</f>
        <v>5.0984999999999997E-3</v>
      </c>
      <c r="G105"/>
      <c r="H105"/>
      <c r="I105"/>
    </row>
    <row r="106" spans="1:15" ht="12.75" hidden="1">
      <c r="A106"/>
      <c r="B106"/>
      <c r="C106" s="171"/>
      <c r="D106" s="171"/>
      <c r="E106" s="171"/>
      <c r="F106" s="171"/>
      <c r="G106"/>
      <c r="H106"/>
      <c r="I106"/>
    </row>
    <row r="107" spans="1:15" ht="12.75" hidden="1">
      <c r="A107" t="s">
        <v>137</v>
      </c>
      <c r="B107" t="s">
        <v>138</v>
      </c>
      <c r="C107" s="171" t="s">
        <v>139</v>
      </c>
      <c r="D107" s="171"/>
      <c r="E107" s="171">
        <v>0.37480000000000002</v>
      </c>
      <c r="F107" s="171">
        <f>+$G$83*(E107/100)</f>
        <v>6.1841999999999999E-3</v>
      </c>
      <c r="G107"/>
      <c r="H107"/>
      <c r="I107"/>
    </row>
    <row r="108" spans="1:15" ht="12.75" hidden="1">
      <c r="A108"/>
      <c r="B108"/>
      <c r="C108"/>
      <c r="D108"/>
      <c r="E108"/>
      <c r="F108"/>
      <c r="G108"/>
      <c r="H108"/>
      <c r="I108"/>
    </row>
    <row r="109" spans="1:15" ht="12.75">
      <c r="A109"/>
      <c r="B109"/>
      <c r="C109"/>
      <c r="D109"/>
      <c r="E109"/>
      <c r="F109"/>
      <c r="G109"/>
      <c r="H109"/>
      <c r="I109"/>
    </row>
    <row r="110" spans="1:15" ht="12.75">
      <c r="A110"/>
      <c r="B110"/>
      <c r="C110"/>
      <c r="D110"/>
      <c r="E110"/>
      <c r="F110"/>
      <c r="G110"/>
      <c r="H110"/>
      <c r="I110"/>
    </row>
    <row r="111" spans="1:15" ht="12.75">
      <c r="A111"/>
      <c r="B111"/>
      <c r="C111"/>
      <c r="D111"/>
      <c r="E111"/>
      <c r="F111"/>
      <c r="G111"/>
      <c r="H111"/>
      <c r="I111"/>
    </row>
    <row r="112" spans="1:15" ht="12.75">
      <c r="A112"/>
      <c r="B112"/>
      <c r="C112"/>
      <c r="D112"/>
      <c r="E112"/>
      <c r="F112"/>
      <c r="G112"/>
      <c r="H112"/>
      <c r="I112"/>
    </row>
    <row r="113" spans="1:15" ht="12.75">
      <c r="A113" s="421" t="s">
        <v>140</v>
      </c>
      <c r="B113" s="422"/>
      <c r="C113" s="423"/>
      <c r="D113"/>
      <c r="E113" s="173" t="s">
        <v>141</v>
      </c>
      <c r="F113"/>
      <c r="G113" s="174"/>
      <c r="H113"/>
      <c r="I113" s="421" t="s">
        <v>47</v>
      </c>
      <c r="J113" s="422"/>
      <c r="K113" s="423"/>
      <c r="N113" s="12" t="s">
        <v>142</v>
      </c>
    </row>
    <row r="114" spans="1:15" ht="12.75">
      <c r="A114" s="178" t="s">
        <v>143</v>
      </c>
      <c r="B114" s="176" t="s">
        <v>144</v>
      </c>
      <c r="C114" s="249">
        <v>0.84499999999999997</v>
      </c>
      <c r="D114" s="65"/>
      <c r="E114" s="176">
        <v>0.83299999999999996</v>
      </c>
      <c r="F114" s="66">
        <f t="shared" ref="F114:F149" si="0">C114-E114</f>
        <v>1.2000000000000011E-2</v>
      </c>
      <c r="G114" s="178">
        <v>0.83299999999999996</v>
      </c>
      <c r="H114" s="66"/>
      <c r="I114" s="178" t="s">
        <v>145</v>
      </c>
      <c r="J114" s="65"/>
      <c r="K114" s="177">
        <v>0</v>
      </c>
      <c r="L114" s="65">
        <v>882</v>
      </c>
      <c r="N114" s="12" t="s">
        <v>146</v>
      </c>
      <c r="O114" s="12">
        <v>1024</v>
      </c>
    </row>
    <row r="115" spans="1:15" ht="12.75">
      <c r="A115" s="65"/>
      <c r="B115" s="176" t="s">
        <v>147</v>
      </c>
      <c r="C115" s="249">
        <v>1E-3</v>
      </c>
      <c r="D115" s="65"/>
      <c r="E115" s="66">
        <v>1E-3</v>
      </c>
      <c r="F115" s="66">
        <f t="shared" si="0"/>
        <v>0</v>
      </c>
      <c r="G115" s="178">
        <v>1E-3</v>
      </c>
      <c r="H115" s="66"/>
      <c r="I115" s="178" t="s">
        <v>148</v>
      </c>
      <c r="J115" s="65">
        <v>6688</v>
      </c>
      <c r="K115" s="248">
        <v>17</v>
      </c>
      <c r="L115" s="65"/>
      <c r="N115" s="12" t="s">
        <v>149</v>
      </c>
      <c r="O115" s="12">
        <v>1500</v>
      </c>
    </row>
    <row r="116" spans="1:15" ht="12.75">
      <c r="A116" s="65"/>
      <c r="B116" s="176" t="s">
        <v>150</v>
      </c>
      <c r="C116" s="249">
        <v>0.5</v>
      </c>
      <c r="D116" s="65"/>
      <c r="E116" s="66">
        <v>0.5</v>
      </c>
      <c r="F116" s="66">
        <f t="shared" si="0"/>
        <v>0</v>
      </c>
      <c r="G116" s="178">
        <v>0.5</v>
      </c>
      <c r="H116" s="66"/>
      <c r="I116" s="178" t="s">
        <v>68</v>
      </c>
      <c r="J116" s="65">
        <v>6888</v>
      </c>
      <c r="K116" s="248">
        <v>5876</v>
      </c>
      <c r="L116" s="65"/>
      <c r="N116" s="12" t="s">
        <v>151</v>
      </c>
      <c r="O116" s="12">
        <v>219</v>
      </c>
    </row>
    <row r="117" spans="1:15" ht="12.75">
      <c r="A117" s="65"/>
      <c r="B117" s="176" t="s">
        <v>152</v>
      </c>
      <c r="C117" s="249">
        <v>10</v>
      </c>
      <c r="D117" s="65">
        <v>2</v>
      </c>
      <c r="E117" s="66">
        <v>10</v>
      </c>
      <c r="F117" s="66">
        <f t="shared" si="0"/>
        <v>0</v>
      </c>
      <c r="G117" s="178">
        <v>12</v>
      </c>
      <c r="H117" s="66"/>
      <c r="I117" s="178" t="s">
        <v>97</v>
      </c>
      <c r="J117" s="65"/>
      <c r="K117" s="177">
        <v>0</v>
      </c>
      <c r="L117" s="65"/>
      <c r="N117" s="12" t="s">
        <v>153</v>
      </c>
      <c r="O117" s="12">
        <v>1000</v>
      </c>
    </row>
    <row r="118" spans="1:15" ht="12.75">
      <c r="A118" s="178" t="s">
        <v>154</v>
      </c>
      <c r="B118" s="176" t="s">
        <v>155</v>
      </c>
      <c r="C118" s="249">
        <v>3.6</v>
      </c>
      <c r="D118" s="65"/>
      <c r="E118" s="66">
        <v>3.6</v>
      </c>
      <c r="F118" s="66">
        <f t="shared" si="0"/>
        <v>0</v>
      </c>
      <c r="G118" s="178">
        <v>3.6</v>
      </c>
      <c r="H118" s="66"/>
      <c r="I118" s="178" t="s">
        <v>156</v>
      </c>
      <c r="J118" s="65">
        <v>9003</v>
      </c>
      <c r="K118" s="248">
        <v>9</v>
      </c>
      <c r="L118" s="65"/>
      <c r="N118" s="12" t="s">
        <v>157</v>
      </c>
      <c r="O118" s="12">
        <v>90</v>
      </c>
    </row>
    <row r="119" spans="1:15" ht="12.75">
      <c r="A119" s="178"/>
      <c r="B119" s="176"/>
      <c r="C119" s="176"/>
      <c r="D119" s="65"/>
      <c r="E119" s="66"/>
      <c r="F119" s="66"/>
      <c r="G119" s="178"/>
      <c r="H119" s="66"/>
      <c r="I119" s="178" t="s">
        <v>341</v>
      </c>
      <c r="J119" s="65">
        <v>5053</v>
      </c>
      <c r="K119" s="248">
        <v>706</v>
      </c>
      <c r="L119" s="65"/>
    </row>
    <row r="120" spans="1:15" ht="12.75">
      <c r="A120" s="65"/>
      <c r="B120" s="176" t="s">
        <v>22</v>
      </c>
      <c r="C120" s="178">
        <v>0</v>
      </c>
      <c r="D120" s="65" t="s">
        <v>158</v>
      </c>
      <c r="E120" s="66">
        <v>0</v>
      </c>
      <c r="F120" s="66">
        <f t="shared" si="0"/>
        <v>0</v>
      </c>
      <c r="G120" s="178">
        <v>0</v>
      </c>
      <c r="H120" s="66"/>
      <c r="I120" s="178" t="s">
        <v>159</v>
      </c>
      <c r="J120" s="65">
        <v>3405</v>
      </c>
      <c r="K120" s="248">
        <v>2429</v>
      </c>
      <c r="L120" s="65"/>
      <c r="N120" s="12" t="s">
        <v>80</v>
      </c>
    </row>
    <row r="121" spans="1:15" ht="12.75">
      <c r="A121" s="65"/>
      <c r="B121" s="176" t="s">
        <v>160</v>
      </c>
      <c r="C121" s="249">
        <v>2.4</v>
      </c>
      <c r="D121" s="65"/>
      <c r="E121" s="66">
        <v>2.4</v>
      </c>
      <c r="F121" s="66">
        <f t="shared" si="0"/>
        <v>0</v>
      </c>
      <c r="G121" s="178">
        <v>2.4</v>
      </c>
      <c r="H121" s="66"/>
      <c r="I121" s="178" t="s">
        <v>161</v>
      </c>
      <c r="J121" s="65"/>
      <c r="K121" s="179">
        <v>0</v>
      </c>
      <c r="L121" s="65">
        <v>660</v>
      </c>
    </row>
    <row r="122" spans="1:15" ht="12.75">
      <c r="A122" s="178" t="s">
        <v>162</v>
      </c>
      <c r="B122" s="176" t="s">
        <v>163</v>
      </c>
      <c r="C122" s="249">
        <v>0.8</v>
      </c>
      <c r="D122" s="66"/>
      <c r="E122" s="66">
        <v>0.8</v>
      </c>
      <c r="F122" s="66">
        <f t="shared" si="0"/>
        <v>0</v>
      </c>
      <c r="G122" s="178">
        <v>0.8</v>
      </c>
      <c r="H122" s="66"/>
      <c r="I122" s="178" t="s">
        <v>365</v>
      </c>
      <c r="J122" s="65">
        <v>5333</v>
      </c>
      <c r="K122" s="179">
        <v>250</v>
      </c>
      <c r="L122" s="65" t="s">
        <v>366</v>
      </c>
    </row>
    <row r="123" spans="1:15" ht="12.75">
      <c r="A123" s="66"/>
      <c r="B123" s="176" t="s">
        <v>6</v>
      </c>
      <c r="C123" s="249">
        <v>16.5</v>
      </c>
      <c r="D123" s="66"/>
      <c r="E123" s="66">
        <v>16.940999999999999</v>
      </c>
      <c r="F123" s="66">
        <f t="shared" si="0"/>
        <v>-0.44099999999999895</v>
      </c>
      <c r="G123" s="178">
        <v>16.5</v>
      </c>
      <c r="H123" s="178"/>
      <c r="I123" s="177" t="s">
        <v>164</v>
      </c>
      <c r="J123" s="65">
        <v>6835</v>
      </c>
      <c r="K123" s="248">
        <v>24</v>
      </c>
      <c r="L123" s="65"/>
    </row>
    <row r="124" spans="1:15" ht="12.75">
      <c r="A124" s="66"/>
      <c r="B124" s="176" t="s">
        <v>7</v>
      </c>
      <c r="C124" s="178">
        <v>0</v>
      </c>
      <c r="D124" s="66" t="s">
        <v>65</v>
      </c>
      <c r="E124" s="66">
        <v>0</v>
      </c>
      <c r="F124" s="66">
        <f t="shared" si="0"/>
        <v>0</v>
      </c>
      <c r="G124" s="178">
        <v>20</v>
      </c>
      <c r="H124" s="66"/>
      <c r="I124" s="177" t="s">
        <v>165</v>
      </c>
      <c r="J124" s="65">
        <v>4286</v>
      </c>
      <c r="K124" s="248">
        <v>39</v>
      </c>
      <c r="L124" s="65"/>
    </row>
    <row r="125" spans="1:15" ht="12.75">
      <c r="A125" s="66"/>
      <c r="B125" s="176"/>
      <c r="C125" s="178"/>
      <c r="D125" s="66"/>
      <c r="E125" s="66"/>
      <c r="F125" s="66"/>
      <c r="G125" s="178"/>
      <c r="H125" s="66"/>
      <c r="I125" s="177" t="s">
        <v>166</v>
      </c>
      <c r="J125" s="65">
        <v>9676</v>
      </c>
      <c r="K125" s="234">
        <v>0</v>
      </c>
      <c r="L125" s="235" t="s">
        <v>331</v>
      </c>
    </row>
    <row r="126" spans="1:15" ht="12.75">
      <c r="A126" s="66"/>
      <c r="B126" s="176" t="s">
        <v>167</v>
      </c>
      <c r="C126" s="249">
        <v>2.5000000000000001E-2</v>
      </c>
      <c r="D126" s="66"/>
      <c r="E126" s="66">
        <v>2.5000000000000001E-2</v>
      </c>
      <c r="F126" s="66">
        <f t="shared" si="0"/>
        <v>0</v>
      </c>
      <c r="G126" s="178">
        <v>2.5000000000000001E-2</v>
      </c>
      <c r="H126" s="66"/>
      <c r="I126" s="177" t="s">
        <v>342</v>
      </c>
      <c r="J126" s="65">
        <v>6551</v>
      </c>
      <c r="K126" s="248">
        <v>100</v>
      </c>
      <c r="L126" s="235"/>
    </row>
    <row r="127" spans="1:15" ht="12.75">
      <c r="A127" s="66"/>
      <c r="B127" s="176" t="s">
        <v>169</v>
      </c>
      <c r="C127" s="178">
        <v>0</v>
      </c>
      <c r="D127" s="66"/>
      <c r="E127" s="66">
        <v>1.3</v>
      </c>
      <c r="F127" s="66">
        <f t="shared" si="0"/>
        <v>-1.3</v>
      </c>
      <c r="G127" s="178">
        <v>1.3</v>
      </c>
      <c r="H127" s="66"/>
      <c r="I127" s="177" t="s">
        <v>168</v>
      </c>
      <c r="J127" s="65">
        <v>6373</v>
      </c>
      <c r="K127" s="248">
        <v>1</v>
      </c>
      <c r="L127" s="65"/>
    </row>
    <row r="128" spans="1:15" ht="12.75">
      <c r="A128" s="66"/>
      <c r="B128" s="259" t="s">
        <v>171</v>
      </c>
      <c r="C128" s="259">
        <v>7.3550000000000004</v>
      </c>
      <c r="D128" s="66">
        <v>8</v>
      </c>
      <c r="E128" s="66">
        <v>7.407</v>
      </c>
      <c r="F128" s="66">
        <f t="shared" si="0"/>
        <v>-5.1999999999999602E-2</v>
      </c>
      <c r="G128" s="178">
        <v>8</v>
      </c>
      <c r="H128" s="66"/>
      <c r="I128" s="177" t="s">
        <v>170</v>
      </c>
      <c r="J128" s="65">
        <v>4132</v>
      </c>
      <c r="K128" s="248">
        <v>149</v>
      </c>
      <c r="L128" s="65"/>
    </row>
    <row r="129" spans="1:12" ht="12.75">
      <c r="A129" s="66"/>
      <c r="B129" s="176"/>
      <c r="C129" s="176"/>
      <c r="D129" s="66"/>
      <c r="E129" s="66"/>
      <c r="F129" s="66"/>
      <c r="G129" s="178"/>
      <c r="H129" s="66"/>
      <c r="I129" s="177" t="s">
        <v>172</v>
      </c>
      <c r="J129" s="65">
        <v>4120</v>
      </c>
      <c r="K129" s="179">
        <v>0</v>
      </c>
      <c r="L129" s="65">
        <v>11</v>
      </c>
    </row>
    <row r="130" spans="1:12" ht="12.75">
      <c r="A130" s="66"/>
      <c r="B130" s="259" t="s">
        <v>173</v>
      </c>
      <c r="C130" s="260">
        <f>(20*21)/31</f>
        <v>13.548387096774194</v>
      </c>
      <c r="D130" s="66"/>
      <c r="E130" s="66">
        <v>20</v>
      </c>
      <c r="F130" s="66">
        <f t="shared" si="0"/>
        <v>-6.4516129032258061</v>
      </c>
      <c r="G130" s="178">
        <v>22.5</v>
      </c>
      <c r="H130" s="65"/>
      <c r="I130" s="177" t="s">
        <v>343</v>
      </c>
      <c r="J130" s="65">
        <v>6840</v>
      </c>
      <c r="K130" s="248">
        <v>1148</v>
      </c>
      <c r="L130" s="65"/>
    </row>
    <row r="131" spans="1:12" ht="12.75">
      <c r="A131" s="66"/>
      <c r="B131" s="176" t="s">
        <v>175</v>
      </c>
      <c r="C131" s="249">
        <v>3.85</v>
      </c>
      <c r="D131" s="66"/>
      <c r="E131" s="66">
        <v>3.85</v>
      </c>
      <c r="F131" s="66">
        <f t="shared" si="0"/>
        <v>0</v>
      </c>
      <c r="G131" s="178">
        <v>3.85</v>
      </c>
      <c r="H131" s="65"/>
      <c r="I131" s="177" t="s">
        <v>174</v>
      </c>
      <c r="J131" s="65">
        <v>6296</v>
      </c>
      <c r="K131" s="177">
        <v>0</v>
      </c>
      <c r="L131" s="65"/>
    </row>
    <row r="132" spans="1:12" ht="12.75">
      <c r="A132" s="66"/>
      <c r="B132" s="176" t="s">
        <v>11</v>
      </c>
      <c r="C132" s="176">
        <v>0</v>
      </c>
      <c r="D132" s="66"/>
      <c r="E132" s="66">
        <v>0</v>
      </c>
      <c r="F132" s="66">
        <f t="shared" si="0"/>
        <v>0</v>
      </c>
      <c r="G132" s="178">
        <v>62</v>
      </c>
      <c r="H132" s="65"/>
      <c r="I132" s="177" t="s">
        <v>176</v>
      </c>
      <c r="J132" s="65">
        <v>6519</v>
      </c>
      <c r="K132" s="248">
        <v>2</v>
      </c>
      <c r="L132" s="65"/>
    </row>
    <row r="133" spans="1:12" ht="12.75">
      <c r="A133" s="66"/>
      <c r="B133" s="176" t="s">
        <v>178</v>
      </c>
      <c r="C133" s="249">
        <v>2.5000000000000001E-2</v>
      </c>
      <c r="D133" s="66"/>
      <c r="E133" s="66">
        <v>2.5000000000000001E-2</v>
      </c>
      <c r="F133" s="66">
        <f t="shared" si="0"/>
        <v>0</v>
      </c>
      <c r="G133" s="178">
        <v>2.5000000000000001E-2</v>
      </c>
      <c r="H133" s="65"/>
      <c r="I133" s="177" t="s">
        <v>177</v>
      </c>
      <c r="J133" s="65">
        <v>5502</v>
      </c>
      <c r="K133" s="248">
        <v>37</v>
      </c>
      <c r="L133" s="65"/>
    </row>
    <row r="134" spans="1:12" ht="12.75">
      <c r="A134" s="66"/>
      <c r="B134" s="176" t="s">
        <v>180</v>
      </c>
      <c r="C134" s="249">
        <v>0.05</v>
      </c>
      <c r="D134" s="66"/>
      <c r="E134" s="66">
        <v>0.05</v>
      </c>
      <c r="F134" s="66">
        <f t="shared" si="0"/>
        <v>0</v>
      </c>
      <c r="G134" s="178">
        <v>0.05</v>
      </c>
      <c r="H134" s="65"/>
      <c r="I134" s="177" t="s">
        <v>179</v>
      </c>
      <c r="J134" s="65">
        <v>6789</v>
      </c>
      <c r="K134" s="248">
        <v>12500</v>
      </c>
      <c r="L134" s="65"/>
    </row>
    <row r="135" spans="1:12" ht="12.75">
      <c r="A135" s="66"/>
      <c r="B135" s="176" t="s">
        <v>181</v>
      </c>
      <c r="C135" s="249">
        <v>12</v>
      </c>
      <c r="D135" s="66">
        <v>11</v>
      </c>
      <c r="E135" s="66">
        <v>4.665</v>
      </c>
      <c r="F135" s="66">
        <f t="shared" si="0"/>
        <v>7.335</v>
      </c>
      <c r="G135" s="178">
        <v>6</v>
      </c>
      <c r="H135" s="65"/>
      <c r="I135" s="177" t="s">
        <v>354</v>
      </c>
      <c r="J135" s="211">
        <v>6545</v>
      </c>
      <c r="K135" s="248">
        <v>68</v>
      </c>
      <c r="L135" s="65"/>
    </row>
    <row r="136" spans="1:12" ht="12.75">
      <c r="A136" s="66"/>
      <c r="B136" s="176" t="s">
        <v>183</v>
      </c>
      <c r="C136" s="249">
        <v>0.41899999999999998</v>
      </c>
      <c r="D136" s="65"/>
      <c r="E136" s="66">
        <v>0.41899999999999998</v>
      </c>
      <c r="F136" s="66">
        <f t="shared" si="0"/>
        <v>0</v>
      </c>
      <c r="G136" s="178">
        <v>0.41899999999999998</v>
      </c>
      <c r="H136" s="65"/>
      <c r="I136" s="177" t="s">
        <v>354</v>
      </c>
      <c r="J136" s="211">
        <v>275</v>
      </c>
      <c r="K136" s="248">
        <v>86</v>
      </c>
      <c r="L136" s="65"/>
    </row>
    <row r="137" spans="1:12" ht="12.75">
      <c r="A137" s="66"/>
      <c r="B137" s="176"/>
      <c r="C137" s="249"/>
      <c r="D137" s="65"/>
      <c r="E137" s="66"/>
      <c r="F137" s="66"/>
      <c r="G137" s="178"/>
      <c r="H137" s="65"/>
      <c r="I137" s="177" t="s">
        <v>355</v>
      </c>
      <c r="J137" s="211">
        <v>9812</v>
      </c>
      <c r="K137" s="248">
        <v>485</v>
      </c>
      <c r="L137" s="65" t="s">
        <v>185</v>
      </c>
    </row>
    <row r="138" spans="1:12" ht="12.75">
      <c r="A138" s="65"/>
      <c r="B138" s="176" t="s">
        <v>186</v>
      </c>
      <c r="C138" s="249">
        <v>5</v>
      </c>
      <c r="D138" s="65"/>
      <c r="E138" s="66">
        <v>5</v>
      </c>
      <c r="F138" s="66">
        <f t="shared" si="0"/>
        <v>0</v>
      </c>
      <c r="G138" s="178">
        <v>5</v>
      </c>
      <c r="H138" s="65"/>
      <c r="I138" s="177" t="s">
        <v>356</v>
      </c>
      <c r="J138" s="211">
        <v>6387</v>
      </c>
      <c r="K138" s="248">
        <v>400</v>
      </c>
      <c r="L138" s="65"/>
    </row>
    <row r="139" spans="1:12" ht="12.75">
      <c r="A139" s="65"/>
      <c r="B139" s="176" t="s">
        <v>187</v>
      </c>
      <c r="C139" s="178">
        <v>0</v>
      </c>
      <c r="D139" s="65"/>
      <c r="E139" s="66">
        <v>0</v>
      </c>
      <c r="F139" s="66">
        <f t="shared" si="0"/>
        <v>0</v>
      </c>
      <c r="G139" s="178">
        <v>20</v>
      </c>
      <c r="H139" s="65"/>
      <c r="I139" s="177" t="s">
        <v>356</v>
      </c>
      <c r="J139" s="211">
        <v>6347</v>
      </c>
      <c r="K139" s="248">
        <v>190</v>
      </c>
      <c r="L139" s="65"/>
    </row>
    <row r="140" spans="1:12" ht="12.75">
      <c r="A140" s="65"/>
      <c r="B140" s="176" t="s">
        <v>189</v>
      </c>
      <c r="C140" s="249">
        <v>10</v>
      </c>
      <c r="D140" s="65"/>
      <c r="E140" s="66">
        <v>9.5619999999999994</v>
      </c>
      <c r="F140" s="66">
        <f t="shared" si="0"/>
        <v>0.43800000000000061</v>
      </c>
      <c r="G140" s="178">
        <v>10</v>
      </c>
      <c r="H140" s="65"/>
      <c r="I140" s="177" t="s">
        <v>356</v>
      </c>
      <c r="J140" s="211">
        <v>5892</v>
      </c>
      <c r="K140" s="248">
        <v>105</v>
      </c>
      <c r="L140" s="65"/>
    </row>
    <row r="141" spans="1:12" ht="12.75">
      <c r="A141" s="65"/>
      <c r="B141" s="176" t="s">
        <v>191</v>
      </c>
      <c r="C141" s="249">
        <v>0.1</v>
      </c>
      <c r="D141" s="65"/>
      <c r="E141" s="66">
        <v>0.1</v>
      </c>
      <c r="F141" s="66">
        <f t="shared" si="0"/>
        <v>0</v>
      </c>
      <c r="G141" s="178">
        <v>0.1</v>
      </c>
      <c r="H141" s="65"/>
      <c r="I141" s="177" t="s">
        <v>356</v>
      </c>
      <c r="J141" s="211">
        <v>6757</v>
      </c>
      <c r="K141" s="248">
        <v>200</v>
      </c>
      <c r="L141" s="65"/>
    </row>
    <row r="142" spans="1:12" ht="12.75">
      <c r="A142" s="65"/>
      <c r="B142" s="176" t="s">
        <v>194</v>
      </c>
      <c r="C142" s="176">
        <v>0</v>
      </c>
      <c r="D142" s="65"/>
      <c r="E142" s="66">
        <v>2</v>
      </c>
      <c r="F142" s="66">
        <f t="shared" si="0"/>
        <v>-2</v>
      </c>
      <c r="G142" s="178">
        <v>2</v>
      </c>
      <c r="H142" s="65"/>
      <c r="I142" s="177" t="s">
        <v>182</v>
      </c>
      <c r="J142" s="65">
        <v>6598</v>
      </c>
      <c r="K142" s="248">
        <v>235</v>
      </c>
      <c r="L142" s="65"/>
    </row>
    <row r="143" spans="1:12" ht="12.75">
      <c r="A143" s="65"/>
      <c r="B143" s="176" t="s">
        <v>196</v>
      </c>
      <c r="C143" s="249">
        <v>0.02</v>
      </c>
      <c r="D143" s="65"/>
      <c r="E143" s="66">
        <v>0.02</v>
      </c>
      <c r="F143" s="66">
        <f t="shared" si="0"/>
        <v>0</v>
      </c>
      <c r="G143" s="178">
        <v>0.02</v>
      </c>
      <c r="H143" s="65"/>
      <c r="I143" s="177" t="s">
        <v>184</v>
      </c>
      <c r="J143" s="65">
        <v>6392</v>
      </c>
      <c r="K143" s="248">
        <v>65</v>
      </c>
      <c r="L143" s="65"/>
    </row>
    <row r="144" spans="1:12" ht="12.75">
      <c r="A144" s="65"/>
      <c r="B144" s="176"/>
      <c r="C144" s="178"/>
      <c r="D144" s="65"/>
      <c r="E144" s="66">
        <v>0</v>
      </c>
      <c r="F144" s="66">
        <f t="shared" si="0"/>
        <v>0</v>
      </c>
      <c r="G144" s="178">
        <v>10</v>
      </c>
      <c r="H144" s="65"/>
      <c r="I144" s="177" t="s">
        <v>297</v>
      </c>
      <c r="J144" s="65">
        <v>440</v>
      </c>
      <c r="K144" s="248">
        <v>444</v>
      </c>
      <c r="L144" s="65">
        <v>1287</v>
      </c>
    </row>
    <row r="145" spans="1:12" ht="12.75">
      <c r="A145" s="65"/>
      <c r="B145" s="176" t="s">
        <v>198</v>
      </c>
      <c r="C145" s="249">
        <v>0.55600000000000005</v>
      </c>
      <c r="D145" s="65"/>
      <c r="E145" s="66">
        <v>0.5</v>
      </c>
      <c r="F145" s="66">
        <f t="shared" si="0"/>
        <v>5.600000000000005E-2</v>
      </c>
      <c r="G145" s="178">
        <v>0.70499999999999996</v>
      </c>
      <c r="H145" s="65"/>
      <c r="I145" s="177" t="s">
        <v>149</v>
      </c>
      <c r="J145" s="65">
        <v>6173</v>
      </c>
      <c r="K145" s="248">
        <v>975</v>
      </c>
      <c r="L145" s="65">
        <v>4770</v>
      </c>
    </row>
    <row r="146" spans="1:12" ht="12.75">
      <c r="A146" s="65"/>
      <c r="B146" s="176" t="s">
        <v>201</v>
      </c>
      <c r="C146" s="176">
        <v>0</v>
      </c>
      <c r="D146" s="65"/>
      <c r="E146" s="66">
        <v>10.922000000000001</v>
      </c>
      <c r="F146" s="66">
        <f t="shared" si="0"/>
        <v>-10.922000000000001</v>
      </c>
      <c r="G146" s="178">
        <v>8.5</v>
      </c>
      <c r="H146" s="65"/>
      <c r="I146" s="177" t="s">
        <v>188</v>
      </c>
      <c r="J146" s="65"/>
      <c r="K146" s="177">
        <v>0</v>
      </c>
      <c r="L146" s="65"/>
    </row>
    <row r="147" spans="1:12" ht="12.75">
      <c r="A147" s="65"/>
      <c r="B147" s="176" t="s">
        <v>203</v>
      </c>
      <c r="C147" s="249">
        <v>2</v>
      </c>
      <c r="D147" s="65"/>
      <c r="E147" s="66">
        <v>2</v>
      </c>
      <c r="F147" s="66">
        <f t="shared" si="0"/>
        <v>0</v>
      </c>
      <c r="G147" s="178">
        <v>0</v>
      </c>
      <c r="H147" s="65"/>
      <c r="I147" s="177" t="s">
        <v>190</v>
      </c>
      <c r="J147" s="65">
        <v>4132</v>
      </c>
      <c r="K147" s="248">
        <v>7500</v>
      </c>
      <c r="L147" s="65"/>
    </row>
    <row r="148" spans="1:12" ht="12.75">
      <c r="A148" s="65"/>
      <c r="B148" s="176" t="s">
        <v>16</v>
      </c>
      <c r="C148" s="176">
        <v>0</v>
      </c>
      <c r="D148" s="65"/>
      <c r="E148" s="66">
        <v>42.670999999999999</v>
      </c>
      <c r="F148" s="66">
        <f t="shared" si="0"/>
        <v>-42.670999999999999</v>
      </c>
      <c r="G148" s="178">
        <v>30</v>
      </c>
      <c r="H148" s="65"/>
      <c r="I148" s="177" t="s">
        <v>192</v>
      </c>
      <c r="J148" s="211" t="s">
        <v>193</v>
      </c>
      <c r="K148" s="248">
        <f>1445+1+1500+1281</f>
        <v>4227</v>
      </c>
      <c r="L148" s="65"/>
    </row>
    <row r="149" spans="1:12" ht="12.75">
      <c r="A149" s="65"/>
      <c r="B149" s="176" t="s">
        <v>14</v>
      </c>
      <c r="C149" s="249">
        <v>80</v>
      </c>
      <c r="D149" s="65">
        <v>65</v>
      </c>
      <c r="E149" s="66">
        <v>63.606999999999999</v>
      </c>
      <c r="F149" s="66">
        <f t="shared" si="0"/>
        <v>16.393000000000001</v>
      </c>
      <c r="G149" s="178">
        <v>65</v>
      </c>
      <c r="H149" s="65"/>
      <c r="I149" s="177" t="s">
        <v>195</v>
      </c>
      <c r="J149" s="65">
        <v>3405</v>
      </c>
      <c r="K149" s="177">
        <v>0</v>
      </c>
      <c r="L149" s="65"/>
    </row>
    <row r="150" spans="1:12" ht="12.75">
      <c r="A150" s="65"/>
      <c r="B150" s="176" t="s">
        <v>208</v>
      </c>
      <c r="C150" s="249">
        <v>0.18</v>
      </c>
      <c r="D150" s="65"/>
      <c r="E150" s="66">
        <v>0.18</v>
      </c>
      <c r="F150" s="66">
        <f t="shared" ref="F150:F185" si="1">C150-E150</f>
        <v>0</v>
      </c>
      <c r="G150" s="178">
        <v>0.18</v>
      </c>
      <c r="H150" s="65"/>
      <c r="I150" s="177" t="s">
        <v>197</v>
      </c>
      <c r="J150" s="65">
        <v>6353</v>
      </c>
      <c r="K150" s="248">
        <v>4000</v>
      </c>
      <c r="L150" s="65"/>
    </row>
    <row r="151" spans="1:12" ht="12.75">
      <c r="A151" s="65"/>
      <c r="B151" s="180" t="s">
        <v>210</v>
      </c>
      <c r="C151" s="180">
        <v>0</v>
      </c>
      <c r="D151" s="65"/>
      <c r="E151" s="66">
        <v>0</v>
      </c>
      <c r="F151" s="66">
        <f t="shared" si="1"/>
        <v>0</v>
      </c>
      <c r="G151" s="178">
        <v>1.9910000000000001</v>
      </c>
      <c r="H151" s="65"/>
      <c r="I151" s="177" t="s">
        <v>199</v>
      </c>
      <c r="J151" s="65">
        <v>6899</v>
      </c>
      <c r="K151" s="248">
        <v>428</v>
      </c>
      <c r="L151" s="65" t="s">
        <v>185</v>
      </c>
    </row>
    <row r="152" spans="1:12" ht="12.75">
      <c r="A152" s="65"/>
      <c r="B152" s="176" t="s">
        <v>18</v>
      </c>
      <c r="C152" s="249">
        <v>35</v>
      </c>
      <c r="D152" s="65"/>
      <c r="E152" s="66">
        <v>26.359000000000002</v>
      </c>
      <c r="F152" s="66">
        <f t="shared" si="1"/>
        <v>8.6409999999999982</v>
      </c>
      <c r="G152" s="178">
        <v>45</v>
      </c>
      <c r="H152" s="65"/>
      <c r="I152" s="177" t="s">
        <v>200</v>
      </c>
      <c r="J152" s="65">
        <v>6523</v>
      </c>
      <c r="K152" s="248">
        <v>500</v>
      </c>
      <c r="L152" s="65"/>
    </row>
    <row r="153" spans="1:12" ht="12.75">
      <c r="A153" s="65"/>
      <c r="B153" s="176"/>
      <c r="C153" s="249"/>
      <c r="D153" s="65"/>
      <c r="E153" s="66"/>
      <c r="F153" s="66"/>
      <c r="G153" s="178"/>
      <c r="H153" s="65"/>
      <c r="I153" s="177" t="s">
        <v>357</v>
      </c>
      <c r="J153" s="258" t="s">
        <v>358</v>
      </c>
      <c r="K153" s="248">
        <v>20</v>
      </c>
      <c r="L153" s="65"/>
    </row>
    <row r="154" spans="1:12" ht="12.75">
      <c r="A154" s="65"/>
      <c r="B154" s="176" t="s">
        <v>214</v>
      </c>
      <c r="C154" s="176">
        <v>0</v>
      </c>
      <c r="D154" s="65"/>
      <c r="E154" s="66">
        <v>6.1420000000000003</v>
      </c>
      <c r="F154" s="66">
        <f t="shared" si="1"/>
        <v>-6.1420000000000003</v>
      </c>
      <c r="G154" s="178">
        <v>6</v>
      </c>
      <c r="H154" s="65"/>
      <c r="I154" s="177" t="s">
        <v>202</v>
      </c>
      <c r="J154" s="65">
        <v>7491</v>
      </c>
      <c r="K154" s="248">
        <v>1000</v>
      </c>
      <c r="L154" s="65">
        <v>2000</v>
      </c>
    </row>
    <row r="155" spans="1:12" ht="12.75">
      <c r="A155" s="65"/>
      <c r="B155" s="259" t="s">
        <v>216</v>
      </c>
      <c r="C155" s="259">
        <v>9.9</v>
      </c>
      <c r="D155" s="65"/>
      <c r="E155" s="66">
        <v>11.156000000000001</v>
      </c>
      <c r="F155" s="66">
        <f t="shared" si="1"/>
        <v>-1.2560000000000002</v>
      </c>
      <c r="G155" s="178">
        <v>11.5</v>
      </c>
      <c r="H155" s="65"/>
      <c r="I155" s="177" t="s">
        <v>359</v>
      </c>
      <c r="J155" s="65">
        <v>6173</v>
      </c>
      <c r="K155" s="248">
        <v>1000</v>
      </c>
      <c r="L155" s="65"/>
    </row>
    <row r="156" spans="1:12" ht="12.75">
      <c r="A156" s="65"/>
      <c r="B156" s="176" t="s">
        <v>218</v>
      </c>
      <c r="C156" s="249">
        <v>0.5</v>
      </c>
      <c r="D156" s="65"/>
      <c r="E156" s="66">
        <v>0.5</v>
      </c>
      <c r="F156" s="66">
        <f t="shared" si="1"/>
        <v>0</v>
      </c>
      <c r="G156" s="178">
        <v>0.3</v>
      </c>
      <c r="H156" s="65"/>
      <c r="I156" s="177" t="s">
        <v>204</v>
      </c>
      <c r="J156" s="65">
        <v>6210</v>
      </c>
      <c r="K156" s="248">
        <v>7500</v>
      </c>
      <c r="L156" s="65"/>
    </row>
    <row r="157" spans="1:12" ht="12.75">
      <c r="A157" s="65"/>
      <c r="B157" s="176" t="s">
        <v>220</v>
      </c>
      <c r="C157" s="249">
        <v>0.215</v>
      </c>
      <c r="D157" s="65"/>
      <c r="E157" s="66">
        <v>0.215</v>
      </c>
      <c r="F157" s="66">
        <f t="shared" si="1"/>
        <v>0</v>
      </c>
      <c r="G157" s="178">
        <v>0.215</v>
      </c>
      <c r="H157" s="65"/>
      <c r="I157" s="177" t="s">
        <v>205</v>
      </c>
      <c r="J157" s="65">
        <v>5097</v>
      </c>
      <c r="K157" s="234">
        <v>0</v>
      </c>
      <c r="L157" s="65">
        <v>7307</v>
      </c>
    </row>
    <row r="158" spans="1:12" ht="12.75">
      <c r="A158" s="65"/>
      <c r="B158" s="176" t="s">
        <v>222</v>
      </c>
      <c r="C158" s="249">
        <v>0.8</v>
      </c>
      <c r="D158" s="65"/>
      <c r="E158" s="66">
        <v>0.9</v>
      </c>
      <c r="F158" s="66">
        <f t="shared" si="1"/>
        <v>-9.9999999999999978E-2</v>
      </c>
      <c r="G158" s="178">
        <v>0.9</v>
      </c>
      <c r="H158" s="65"/>
      <c r="I158" s="177" t="s">
        <v>206</v>
      </c>
      <c r="J158" s="212" t="s">
        <v>207</v>
      </c>
      <c r="K158" s="248">
        <f>200+60</f>
        <v>260</v>
      </c>
      <c r="L158" s="65" t="s">
        <v>212</v>
      </c>
    </row>
    <row r="159" spans="1:12" ht="12.75">
      <c r="A159" s="65"/>
      <c r="B159" s="176" t="s">
        <v>88</v>
      </c>
      <c r="C159" s="178">
        <v>0</v>
      </c>
      <c r="D159" s="65"/>
      <c r="E159" s="66">
        <v>0</v>
      </c>
      <c r="F159" s="66">
        <f t="shared" si="1"/>
        <v>0</v>
      </c>
      <c r="G159" s="178">
        <v>0.08</v>
      </c>
      <c r="H159" s="65"/>
      <c r="I159" s="177" t="s">
        <v>209</v>
      </c>
      <c r="J159" s="65"/>
      <c r="K159" s="248">
        <v>800</v>
      </c>
      <c r="L159" s="65"/>
    </row>
    <row r="160" spans="1:12" ht="12.75">
      <c r="A160" s="65"/>
      <c r="B160" s="176" t="s">
        <v>225</v>
      </c>
      <c r="C160" s="176">
        <v>0</v>
      </c>
      <c r="D160" s="65"/>
      <c r="E160" s="66">
        <v>0</v>
      </c>
      <c r="F160" s="66">
        <f t="shared" si="1"/>
        <v>0</v>
      </c>
      <c r="G160" s="178">
        <v>0</v>
      </c>
      <c r="H160" s="65"/>
      <c r="I160" s="177" t="s">
        <v>211</v>
      </c>
      <c r="J160" s="212" t="s">
        <v>207</v>
      </c>
      <c r="K160" s="179">
        <v>0</v>
      </c>
      <c r="L160" s="65"/>
    </row>
    <row r="161" spans="1:12" ht="12.75">
      <c r="A161" s="65"/>
      <c r="B161" s="176" t="s">
        <v>227</v>
      </c>
      <c r="C161" s="249">
        <v>1</v>
      </c>
      <c r="D161" s="65"/>
      <c r="E161" s="66">
        <v>1</v>
      </c>
      <c r="F161" s="66">
        <f t="shared" si="1"/>
        <v>0</v>
      </c>
      <c r="G161" s="178">
        <v>1.5</v>
      </c>
      <c r="H161" s="65"/>
      <c r="I161" s="177" t="s">
        <v>213</v>
      </c>
      <c r="J161" s="65">
        <v>5310</v>
      </c>
      <c r="K161" s="248">
        <v>138</v>
      </c>
      <c r="L161" s="65"/>
    </row>
    <row r="162" spans="1:12" ht="12.75">
      <c r="A162" s="65"/>
      <c r="B162" s="176" t="s">
        <v>229</v>
      </c>
      <c r="C162" s="249">
        <v>1.5</v>
      </c>
      <c r="D162" s="65"/>
      <c r="E162" s="66">
        <v>1.5</v>
      </c>
      <c r="F162" s="66">
        <f t="shared" si="1"/>
        <v>0</v>
      </c>
      <c r="G162" s="178">
        <v>1</v>
      </c>
      <c r="H162" s="65"/>
      <c r="I162" s="177" t="s">
        <v>349</v>
      </c>
      <c r="J162" s="65">
        <v>6553</v>
      </c>
      <c r="K162" s="248">
        <v>4</v>
      </c>
      <c r="L162" s="65"/>
    </row>
    <row r="163" spans="1:12" ht="12.75">
      <c r="A163" s="65"/>
      <c r="B163" s="176" t="s">
        <v>231</v>
      </c>
      <c r="C163" s="249">
        <v>1.4</v>
      </c>
      <c r="D163" s="65"/>
      <c r="E163" s="66">
        <v>1.4</v>
      </c>
      <c r="F163" s="66">
        <f t="shared" si="1"/>
        <v>0</v>
      </c>
      <c r="G163" s="178">
        <v>1.5</v>
      </c>
      <c r="H163" s="65"/>
      <c r="I163" s="177" t="s">
        <v>333</v>
      </c>
      <c r="J163" s="212" t="s">
        <v>215</v>
      </c>
      <c r="K163" s="248">
        <f>115</f>
        <v>115</v>
      </c>
      <c r="L163" s="65"/>
    </row>
    <row r="164" spans="1:12" ht="12.75">
      <c r="A164" s="65"/>
      <c r="B164" s="176" t="s">
        <v>233</v>
      </c>
      <c r="C164" s="176">
        <v>0</v>
      </c>
      <c r="D164" s="177"/>
      <c r="E164" s="66">
        <v>25.216999999999999</v>
      </c>
      <c r="F164" s="66">
        <f t="shared" si="1"/>
        <v>-25.216999999999999</v>
      </c>
      <c r="G164" s="178">
        <v>1.4</v>
      </c>
      <c r="H164" s="65"/>
      <c r="I164" s="177" t="s">
        <v>217</v>
      </c>
      <c r="J164" s="65">
        <v>6534</v>
      </c>
      <c r="K164" s="248">
        <v>2000</v>
      </c>
      <c r="L164" s="65"/>
    </row>
    <row r="165" spans="1:12" ht="12.75">
      <c r="A165" s="65"/>
      <c r="B165" s="176" t="s">
        <v>235</v>
      </c>
      <c r="C165" s="249">
        <v>5.9749999999999996</v>
      </c>
      <c r="D165" s="65"/>
      <c r="E165" s="66">
        <v>5.9749999999999996</v>
      </c>
      <c r="F165" s="66">
        <f t="shared" si="1"/>
        <v>0</v>
      </c>
      <c r="G165" s="178">
        <v>25</v>
      </c>
      <c r="H165" s="65"/>
      <c r="I165" s="177" t="s">
        <v>219</v>
      </c>
      <c r="J165" s="65">
        <v>6614</v>
      </c>
      <c r="K165" s="179">
        <v>0</v>
      </c>
      <c r="L165" s="65"/>
    </row>
    <row r="166" spans="1:12" ht="12.75">
      <c r="A166" s="65"/>
      <c r="B166" s="176" t="s">
        <v>237</v>
      </c>
      <c r="C166" s="249">
        <v>15</v>
      </c>
      <c r="D166" s="65"/>
      <c r="E166" s="66">
        <v>10</v>
      </c>
      <c r="F166" s="66">
        <f t="shared" si="1"/>
        <v>5</v>
      </c>
      <c r="G166" s="178">
        <v>5.9749999999999996</v>
      </c>
      <c r="H166" s="65"/>
      <c r="I166" s="177" t="s">
        <v>221</v>
      </c>
      <c r="J166" s="65">
        <v>6542</v>
      </c>
      <c r="K166" s="248">
        <v>1</v>
      </c>
      <c r="L166" s="65"/>
    </row>
    <row r="167" spans="1:12" ht="12.75">
      <c r="A167" s="65"/>
      <c r="B167" s="176" t="s">
        <v>239</v>
      </c>
      <c r="C167" s="249">
        <v>0.05</v>
      </c>
      <c r="D167" s="65"/>
      <c r="E167" s="66">
        <v>0.05</v>
      </c>
      <c r="F167" s="66">
        <f t="shared" si="1"/>
        <v>0</v>
      </c>
      <c r="G167" s="178">
        <v>10</v>
      </c>
      <c r="H167" s="65"/>
      <c r="I167" s="177" t="s">
        <v>223</v>
      </c>
      <c r="J167" s="65">
        <v>5310</v>
      </c>
      <c r="K167" s="248">
        <v>184</v>
      </c>
      <c r="L167" s="65"/>
    </row>
    <row r="168" spans="1:12" ht="12.75">
      <c r="A168" s="65"/>
      <c r="B168" s="176" t="s">
        <v>241</v>
      </c>
      <c r="C168" s="249">
        <v>0.6</v>
      </c>
      <c r="D168" s="65"/>
      <c r="E168" s="66">
        <v>0.71299999999999997</v>
      </c>
      <c r="F168" s="66">
        <f t="shared" si="1"/>
        <v>-0.11299999999999999</v>
      </c>
      <c r="G168" s="178">
        <v>0.05</v>
      </c>
      <c r="H168" s="65"/>
      <c r="I168" s="177" t="s">
        <v>224</v>
      </c>
      <c r="J168" s="65">
        <v>5310</v>
      </c>
      <c r="K168" s="248">
        <v>1200</v>
      </c>
      <c r="L168" s="65"/>
    </row>
    <row r="169" spans="1:12" ht="12.75">
      <c r="A169" s="65"/>
      <c r="B169" s="176" t="s">
        <v>243</v>
      </c>
      <c r="C169" s="249">
        <v>0.24</v>
      </c>
      <c r="D169" s="65"/>
      <c r="E169" s="66">
        <v>1.2</v>
      </c>
      <c r="F169" s="66">
        <f t="shared" si="1"/>
        <v>-0.96</v>
      </c>
      <c r="G169" s="178">
        <v>0.71299999999999997</v>
      </c>
      <c r="H169" s="65"/>
      <c r="I169" s="177" t="s">
        <v>226</v>
      </c>
      <c r="J169" s="65"/>
      <c r="K169" s="177">
        <v>0</v>
      </c>
      <c r="L169" s="65"/>
    </row>
    <row r="170" spans="1:12" ht="12.75">
      <c r="A170" s="65"/>
      <c r="B170" s="176" t="s">
        <v>92</v>
      </c>
      <c r="C170" s="178">
        <v>0</v>
      </c>
      <c r="D170" s="65"/>
      <c r="E170" s="66">
        <v>0</v>
      </c>
      <c r="F170" s="66">
        <f t="shared" si="1"/>
        <v>0</v>
      </c>
      <c r="G170" s="178">
        <v>1.2</v>
      </c>
      <c r="H170" s="65"/>
      <c r="I170" s="177" t="s">
        <v>228</v>
      </c>
      <c r="J170" s="65"/>
      <c r="K170" s="177">
        <v>0</v>
      </c>
      <c r="L170" s="65"/>
    </row>
    <row r="171" spans="1:12" ht="12.75">
      <c r="A171" s="65"/>
      <c r="B171" s="176" t="s">
        <v>86</v>
      </c>
      <c r="C171" s="249">
        <v>10</v>
      </c>
      <c r="D171" s="65"/>
      <c r="E171" s="66">
        <v>10</v>
      </c>
      <c r="F171" s="66">
        <f t="shared" si="1"/>
        <v>0</v>
      </c>
      <c r="G171" s="178">
        <v>5</v>
      </c>
      <c r="H171" s="65"/>
      <c r="I171" s="177" t="s">
        <v>230</v>
      </c>
      <c r="J171" s="65"/>
      <c r="K171" s="177">
        <v>0</v>
      </c>
      <c r="L171" s="65"/>
    </row>
    <row r="172" spans="1:12" ht="12.75">
      <c r="A172" s="65"/>
      <c r="B172" s="176"/>
      <c r="C172" s="249"/>
      <c r="D172" s="65"/>
      <c r="E172" s="66"/>
      <c r="F172" s="66"/>
      <c r="G172" s="178"/>
      <c r="H172" s="65"/>
      <c r="I172" s="177" t="s">
        <v>232</v>
      </c>
      <c r="J172" s="65"/>
      <c r="K172" s="177">
        <v>0</v>
      </c>
      <c r="L172" s="65"/>
    </row>
    <row r="173" spans="1:12" ht="12.75">
      <c r="A173" s="65"/>
      <c r="B173" s="176" t="s">
        <v>246</v>
      </c>
      <c r="C173" s="249">
        <v>0.45</v>
      </c>
      <c r="D173" s="65"/>
      <c r="E173" s="66">
        <v>0.45</v>
      </c>
      <c r="F173" s="66">
        <f t="shared" si="1"/>
        <v>0</v>
      </c>
      <c r="G173" s="178">
        <v>10</v>
      </c>
      <c r="H173" s="65"/>
      <c r="I173" s="177" t="s">
        <v>234</v>
      </c>
      <c r="J173" s="65"/>
      <c r="K173" s="177">
        <v>0</v>
      </c>
      <c r="L173" s="65"/>
    </row>
    <row r="174" spans="1:12" ht="12.75">
      <c r="A174" s="65"/>
      <c r="B174" s="66" t="s">
        <v>248</v>
      </c>
      <c r="C174" s="66">
        <v>0</v>
      </c>
      <c r="D174" s="65"/>
      <c r="E174" s="66">
        <v>0</v>
      </c>
      <c r="F174" s="66">
        <f t="shared" si="1"/>
        <v>0</v>
      </c>
      <c r="G174" s="178">
        <v>0.45</v>
      </c>
      <c r="H174" s="65"/>
      <c r="I174" s="177" t="s">
        <v>236</v>
      </c>
      <c r="J174" s="65">
        <v>7211</v>
      </c>
      <c r="K174" s="248">
        <v>1000</v>
      </c>
      <c r="L174" s="65"/>
    </row>
    <row r="175" spans="1:12" ht="12.75">
      <c r="A175" s="65"/>
      <c r="B175" s="176" t="s">
        <v>251</v>
      </c>
      <c r="C175" s="249">
        <v>20</v>
      </c>
      <c r="D175" s="65"/>
      <c r="E175" s="66">
        <v>20</v>
      </c>
      <c r="F175" s="66">
        <f t="shared" si="1"/>
        <v>0</v>
      </c>
      <c r="G175" s="178">
        <v>19</v>
      </c>
      <c r="H175" s="65"/>
      <c r="I175" s="177" t="s">
        <v>238</v>
      </c>
      <c r="J175" s="65">
        <v>6722</v>
      </c>
      <c r="K175" s="248">
        <v>48</v>
      </c>
      <c r="L175" s="65">
        <v>12500</v>
      </c>
    </row>
    <row r="176" spans="1:12" ht="12.75">
      <c r="A176" s="65"/>
      <c r="B176" s="176" t="s">
        <v>253</v>
      </c>
      <c r="C176" s="249">
        <v>1.5</v>
      </c>
      <c r="D176" s="65"/>
      <c r="E176" s="66">
        <v>1.5</v>
      </c>
      <c r="F176" s="66">
        <f t="shared" si="1"/>
        <v>0</v>
      </c>
      <c r="G176" s="178">
        <v>10</v>
      </c>
      <c r="H176" s="65"/>
      <c r="I176" s="177" t="s">
        <v>240</v>
      </c>
      <c r="J176" s="65"/>
      <c r="K176" s="248">
        <v>845</v>
      </c>
      <c r="L176" s="65"/>
    </row>
    <row r="177" spans="1:12" ht="12.75">
      <c r="A177" s="65"/>
      <c r="B177" s="66" t="s">
        <v>84</v>
      </c>
      <c r="C177" s="66">
        <v>0</v>
      </c>
      <c r="D177" s="65"/>
      <c r="E177" s="66">
        <v>0</v>
      </c>
      <c r="F177" s="66">
        <f t="shared" si="1"/>
        <v>0</v>
      </c>
      <c r="G177" s="178">
        <v>1.5</v>
      </c>
      <c r="H177" s="65"/>
      <c r="I177" s="177" t="s">
        <v>242</v>
      </c>
      <c r="J177" s="65">
        <v>4063</v>
      </c>
      <c r="K177" s="248">
        <v>231</v>
      </c>
      <c r="L177" s="65"/>
    </row>
    <row r="178" spans="1:12" ht="12.75">
      <c r="A178" s="65"/>
      <c r="B178" s="66"/>
      <c r="C178" s="66"/>
      <c r="D178" s="65"/>
      <c r="E178" s="66"/>
      <c r="F178" s="66"/>
      <c r="G178" s="178"/>
      <c r="H178" s="65"/>
      <c r="I178" s="177" t="s">
        <v>94</v>
      </c>
      <c r="J178" s="65">
        <v>3405</v>
      </c>
      <c r="K178" s="248">
        <v>2553</v>
      </c>
      <c r="L178" s="65"/>
    </row>
    <row r="179" spans="1:12" ht="12.75">
      <c r="A179" s="65"/>
      <c r="B179" s="66"/>
      <c r="C179" s="66"/>
      <c r="D179" s="65"/>
      <c r="E179" s="66"/>
      <c r="F179" s="66"/>
      <c r="G179" s="178"/>
      <c r="H179" s="65"/>
      <c r="I179" s="177" t="s">
        <v>52</v>
      </c>
      <c r="J179" s="65">
        <v>9643</v>
      </c>
      <c r="K179" s="248">
        <v>7000</v>
      </c>
      <c r="L179" s="65"/>
    </row>
    <row r="180" spans="1:12" ht="12.75">
      <c r="A180" s="65"/>
      <c r="B180" s="176" t="s">
        <v>256</v>
      </c>
      <c r="C180" s="249">
        <v>4</v>
      </c>
      <c r="D180" s="65"/>
      <c r="E180" s="66">
        <v>4</v>
      </c>
      <c r="F180" s="66">
        <f t="shared" si="1"/>
        <v>0</v>
      </c>
      <c r="G180" s="178">
        <v>4.5</v>
      </c>
      <c r="H180" s="65"/>
      <c r="I180" s="177" t="s">
        <v>362</v>
      </c>
      <c r="J180" s="65">
        <v>9643</v>
      </c>
      <c r="K180" s="248">
        <v>4300</v>
      </c>
      <c r="L180" s="65"/>
    </row>
    <row r="181" spans="1:12" ht="12.75">
      <c r="A181" s="65"/>
      <c r="B181" s="176" t="s">
        <v>257</v>
      </c>
      <c r="C181" s="249">
        <v>0.08</v>
      </c>
      <c r="D181" s="65"/>
      <c r="E181" s="66">
        <v>6.0999999999999999E-2</v>
      </c>
      <c r="F181" s="66">
        <f t="shared" si="1"/>
        <v>1.9000000000000003E-2</v>
      </c>
      <c r="G181" s="178">
        <v>4</v>
      </c>
      <c r="H181" s="65"/>
      <c r="I181" s="177" t="s">
        <v>244</v>
      </c>
      <c r="J181" s="65">
        <v>6788</v>
      </c>
      <c r="K181" s="248">
        <v>250</v>
      </c>
      <c r="L181" s="65"/>
    </row>
    <row r="182" spans="1:12" ht="12.75">
      <c r="A182" s="65"/>
      <c r="B182" s="176" t="s">
        <v>258</v>
      </c>
      <c r="C182" s="249">
        <v>40</v>
      </c>
      <c r="D182" s="65"/>
      <c r="E182" s="66">
        <v>41.424999999999997</v>
      </c>
      <c r="F182" s="180">
        <f t="shared" si="1"/>
        <v>-1.4249999999999972</v>
      </c>
      <c r="G182" s="178">
        <v>6.0999999999999999E-2</v>
      </c>
      <c r="H182" s="65"/>
      <c r="I182" s="177" t="s">
        <v>245</v>
      </c>
      <c r="J182" s="65">
        <v>6683</v>
      </c>
      <c r="K182" s="248">
        <v>2800</v>
      </c>
      <c r="L182" s="65">
        <v>863</v>
      </c>
    </row>
    <row r="183" spans="1:12" ht="12.75">
      <c r="A183" s="65"/>
      <c r="B183" s="176" t="s">
        <v>26</v>
      </c>
      <c r="C183" s="249">
        <v>19</v>
      </c>
      <c r="D183" s="65"/>
      <c r="E183" s="66">
        <v>18.899000000000001</v>
      </c>
      <c r="F183" s="66">
        <f t="shared" si="1"/>
        <v>0.10099999999999909</v>
      </c>
      <c r="G183" s="178">
        <v>40</v>
      </c>
      <c r="H183" s="65"/>
      <c r="I183" s="177" t="s">
        <v>360</v>
      </c>
      <c r="J183" s="65">
        <v>2185</v>
      </c>
      <c r="K183" s="248">
        <v>35</v>
      </c>
      <c r="L183" s="65"/>
    </row>
    <row r="184" spans="1:12" ht="12.75">
      <c r="A184" s="65"/>
      <c r="B184" s="176" t="s">
        <v>261</v>
      </c>
      <c r="C184" s="249">
        <v>1</v>
      </c>
      <c r="D184" s="65"/>
      <c r="E184" s="66">
        <v>1</v>
      </c>
      <c r="F184" s="66">
        <f t="shared" si="1"/>
        <v>0</v>
      </c>
      <c r="G184" s="178">
        <v>20</v>
      </c>
      <c r="H184" s="65"/>
      <c r="I184" s="177" t="s">
        <v>351</v>
      </c>
      <c r="J184" s="65">
        <v>6296</v>
      </c>
      <c r="K184" s="248">
        <v>36</v>
      </c>
      <c r="L184" s="65">
        <v>4581</v>
      </c>
    </row>
    <row r="185" spans="1:12" ht="12.75">
      <c r="A185" s="65"/>
      <c r="B185" s="176" t="s">
        <v>152</v>
      </c>
      <c r="C185" s="176">
        <v>0</v>
      </c>
      <c r="D185" s="65"/>
      <c r="E185" s="66">
        <v>0</v>
      </c>
      <c r="F185" s="66">
        <f t="shared" si="1"/>
        <v>0</v>
      </c>
      <c r="G185" s="178">
        <v>1</v>
      </c>
      <c r="H185" s="65"/>
      <c r="I185" s="177" t="s">
        <v>247</v>
      </c>
      <c r="J185" s="65">
        <v>5053</v>
      </c>
      <c r="K185" s="236">
        <v>0</v>
      </c>
      <c r="L185" s="65"/>
    </row>
    <row r="186" spans="1:12" ht="12.75">
      <c r="A186" s="65"/>
      <c r="B186" s="176" t="s">
        <v>262</v>
      </c>
      <c r="C186" s="249">
        <v>1</v>
      </c>
      <c r="D186" s="65"/>
      <c r="E186" s="66">
        <v>1</v>
      </c>
      <c r="F186" s="66">
        <f t="shared" ref="F186:F195" si="2">C186-E186</f>
        <v>0</v>
      </c>
      <c r="G186" s="178">
        <v>10</v>
      </c>
      <c r="H186" s="65"/>
      <c r="I186" s="177" t="s">
        <v>249</v>
      </c>
      <c r="J186" s="212" t="s">
        <v>250</v>
      </c>
      <c r="K186" s="248">
        <f>1+8000+677</f>
        <v>8678</v>
      </c>
      <c r="L186" s="65">
        <v>10</v>
      </c>
    </row>
    <row r="187" spans="1:12" ht="12.75">
      <c r="A187" s="65"/>
      <c r="B187" s="176" t="s">
        <v>263</v>
      </c>
      <c r="C187" s="249">
        <v>65</v>
      </c>
      <c r="D187" s="65"/>
      <c r="E187" s="66">
        <v>67.477999999999994</v>
      </c>
      <c r="F187" s="66">
        <f t="shared" si="2"/>
        <v>-2.4779999999999944</v>
      </c>
      <c r="G187" s="178">
        <v>1</v>
      </c>
      <c r="H187" s="65"/>
      <c r="I187" s="177" t="s">
        <v>252</v>
      </c>
      <c r="J187" s="65">
        <v>4132</v>
      </c>
      <c r="K187" s="248">
        <v>8</v>
      </c>
      <c r="L187" s="65"/>
    </row>
    <row r="188" spans="1:12" ht="12.75">
      <c r="A188" s="65"/>
      <c r="B188" s="176" t="s">
        <v>264</v>
      </c>
      <c r="C188" s="249">
        <v>0.2</v>
      </c>
      <c r="D188" s="65"/>
      <c r="E188" s="66">
        <v>0.2</v>
      </c>
      <c r="F188" s="66">
        <f t="shared" si="2"/>
        <v>0</v>
      </c>
      <c r="G188" s="178">
        <v>65</v>
      </c>
      <c r="H188" s="65"/>
      <c r="I188" s="177" t="s">
        <v>254</v>
      </c>
      <c r="J188" s="65">
        <v>2540</v>
      </c>
      <c r="K188" s="234">
        <v>0</v>
      </c>
      <c r="L188" s="65"/>
    </row>
    <row r="189" spans="1:12" ht="12.75">
      <c r="A189" s="65"/>
      <c r="B189" s="176" t="s">
        <v>322</v>
      </c>
      <c r="C189" s="249">
        <v>4.2999999999999997E-2</v>
      </c>
      <c r="D189" s="65"/>
      <c r="E189" s="66"/>
      <c r="F189" s="66"/>
      <c r="G189" s="178"/>
      <c r="H189" s="65"/>
      <c r="I189" s="177" t="s">
        <v>255</v>
      </c>
      <c r="J189" s="65">
        <v>3405</v>
      </c>
      <c r="K189" s="248">
        <v>15</v>
      </c>
      <c r="L189" s="65"/>
    </row>
    <row r="190" spans="1:12" ht="12.75">
      <c r="A190" s="65"/>
      <c r="B190" s="176" t="s">
        <v>265</v>
      </c>
      <c r="C190" s="249">
        <v>4</v>
      </c>
      <c r="D190" s="65"/>
      <c r="E190" s="66">
        <v>4.665</v>
      </c>
      <c r="F190" s="66">
        <f t="shared" si="2"/>
        <v>-0.66500000000000004</v>
      </c>
      <c r="G190" s="178">
        <v>0.2</v>
      </c>
      <c r="H190" s="65"/>
      <c r="I190" s="177" t="s">
        <v>255</v>
      </c>
      <c r="J190" s="65">
        <v>5801</v>
      </c>
      <c r="K190" s="248">
        <v>1</v>
      </c>
      <c r="L190" s="65"/>
    </row>
    <row r="191" spans="1:12" ht="12.75">
      <c r="A191" s="65"/>
      <c r="B191" s="176" t="s">
        <v>266</v>
      </c>
      <c r="C191" s="249">
        <v>0.05</v>
      </c>
      <c r="D191" s="65"/>
      <c r="E191" s="66">
        <v>0.05</v>
      </c>
      <c r="F191" s="66">
        <f t="shared" si="2"/>
        <v>0</v>
      </c>
      <c r="G191" s="178">
        <v>4</v>
      </c>
      <c r="H191" s="65"/>
      <c r="I191" s="177" t="s">
        <v>96</v>
      </c>
      <c r="J191" s="65">
        <v>6589</v>
      </c>
      <c r="K191" s="248">
        <v>1100</v>
      </c>
      <c r="L191" s="65"/>
    </row>
    <row r="192" spans="1:12" ht="12.75">
      <c r="A192" s="65"/>
      <c r="B192" s="66" t="s">
        <v>178</v>
      </c>
      <c r="C192" s="66">
        <v>0</v>
      </c>
      <c r="D192" s="65"/>
      <c r="E192" s="66">
        <v>0</v>
      </c>
      <c r="F192" s="66">
        <f t="shared" si="2"/>
        <v>0</v>
      </c>
      <c r="G192" s="178">
        <v>0.05</v>
      </c>
      <c r="H192" s="65"/>
      <c r="I192" s="177" t="s">
        <v>259</v>
      </c>
      <c r="J192" s="65">
        <v>106</v>
      </c>
      <c r="K192" s="248">
        <v>1068</v>
      </c>
      <c r="L192" s="65"/>
    </row>
    <row r="193" spans="1:12" ht="12.75">
      <c r="A193" s="65"/>
      <c r="B193" s="176" t="s">
        <v>267</v>
      </c>
      <c r="C193" s="176">
        <v>0</v>
      </c>
      <c r="D193" s="65"/>
      <c r="E193" s="66">
        <v>0</v>
      </c>
      <c r="F193" s="66">
        <f t="shared" si="2"/>
        <v>0</v>
      </c>
      <c r="G193" s="178">
        <v>0</v>
      </c>
      <c r="H193" s="65"/>
      <c r="I193" s="177" t="s">
        <v>361</v>
      </c>
      <c r="J193" s="65">
        <v>5053</v>
      </c>
      <c r="K193" s="248">
        <v>330</v>
      </c>
      <c r="L193" s="65"/>
    </row>
    <row r="194" spans="1:12" ht="12.75">
      <c r="B194" t="s">
        <v>268</v>
      </c>
      <c r="C194" s="66">
        <v>0</v>
      </c>
      <c r="D194" s="65" t="s">
        <v>269</v>
      </c>
      <c r="E194" s="66">
        <v>0</v>
      </c>
      <c r="F194" s="66">
        <f t="shared" si="2"/>
        <v>0</v>
      </c>
      <c r="G194" s="178">
        <v>12.5</v>
      </c>
      <c r="H194" s="65"/>
      <c r="I194" s="177" t="s">
        <v>260</v>
      </c>
      <c r="J194" s="65">
        <v>6598</v>
      </c>
      <c r="K194" s="248">
        <v>4206</v>
      </c>
      <c r="L194" s="65" t="s">
        <v>185</v>
      </c>
    </row>
    <row r="195" spans="1:12" ht="12.75">
      <c r="B195" t="s">
        <v>270</v>
      </c>
      <c r="C195" s="66">
        <v>0</v>
      </c>
      <c r="D195" s="65"/>
      <c r="E195" s="66">
        <v>0</v>
      </c>
      <c r="F195" s="66">
        <f t="shared" si="2"/>
        <v>0</v>
      </c>
      <c r="G195" s="178">
        <v>0</v>
      </c>
      <c r="H195" s="65"/>
      <c r="I195" s="66"/>
      <c r="J195" s="65"/>
      <c r="K195" s="179"/>
    </row>
    <row r="196" spans="1:12" ht="12.75">
      <c r="B196"/>
      <c r="C196" s="182">
        <f>SUM(C114:C195)</f>
        <v>408.27738709677419</v>
      </c>
      <c r="D196" s="65"/>
      <c r="E196" s="182">
        <f>SUM(E114:E195)</f>
        <v>472.43299999999999</v>
      </c>
      <c r="F196" s="66">
        <f>C195-E195</f>
        <v>0</v>
      </c>
      <c r="G196" s="177"/>
      <c r="H196" s="65"/>
      <c r="I196" s="65"/>
      <c r="J196" s="65"/>
      <c r="K196" s="181">
        <f>SUM(K114:K195)</f>
        <v>91921</v>
      </c>
    </row>
    <row r="197" spans="1:12" ht="12.75">
      <c r="B197"/>
      <c r="C197" s="66"/>
      <c r="D197" s="65"/>
      <c r="E197" s="65"/>
      <c r="F197" s="65"/>
      <c r="G197" s="65"/>
      <c r="H197" s="65"/>
      <c r="I197" s="65"/>
      <c r="J197" s="65"/>
      <c r="K197" s="65"/>
    </row>
    <row r="198" spans="1:12" ht="12.75">
      <c r="A198" s="183"/>
      <c r="B198"/>
      <c r="C198" s="66"/>
      <c r="D198" s="65"/>
      <c r="E198" s="65"/>
      <c r="F198" s="65"/>
      <c r="G198" s="65"/>
      <c r="H198" s="65"/>
      <c r="I198" s="65"/>
      <c r="J198" s="65"/>
      <c r="K198" s="65"/>
    </row>
    <row r="199" spans="1:12" ht="12.75">
      <c r="B199"/>
      <c r="C199" s="66"/>
      <c r="D199" s="65"/>
      <c r="E199" s="65"/>
      <c r="F199" s="65"/>
      <c r="G199" s="65"/>
      <c r="H199" s="65"/>
      <c r="I199" s="65"/>
      <c r="J199" s="65"/>
      <c r="K199" s="65"/>
    </row>
    <row r="200" spans="1:12" ht="12.75">
      <c r="B200" s="175" t="s">
        <v>7</v>
      </c>
      <c r="C200" s="176">
        <v>0</v>
      </c>
      <c r="D200" s="65"/>
      <c r="E200" s="65"/>
      <c r="F200" s="65"/>
      <c r="G200" s="65"/>
      <c r="H200" s="65"/>
      <c r="I200" s="65"/>
      <c r="J200" s="65"/>
      <c r="K200" s="65"/>
    </row>
    <row r="201" spans="1:12" ht="12.75">
      <c r="B201" s="175" t="s">
        <v>6</v>
      </c>
      <c r="C201" s="176">
        <v>0</v>
      </c>
      <c r="D201" s="65">
        <v>3</v>
      </c>
      <c r="E201" s="65"/>
      <c r="F201" s="65"/>
      <c r="G201" s="65"/>
      <c r="H201" s="65"/>
      <c r="I201" s="65"/>
      <c r="J201" s="65"/>
      <c r="K201" s="65"/>
    </row>
    <row r="202" spans="1:12" ht="12.75">
      <c r="B202" s="175" t="s">
        <v>271</v>
      </c>
      <c r="C202" s="176">
        <v>0</v>
      </c>
      <c r="D202" s="65" t="s">
        <v>272</v>
      </c>
      <c r="E202" s="65"/>
      <c r="F202" s="65"/>
      <c r="G202" s="65"/>
      <c r="H202" s="65"/>
      <c r="I202" s="66"/>
      <c r="J202" s="65"/>
      <c r="K202" s="65"/>
    </row>
    <row r="203" spans="1:12" ht="12.75">
      <c r="B203" s="175" t="s">
        <v>11</v>
      </c>
      <c r="C203" s="176">
        <v>0</v>
      </c>
      <c r="D203" s="65"/>
      <c r="E203" s="65"/>
      <c r="F203" s="65">
        <v>5</v>
      </c>
      <c r="G203" s="65"/>
      <c r="H203" s="65"/>
      <c r="I203" s="65"/>
      <c r="J203" s="65"/>
    </row>
    <row r="204" spans="1:12" ht="12.75">
      <c r="B204" s="175" t="s">
        <v>187</v>
      </c>
      <c r="C204" s="176">
        <v>0</v>
      </c>
      <c r="D204" s="65" t="s">
        <v>273</v>
      </c>
      <c r="E204" s="65"/>
      <c r="F204" s="65">
        <v>10</v>
      </c>
      <c r="G204" s="65"/>
      <c r="H204" s="65"/>
      <c r="I204" s="65"/>
      <c r="J204" s="65"/>
    </row>
    <row r="205" spans="1:12" ht="12.75">
      <c r="B205" s="175" t="s">
        <v>201</v>
      </c>
      <c r="C205" s="176">
        <v>0</v>
      </c>
      <c r="D205" s="65"/>
      <c r="E205" s="65"/>
      <c r="F205" s="65"/>
      <c r="G205" s="65"/>
      <c r="H205" s="65"/>
      <c r="I205" s="65"/>
      <c r="J205" s="65"/>
    </row>
    <row r="206" spans="1:12" ht="12.75">
      <c r="B206" s="175" t="s">
        <v>16</v>
      </c>
      <c r="C206" s="176">
        <v>0</v>
      </c>
      <c r="D206" s="65"/>
      <c r="E206" s="65"/>
      <c r="F206" s="65"/>
      <c r="G206" s="65"/>
      <c r="H206" s="65"/>
      <c r="I206" s="65"/>
      <c r="J206" s="65"/>
    </row>
    <row r="207" spans="1:12" ht="12.75">
      <c r="B207" s="175" t="s">
        <v>14</v>
      </c>
      <c r="C207" s="176">
        <v>0</v>
      </c>
      <c r="D207" s="65" t="s">
        <v>272</v>
      </c>
      <c r="E207" s="65"/>
      <c r="F207" s="65">
        <v>5</v>
      </c>
      <c r="G207" s="65"/>
      <c r="H207" s="65"/>
      <c r="I207" s="65"/>
      <c r="J207" s="65"/>
    </row>
    <row r="208" spans="1:12" ht="12.75">
      <c r="A208" s="12" t="s">
        <v>274</v>
      </c>
      <c r="B208" s="175" t="s">
        <v>18</v>
      </c>
      <c r="C208" s="176">
        <v>0</v>
      </c>
      <c r="D208" s="65" t="s">
        <v>272</v>
      </c>
      <c r="E208" s="65"/>
      <c r="F208" s="65">
        <v>15</v>
      </c>
      <c r="G208" s="65"/>
      <c r="H208" s="65"/>
      <c r="I208" s="65"/>
      <c r="J208" s="65"/>
    </row>
    <row r="209" spans="2:19" ht="12.75">
      <c r="B209" t="s">
        <v>216</v>
      </c>
      <c r="C209" s="66">
        <v>0</v>
      </c>
      <c r="D209" s="65" t="s">
        <v>272</v>
      </c>
      <c r="E209" s="65"/>
      <c r="F209" s="65">
        <v>15</v>
      </c>
      <c r="G209" s="65"/>
      <c r="H209" s="65"/>
      <c r="I209" s="65"/>
      <c r="J209" s="65"/>
    </row>
    <row r="210" spans="2:19" ht="12.75">
      <c r="B210" s="175" t="s">
        <v>233</v>
      </c>
      <c r="C210" s="176">
        <v>0</v>
      </c>
      <c r="D210" s="65"/>
      <c r="E210" s="65"/>
      <c r="F210" s="65">
        <v>5</v>
      </c>
      <c r="G210" s="65"/>
      <c r="H210" s="65"/>
      <c r="I210" s="65"/>
      <c r="J210" s="65"/>
    </row>
    <row r="211" spans="2:19" ht="12.75">
      <c r="B211" s="175" t="s">
        <v>275</v>
      </c>
      <c r="C211" s="176">
        <v>0</v>
      </c>
      <c r="D211" s="65" t="s">
        <v>276</v>
      </c>
      <c r="E211" s="65"/>
      <c r="F211" s="65"/>
      <c r="G211" s="65"/>
      <c r="H211" s="65"/>
      <c r="I211" s="65"/>
      <c r="J211" s="65"/>
    </row>
    <row r="212" spans="2:19" ht="12.75">
      <c r="B212" t="s">
        <v>258</v>
      </c>
      <c r="C212" s="178">
        <v>0</v>
      </c>
      <c r="D212" s="65"/>
      <c r="E212" s="65"/>
      <c r="F212" s="65">
        <f>SUM(F203:F211)</f>
        <v>55</v>
      </c>
      <c r="G212" s="65"/>
      <c r="H212" s="65"/>
      <c r="I212" s="65"/>
      <c r="J212" s="65"/>
    </row>
    <row r="213" spans="2:19" ht="12.75">
      <c r="B213" t="s">
        <v>26</v>
      </c>
      <c r="C213" s="178">
        <v>0</v>
      </c>
      <c r="D213" s="65"/>
      <c r="E213" s="65"/>
      <c r="F213" s="65"/>
      <c r="G213" s="65"/>
      <c r="H213" s="65"/>
      <c r="I213" s="66"/>
      <c r="J213" s="65"/>
    </row>
    <row r="214" spans="2:19" ht="12.75">
      <c r="B214" t="s">
        <v>267</v>
      </c>
      <c r="C214" s="178">
        <v>0</v>
      </c>
      <c r="D214" s="65"/>
      <c r="E214" s="65"/>
      <c r="F214" s="65"/>
      <c r="G214" s="65"/>
      <c r="H214" s="65"/>
      <c r="I214" s="66"/>
      <c r="J214" s="65"/>
    </row>
    <row r="215" spans="2:19" ht="12.75">
      <c r="B215" t="s">
        <v>277</v>
      </c>
      <c r="C215" s="178">
        <v>0</v>
      </c>
      <c r="D215" s="65"/>
      <c r="E215" s="65"/>
      <c r="F215" s="65"/>
      <c r="G215" s="65"/>
      <c r="H215" s="65"/>
      <c r="I215" s="65"/>
      <c r="J215" s="65"/>
    </row>
    <row r="216" spans="2:19" ht="12.75">
      <c r="B216" t="s">
        <v>278</v>
      </c>
      <c r="C216" s="184">
        <f>SUM(C200:C215)</f>
        <v>0</v>
      </c>
      <c r="D216" s="65"/>
      <c r="F216" s="65"/>
      <c r="G216" s="65"/>
      <c r="H216" s="65"/>
      <c r="I216" s="65"/>
      <c r="J216" s="65"/>
    </row>
    <row r="217" spans="2:19" ht="12.75">
      <c r="B217" s="45"/>
      <c r="C217" s="45"/>
      <c r="I217" s="65"/>
      <c r="J217" s="65"/>
    </row>
    <row r="218" spans="2:19" ht="12.75">
      <c r="B218"/>
      <c r="C218">
        <f>C196+C216</f>
        <v>408.27738709677419</v>
      </c>
      <c r="I218" s="65"/>
      <c r="J218" s="65"/>
    </row>
    <row r="219" spans="2:19" ht="12.75">
      <c r="B219"/>
      <c r="C219"/>
      <c r="I219" s="65"/>
      <c r="J219" s="65"/>
    </row>
    <row r="220" spans="2:19" ht="12.75">
      <c r="B220"/>
      <c r="C220">
        <f>E196-C218</f>
        <v>64.155612903225801</v>
      </c>
      <c r="G220" s="185" t="s">
        <v>279</v>
      </c>
      <c r="H220" s="186"/>
      <c r="I220" s="65"/>
      <c r="J220" s="65"/>
      <c r="Q220" s="186"/>
      <c r="R220" s="186"/>
      <c r="S220" s="187"/>
    </row>
    <row r="221" spans="2:19" ht="12.75">
      <c r="B221"/>
      <c r="C221"/>
      <c r="G221" s="188"/>
      <c r="H221" s="189" t="s">
        <v>280</v>
      </c>
      <c r="I221" s="65"/>
      <c r="J221" s="65"/>
      <c r="N221" s="186"/>
      <c r="O221" s="186"/>
      <c r="P221" s="186"/>
      <c r="Q221" s="190"/>
      <c r="R221" s="190"/>
      <c r="S221" s="158"/>
    </row>
    <row r="222" spans="2:19">
      <c r="G222" s="191"/>
      <c r="H222" s="74"/>
      <c r="I222" s="65"/>
      <c r="J222" s="65"/>
      <c r="N222" s="190"/>
      <c r="O222" s="190"/>
      <c r="P222" s="190"/>
      <c r="Q222" s="74"/>
      <c r="R222" s="74"/>
      <c r="S222" s="161"/>
    </row>
    <row r="223" spans="2:19">
      <c r="G223" s="191"/>
      <c r="H223" s="74"/>
      <c r="I223" s="65"/>
      <c r="J223" s="65"/>
      <c r="N223" s="74"/>
      <c r="O223" s="74"/>
      <c r="P223" s="74"/>
      <c r="Q223" s="74"/>
      <c r="R223" s="74"/>
      <c r="S223" s="161"/>
    </row>
    <row r="224" spans="2:19" ht="12.75">
      <c r="B224"/>
      <c r="C224" s="195"/>
      <c r="G224" s="191"/>
      <c r="H224" s="74"/>
      <c r="I224" s="65"/>
      <c r="J224" s="65"/>
      <c r="N224" s="74"/>
      <c r="O224" s="74"/>
      <c r="P224" s="74"/>
      <c r="Q224" s="74"/>
      <c r="R224" s="74"/>
      <c r="S224" s="161"/>
    </row>
    <row r="225" spans="2:19" ht="12.75">
      <c r="B225"/>
      <c r="C225" s="195"/>
      <c r="G225" s="191"/>
      <c r="H225" s="74"/>
      <c r="I225" s="65"/>
      <c r="J225" s="65"/>
      <c r="N225" s="74"/>
      <c r="O225" s="74"/>
      <c r="P225" s="74"/>
      <c r="Q225" s="74"/>
      <c r="R225" s="74"/>
      <c r="S225" s="161"/>
    </row>
    <row r="226" spans="2:19" ht="12.75">
      <c r="B226"/>
      <c r="C226" s="195"/>
      <c r="G226" s="191"/>
      <c r="H226" s="74"/>
      <c r="I226" s="65"/>
      <c r="J226" s="65"/>
      <c r="M226" s="186"/>
      <c r="N226" s="74"/>
      <c r="O226" s="74"/>
      <c r="P226" s="74"/>
      <c r="Q226" s="74"/>
      <c r="R226" s="74"/>
      <c r="S226" s="161"/>
    </row>
    <row r="227" spans="2:19" ht="12.75">
      <c r="B227"/>
      <c r="C227" s="195"/>
      <c r="G227" s="191"/>
      <c r="H227" s="74"/>
      <c r="I227" s="65"/>
      <c r="J227" s="65"/>
      <c r="M227" s="190"/>
      <c r="N227" s="74"/>
      <c r="O227" s="74"/>
      <c r="P227" s="74"/>
      <c r="Q227" s="74"/>
      <c r="R227" s="74"/>
      <c r="S227" s="161"/>
    </row>
    <row r="228" spans="2:19" ht="12.75">
      <c r="B228"/>
      <c r="C228" s="195"/>
      <c r="G228" s="191"/>
      <c r="H228" s="74"/>
      <c r="M228" s="74"/>
      <c r="N228" s="74"/>
      <c r="O228" s="74"/>
      <c r="P228" s="74"/>
      <c r="Q228" s="74"/>
      <c r="R228" s="74"/>
      <c r="S228" s="161"/>
    </row>
    <row r="229" spans="2:19" ht="12.75">
      <c r="B229"/>
      <c r="C229" s="195"/>
      <c r="G229" s="191"/>
      <c r="H229" s="74"/>
      <c r="L229" s="186"/>
      <c r="M229" s="74"/>
      <c r="N229" s="74"/>
      <c r="O229" s="74"/>
      <c r="P229" s="74"/>
      <c r="Q229" s="74"/>
      <c r="R229" s="74"/>
      <c r="S229" s="161"/>
    </row>
    <row r="230" spans="2:19" ht="12.75">
      <c r="B230"/>
      <c r="C230" s="195"/>
      <c r="G230" s="191"/>
      <c r="H230" s="74" t="s">
        <v>288</v>
      </c>
      <c r="L230" s="190"/>
      <c r="M230" s="74"/>
      <c r="N230" s="74"/>
      <c r="O230" s="74"/>
      <c r="P230" s="74"/>
      <c r="Q230" s="74"/>
      <c r="R230" s="74"/>
      <c r="S230" s="161"/>
    </row>
    <row r="231" spans="2:19" ht="12.75">
      <c r="B231"/>
      <c r="C231" s="195"/>
      <c r="G231" s="191"/>
      <c r="H231" s="74"/>
      <c r="L231" s="74"/>
      <c r="M231" s="74"/>
      <c r="N231" s="74"/>
      <c r="O231" s="74"/>
      <c r="P231" s="74"/>
      <c r="Q231" s="74"/>
      <c r="R231" s="74"/>
      <c r="S231" s="161"/>
    </row>
    <row r="232" spans="2:19" ht="12.75">
      <c r="B232"/>
      <c r="C232" s="195"/>
      <c r="G232" s="191"/>
      <c r="H232" s="74"/>
      <c r="I232" s="186"/>
      <c r="J232" s="186"/>
      <c r="K232" s="186"/>
      <c r="L232" s="74"/>
      <c r="M232" s="74"/>
      <c r="N232" s="74"/>
      <c r="O232" s="74"/>
      <c r="P232" s="74"/>
      <c r="Q232" s="74"/>
      <c r="R232" s="74"/>
      <c r="S232" s="161"/>
    </row>
    <row r="233" spans="2:19" ht="12.75">
      <c r="B233"/>
      <c r="C233" s="195"/>
      <c r="G233" s="191"/>
      <c r="H233" s="74"/>
      <c r="I233" s="192"/>
      <c r="J233" s="193"/>
      <c r="K233" s="190"/>
      <c r="L233" s="74"/>
      <c r="M233" s="74"/>
      <c r="N233" s="74"/>
      <c r="O233" s="74"/>
      <c r="P233" s="74"/>
      <c r="Q233" s="74"/>
      <c r="R233" s="74"/>
      <c r="S233" s="161"/>
    </row>
    <row r="234" spans="2:19" ht="12.75">
      <c r="B234"/>
      <c r="C234" s="195"/>
      <c r="G234" s="191"/>
      <c r="H234" s="74"/>
      <c r="I234" s="68" t="s">
        <v>281</v>
      </c>
      <c r="J234" s="194">
        <v>0</v>
      </c>
      <c r="K234" s="74"/>
      <c r="L234" s="74"/>
      <c r="M234" s="74"/>
      <c r="N234" s="74"/>
      <c r="O234" s="74"/>
      <c r="P234" s="74"/>
      <c r="Q234" s="74"/>
      <c r="R234" s="74"/>
      <c r="S234" s="161"/>
    </row>
    <row r="235" spans="2:19" ht="12.75">
      <c r="B235"/>
      <c r="C235" s="195"/>
      <c r="G235" s="191"/>
      <c r="H235" s="74"/>
      <c r="I235" s="74" t="s">
        <v>282</v>
      </c>
      <c r="J235" s="196">
        <v>0</v>
      </c>
      <c r="K235" s="74"/>
      <c r="L235" s="74"/>
      <c r="M235" s="74"/>
      <c r="N235" s="74"/>
      <c r="O235" s="74"/>
      <c r="P235" s="74"/>
      <c r="Q235" s="74"/>
      <c r="R235" s="74"/>
      <c r="S235" s="161"/>
    </row>
    <row r="236" spans="2:19" ht="12.75">
      <c r="B236"/>
      <c r="C236" s="195"/>
      <c r="G236" s="191"/>
      <c r="H236" s="74"/>
      <c r="I236" s="74" t="s">
        <v>283</v>
      </c>
      <c r="J236" s="196">
        <v>0</v>
      </c>
      <c r="K236" s="74"/>
      <c r="L236" s="74"/>
      <c r="M236" s="74"/>
      <c r="N236" s="74"/>
      <c r="O236" s="74"/>
      <c r="P236" s="74"/>
      <c r="Q236" s="74"/>
      <c r="R236" s="74"/>
      <c r="S236" s="161"/>
    </row>
    <row r="237" spans="2:19" ht="12.75">
      <c r="B237"/>
      <c r="C237" s="195"/>
      <c r="G237" s="191"/>
      <c r="H237" s="74"/>
      <c r="I237" s="74" t="s">
        <v>284</v>
      </c>
      <c r="J237" s="196">
        <v>0</v>
      </c>
      <c r="K237" s="74"/>
      <c r="L237" s="74"/>
      <c r="M237" s="74"/>
      <c r="N237" s="74"/>
      <c r="O237" s="74"/>
      <c r="P237" s="74"/>
      <c r="Q237" s="74"/>
      <c r="R237" s="74"/>
      <c r="S237" s="161"/>
    </row>
    <row r="238" spans="2:19" ht="12.75">
      <c r="B238"/>
      <c r="C238" s="195"/>
      <c r="G238" s="191"/>
      <c r="H238" s="74"/>
      <c r="I238" s="74" t="s">
        <v>285</v>
      </c>
      <c r="J238" s="196">
        <v>0</v>
      </c>
      <c r="K238" s="74"/>
      <c r="L238" s="74"/>
      <c r="M238" s="74"/>
      <c r="N238" s="74"/>
      <c r="O238" s="74"/>
      <c r="P238" s="74"/>
      <c r="Q238" s="74"/>
      <c r="R238" s="74"/>
      <c r="S238" s="161"/>
    </row>
    <row r="239" spans="2:19" ht="12.75">
      <c r="B239" s="45"/>
      <c r="C239" s="198"/>
      <c r="G239" s="191"/>
      <c r="H239" s="74"/>
      <c r="I239" s="74" t="s">
        <v>286</v>
      </c>
      <c r="J239" s="196">
        <v>0</v>
      </c>
      <c r="K239" s="74"/>
      <c r="L239" s="74"/>
      <c r="M239" s="74"/>
      <c r="N239" s="74"/>
      <c r="O239" s="74"/>
      <c r="P239" s="74"/>
      <c r="Q239" s="74"/>
      <c r="R239" s="74"/>
      <c r="S239" s="161"/>
    </row>
    <row r="240" spans="2:19" ht="12.75">
      <c r="B240"/>
      <c r="C240" s="195"/>
      <c r="G240" s="191"/>
      <c r="H240" s="74"/>
      <c r="I240" s="74" t="s">
        <v>287</v>
      </c>
      <c r="J240" s="197">
        <v>0</v>
      </c>
      <c r="K240" s="74"/>
      <c r="L240" s="74"/>
      <c r="M240" s="74"/>
      <c r="N240" s="74"/>
      <c r="O240" s="74"/>
      <c r="P240" s="74"/>
      <c r="Q240" s="74"/>
      <c r="R240" s="74"/>
      <c r="S240" s="161"/>
    </row>
    <row r="241" spans="2:19" ht="12.75">
      <c r="B241"/>
      <c r="C241" s="195"/>
      <c r="G241" s="191"/>
      <c r="H241" s="74"/>
      <c r="I241" s="74"/>
      <c r="J241" s="196">
        <f>SUM(J234:J240)</f>
        <v>0</v>
      </c>
      <c r="K241" s="74"/>
      <c r="L241" s="74"/>
      <c r="M241" s="74"/>
      <c r="N241" s="74"/>
      <c r="O241" s="74"/>
      <c r="P241" s="74"/>
      <c r="Q241" s="74"/>
      <c r="R241" s="74"/>
      <c r="S241" s="161"/>
    </row>
    <row r="242" spans="2:19" ht="12.75">
      <c r="B242"/>
      <c r="C242" s="195"/>
      <c r="G242" s="191"/>
      <c r="H242" s="74" t="s">
        <v>298</v>
      </c>
      <c r="I242" s="74"/>
      <c r="J242" s="196"/>
      <c r="K242" s="74"/>
      <c r="L242" s="74"/>
      <c r="M242" s="74"/>
      <c r="N242" s="74"/>
      <c r="O242" s="74"/>
      <c r="P242" s="74"/>
      <c r="Q242" s="74"/>
      <c r="R242" s="74"/>
      <c r="S242" s="161"/>
    </row>
    <row r="243" spans="2:19" ht="12.75">
      <c r="B243"/>
      <c r="C243" s="195"/>
      <c r="G243" s="191"/>
      <c r="H243" s="74"/>
      <c r="I243" s="74" t="s">
        <v>289</v>
      </c>
      <c r="J243" s="196">
        <v>0</v>
      </c>
      <c r="K243" s="74"/>
      <c r="L243" s="74"/>
      <c r="M243" s="74"/>
      <c r="N243" s="74"/>
      <c r="O243" s="74"/>
      <c r="P243" s="74"/>
      <c r="Q243" s="74" t="s">
        <v>299</v>
      </c>
      <c r="R243" s="74"/>
      <c r="S243" s="161"/>
    </row>
    <row r="244" spans="2:19" ht="12.75">
      <c r="B244"/>
      <c r="C244" s="195"/>
      <c r="G244" s="191"/>
      <c r="H244" s="74"/>
      <c r="I244" s="74" t="s">
        <v>290</v>
      </c>
      <c r="J244" s="196">
        <v>0</v>
      </c>
      <c r="K244" s="74"/>
      <c r="L244" s="74"/>
      <c r="M244" s="74"/>
      <c r="N244" s="74"/>
      <c r="O244" s="74"/>
      <c r="P244" s="196">
        <v>-31732</v>
      </c>
      <c r="Q244" s="74"/>
      <c r="R244" s="74"/>
      <c r="S244" s="161"/>
    </row>
    <row r="245" spans="2:19" ht="12.75">
      <c r="B245"/>
      <c r="C245" s="195"/>
      <c r="G245" s="191"/>
      <c r="H245" s="74"/>
      <c r="I245" s="74" t="s">
        <v>291</v>
      </c>
      <c r="J245" s="196">
        <v>0</v>
      </c>
      <c r="K245" s="74"/>
      <c r="L245" s="74"/>
      <c r="M245" s="74"/>
      <c r="N245" s="74"/>
      <c r="O245" s="74"/>
      <c r="P245" s="196"/>
      <c r="Q245" s="74"/>
      <c r="R245" s="74"/>
      <c r="S245" s="161"/>
    </row>
    <row r="246" spans="2:19" ht="12.75">
      <c r="B246"/>
      <c r="C246" s="195"/>
      <c r="G246" s="191"/>
      <c r="H246" s="74"/>
      <c r="I246" s="74" t="s">
        <v>292</v>
      </c>
      <c r="J246" s="196">
        <v>0</v>
      </c>
      <c r="K246" s="74"/>
      <c r="L246" s="74"/>
      <c r="M246" s="74"/>
      <c r="N246" s="74"/>
      <c r="O246" s="74"/>
      <c r="P246" s="196"/>
      <c r="Q246" s="74" t="s">
        <v>38</v>
      </c>
      <c r="R246" s="74"/>
      <c r="S246" s="161"/>
    </row>
    <row r="247" spans="2:19" ht="12.75">
      <c r="B247"/>
      <c r="C247" s="195"/>
      <c r="G247" s="191"/>
      <c r="H247" s="74"/>
      <c r="I247" s="74" t="s">
        <v>293</v>
      </c>
      <c r="J247" s="196">
        <v>0</v>
      </c>
      <c r="K247" s="74"/>
      <c r="L247" s="74"/>
      <c r="M247" s="74"/>
      <c r="N247" s="74" t="s">
        <v>302</v>
      </c>
      <c r="O247" s="74"/>
      <c r="P247" s="196">
        <f>K264</f>
        <v>-4368</v>
      </c>
      <c r="Q247" s="74" t="s">
        <v>304</v>
      </c>
      <c r="R247" s="74"/>
      <c r="S247" s="161"/>
    </row>
    <row r="248" spans="2:19" ht="12.75">
      <c r="B248"/>
      <c r="C248" s="195"/>
      <c r="G248" s="191"/>
      <c r="H248" s="74"/>
      <c r="I248" s="74" t="s">
        <v>294</v>
      </c>
      <c r="J248" s="196">
        <v>0</v>
      </c>
      <c r="K248" s="74"/>
      <c r="L248" s="74"/>
      <c r="M248" s="74"/>
      <c r="N248" s="74"/>
      <c r="O248" s="74"/>
      <c r="P248" s="197">
        <v>-2500</v>
      </c>
      <c r="Q248" s="74"/>
      <c r="R248" s="74"/>
      <c r="S248" s="161"/>
    </row>
    <row r="249" spans="2:19" ht="12.75">
      <c r="B249"/>
      <c r="C249" s="195"/>
      <c r="G249" s="191"/>
      <c r="H249" s="74"/>
      <c r="I249" s="74" t="s">
        <v>295</v>
      </c>
      <c r="J249" s="196">
        <v>0</v>
      </c>
      <c r="K249" s="74"/>
      <c r="L249" s="74"/>
      <c r="M249" s="196">
        <v>525707</v>
      </c>
      <c r="N249" s="74" t="s">
        <v>306</v>
      </c>
      <c r="O249" s="74"/>
      <c r="P249" s="74"/>
      <c r="Q249" s="74" t="s">
        <v>308</v>
      </c>
      <c r="R249" s="74"/>
      <c r="S249" s="161"/>
    </row>
    <row r="250" spans="2:19" ht="12.75">
      <c r="B250"/>
      <c r="C250"/>
      <c r="G250" s="191"/>
      <c r="H250" s="74"/>
      <c r="I250" s="74" t="s">
        <v>296</v>
      </c>
      <c r="J250" s="196">
        <v>0</v>
      </c>
      <c r="K250" s="74"/>
      <c r="L250" s="74"/>
      <c r="M250" s="196"/>
      <c r="N250" s="74"/>
      <c r="O250" s="196"/>
      <c r="P250" s="196">
        <f>SUM(P244:P248)</f>
        <v>-38600</v>
      </c>
      <c r="Q250" s="74"/>
      <c r="R250" s="74"/>
      <c r="S250" s="161"/>
    </row>
    <row r="251" spans="2:19" ht="12.75">
      <c r="B251"/>
      <c r="C251"/>
      <c r="G251" s="191"/>
      <c r="H251" s="74"/>
      <c r="I251" s="74" t="s">
        <v>297</v>
      </c>
      <c r="J251" s="197">
        <v>0</v>
      </c>
      <c r="K251" s="74"/>
      <c r="L251" s="74"/>
      <c r="M251" s="196"/>
      <c r="N251" s="74"/>
      <c r="O251" s="74"/>
      <c r="P251" s="74"/>
      <c r="Q251" s="74"/>
      <c r="R251" s="74"/>
      <c r="S251" s="204">
        <f>22000+P252</f>
        <v>15133</v>
      </c>
    </row>
    <row r="252" spans="2:19" ht="12.75">
      <c r="B252"/>
      <c r="C252"/>
      <c r="G252" s="191"/>
      <c r="H252" s="74"/>
      <c r="I252" s="74"/>
      <c r="J252" s="196">
        <f>SUM(J241:J251)</f>
        <v>0</v>
      </c>
      <c r="K252" s="74"/>
      <c r="L252" s="74"/>
      <c r="M252" s="196">
        <v>493974</v>
      </c>
      <c r="N252" s="74"/>
      <c r="O252" s="74"/>
      <c r="P252" s="203">
        <f>P250+M254</f>
        <v>-6867</v>
      </c>
      <c r="Q252" s="74"/>
      <c r="R252" s="74"/>
      <c r="S252" s="161"/>
    </row>
    <row r="253" spans="2:19" ht="12.75">
      <c r="B253"/>
      <c r="C253"/>
      <c r="G253" s="191"/>
      <c r="H253" s="74"/>
      <c r="I253" s="74"/>
      <c r="J253" s="196"/>
      <c r="K253" s="74"/>
      <c r="L253" s="74"/>
      <c r="M253" s="196"/>
      <c r="N253" s="74"/>
      <c r="O253" s="74"/>
      <c r="P253" s="74"/>
      <c r="Q253" s="74"/>
      <c r="R253" s="74"/>
      <c r="S253" s="161"/>
    </row>
    <row r="254" spans="2:19" ht="12.75">
      <c r="B254"/>
      <c r="C254"/>
      <c r="G254" s="191"/>
      <c r="H254" s="74"/>
      <c r="I254" s="74"/>
      <c r="J254" s="196"/>
      <c r="K254" s="74"/>
      <c r="L254" s="74"/>
      <c r="M254" s="196">
        <f>M249-M252</f>
        <v>31733</v>
      </c>
      <c r="N254" s="74"/>
      <c r="O254" s="74"/>
      <c r="P254" s="74"/>
      <c r="Q254" s="74"/>
      <c r="R254" s="74"/>
      <c r="S254" s="161"/>
    </row>
    <row r="255" spans="2:19" ht="12.75">
      <c r="B255" s="45"/>
      <c r="C255" s="45"/>
      <c r="G255" s="191"/>
      <c r="H255" s="74" t="s">
        <v>313</v>
      </c>
      <c r="I255" s="74" t="s">
        <v>300</v>
      </c>
      <c r="J255" s="199">
        <v>-862</v>
      </c>
      <c r="K255" s="74"/>
      <c r="L255" s="74"/>
      <c r="M255" s="74"/>
      <c r="N255" s="74"/>
      <c r="O255" s="74"/>
      <c r="P255" s="74"/>
      <c r="Q255" s="74"/>
      <c r="R255" s="74"/>
      <c r="S255" s="161"/>
    </row>
    <row r="256" spans="2:19" ht="12.75">
      <c r="B256"/>
      <c r="C256"/>
      <c r="G256" s="191"/>
      <c r="H256" s="74"/>
      <c r="I256" s="200" t="s">
        <v>300</v>
      </c>
      <c r="J256" s="201">
        <v>-1</v>
      </c>
      <c r="K256" s="74"/>
      <c r="L256" s="74"/>
      <c r="M256" s="74"/>
      <c r="N256" s="74"/>
      <c r="O256" s="74"/>
      <c r="P256" s="74"/>
      <c r="Q256" s="74"/>
      <c r="R256" s="74"/>
      <c r="S256" s="161"/>
    </row>
    <row r="257" spans="2:19" ht="12.75">
      <c r="B257"/>
      <c r="C257"/>
      <c r="G257" s="191"/>
      <c r="H257" s="74"/>
      <c r="I257" s="200" t="s">
        <v>301</v>
      </c>
      <c r="J257" s="201">
        <v>-1</v>
      </c>
      <c r="K257" s="74"/>
      <c r="L257" s="74"/>
      <c r="M257" s="203">
        <f>M254+K264</f>
        <v>27365</v>
      </c>
      <c r="N257" s="74"/>
      <c r="O257" s="74"/>
      <c r="P257" s="74"/>
      <c r="Q257" s="74"/>
      <c r="R257" s="74"/>
      <c r="S257" s="161"/>
    </row>
    <row r="258" spans="2:19" ht="12.75">
      <c r="B258"/>
      <c r="C258"/>
      <c r="G258" s="191"/>
      <c r="H258" s="205" t="s">
        <v>315</v>
      </c>
      <c r="I258" s="137" t="s">
        <v>303</v>
      </c>
      <c r="J258" s="202">
        <v>-1500</v>
      </c>
      <c r="K258" s="74"/>
      <c r="L258" s="74"/>
      <c r="M258" s="203"/>
      <c r="N258" s="74"/>
      <c r="O258" s="74"/>
      <c r="P258" s="74"/>
      <c r="Q258" s="74"/>
      <c r="R258" s="74"/>
      <c r="S258" s="161"/>
    </row>
    <row r="259" spans="2:19" ht="12.75">
      <c r="B259"/>
      <c r="C259"/>
      <c r="G259" s="206"/>
      <c r="H259" s="207"/>
      <c r="I259" s="200" t="s">
        <v>305</v>
      </c>
      <c r="J259" s="201">
        <v>-1</v>
      </c>
      <c r="K259" s="74"/>
      <c r="L259" s="74"/>
      <c r="M259" s="203"/>
      <c r="N259" s="74"/>
      <c r="O259" s="74"/>
      <c r="P259" s="74"/>
      <c r="Q259" s="207"/>
      <c r="R259" s="207"/>
      <c r="S259" s="153"/>
    </row>
    <row r="260" spans="2:19" ht="12.75">
      <c r="B260"/>
      <c r="C260"/>
      <c r="I260" s="200" t="s">
        <v>307</v>
      </c>
      <c r="J260" s="201">
        <v>-1</v>
      </c>
      <c r="K260" s="74"/>
      <c r="L260" s="74"/>
      <c r="M260" s="74"/>
      <c r="N260" s="207"/>
      <c r="O260" s="207"/>
      <c r="P260" s="207"/>
    </row>
    <row r="261" spans="2:19" ht="12.75">
      <c r="B261" s="45"/>
      <c r="C261" s="45"/>
      <c r="I261" s="137" t="s">
        <v>309</v>
      </c>
      <c r="J261" s="202">
        <v>-1000</v>
      </c>
      <c r="K261" s="74"/>
      <c r="L261" s="74"/>
      <c r="M261" s="74"/>
    </row>
    <row r="262" spans="2:19" ht="12.75">
      <c r="B262"/>
      <c r="C262"/>
      <c r="I262" s="200" t="s">
        <v>310</v>
      </c>
      <c r="J262" s="201">
        <v>-1</v>
      </c>
      <c r="K262" s="74"/>
      <c r="L262" s="74"/>
      <c r="M262" s="74"/>
    </row>
    <row r="263" spans="2:19" ht="12.75">
      <c r="B263" s="66"/>
      <c r="C263" s="66"/>
      <c r="I263" s="137" t="s">
        <v>311</v>
      </c>
      <c r="J263" s="202">
        <v>-1000</v>
      </c>
      <c r="K263" s="74"/>
      <c r="L263" s="74"/>
      <c r="M263" s="74"/>
    </row>
    <row r="264" spans="2:19" ht="12.75">
      <c r="B264"/>
      <c r="C264"/>
      <c r="I264" s="200" t="s">
        <v>102</v>
      </c>
      <c r="J264" s="201">
        <v>-1</v>
      </c>
      <c r="K264" s="203">
        <f>SUM(J255:J264)</f>
        <v>-4368</v>
      </c>
      <c r="L264" s="74"/>
      <c r="M264" s="74"/>
    </row>
    <row r="265" spans="2:19" ht="12.75">
      <c r="B265"/>
      <c r="C265"/>
      <c r="I265" s="74" t="s">
        <v>312</v>
      </c>
      <c r="J265" s="197">
        <f>-M254-K264</f>
        <v>-27365</v>
      </c>
      <c r="K265" s="203"/>
      <c r="L265" s="74"/>
      <c r="M265" s="207"/>
    </row>
    <row r="266" spans="2:19" ht="12.75">
      <c r="B266"/>
      <c r="C266"/>
      <c r="I266" s="74"/>
      <c r="J266" s="196">
        <f>SUM(J252:J265)</f>
        <v>-31733</v>
      </c>
      <c r="K266" s="74"/>
      <c r="L266" s="74"/>
    </row>
    <row r="267" spans="2:19" ht="12.75">
      <c r="B267"/>
      <c r="C267"/>
      <c r="I267" s="74"/>
      <c r="J267" s="196"/>
      <c r="K267" s="74"/>
      <c r="L267" s="74"/>
    </row>
    <row r="268" spans="2:19" ht="12.75">
      <c r="B268"/>
      <c r="C268"/>
      <c r="I268" s="74" t="s">
        <v>314</v>
      </c>
      <c r="J268" s="196">
        <v>3915</v>
      </c>
      <c r="K268" s="74"/>
      <c r="L268" s="207"/>
    </row>
    <row r="269" spans="2:19" ht="12.75">
      <c r="B269"/>
      <c r="C269"/>
      <c r="I269" s="74"/>
      <c r="J269" s="196"/>
      <c r="K269" s="74"/>
    </row>
    <row r="270" spans="2:19" ht="13.5" thickBot="1">
      <c r="B270"/>
      <c r="C270"/>
      <c r="I270" s="74"/>
      <c r="J270" s="208">
        <f>SUM(J266:J269)</f>
        <v>-27818</v>
      </c>
      <c r="K270" s="74"/>
    </row>
    <row r="271" spans="2:19" ht="13.5" thickTop="1">
      <c r="B271"/>
      <c r="C271"/>
      <c r="I271" s="207"/>
      <c r="J271" s="197"/>
      <c r="K271" s="207"/>
    </row>
    <row r="272" spans="2:19" ht="12.75">
      <c r="B272"/>
      <c r="C272"/>
      <c r="J272" s="209"/>
    </row>
    <row r="273" spans="2:10" ht="12.75">
      <c r="B273"/>
      <c r="C273"/>
      <c r="J273" s="209"/>
    </row>
    <row r="274" spans="2:10" ht="12.75">
      <c r="B274"/>
      <c r="C274"/>
      <c r="J274" s="209">
        <f>551878-11621</f>
        <v>540257</v>
      </c>
    </row>
    <row r="275" spans="2:10" ht="12.75">
      <c r="B275"/>
      <c r="C275"/>
      <c r="J275" s="209"/>
    </row>
    <row r="276" spans="2:10" ht="12.75">
      <c r="B276"/>
      <c r="C276"/>
      <c r="J276" s="209"/>
    </row>
    <row r="277" spans="2:10" ht="12.75">
      <c r="B277"/>
      <c r="C277"/>
      <c r="J277" s="209"/>
    </row>
    <row r="278" spans="2:10" ht="12.75">
      <c r="B278"/>
      <c r="C278"/>
      <c r="J278" s="209"/>
    </row>
    <row r="279" spans="2:10" ht="12.75">
      <c r="B279"/>
      <c r="C279"/>
      <c r="J279" s="209"/>
    </row>
    <row r="280" spans="2:10" ht="12.75">
      <c r="B280"/>
      <c r="C280"/>
      <c r="J280" s="209"/>
    </row>
    <row r="281" spans="2:10" ht="12.75">
      <c r="B281" s="210"/>
      <c r="C281" s="210"/>
      <c r="J281" s="209"/>
    </row>
    <row r="282" spans="2:10" ht="12.75">
      <c r="B282" s="210"/>
      <c r="C282" s="210"/>
      <c r="J282" s="209"/>
    </row>
    <row r="283" spans="2:10" ht="12.75">
      <c r="B283"/>
      <c r="C283"/>
      <c r="J283" s="209"/>
    </row>
    <row r="284" spans="2:10" ht="12.75">
      <c r="B284"/>
      <c r="C284"/>
      <c r="J284" s="209"/>
    </row>
    <row r="285" spans="2:10">
      <c r="J285" s="209"/>
    </row>
    <row r="286" spans="2:10">
      <c r="J286" s="209"/>
    </row>
    <row r="287" spans="2:10">
      <c r="J287" s="209"/>
    </row>
    <row r="288" spans="2:10">
      <c r="J288" s="209"/>
    </row>
    <row r="289" spans="10:10">
      <c r="J289" s="209"/>
    </row>
    <row r="290" spans="10:10">
      <c r="J290" s="209"/>
    </row>
    <row r="291" spans="10:10">
      <c r="J291" s="209"/>
    </row>
    <row r="292" spans="10:10">
      <c r="J292" s="209"/>
    </row>
    <row r="293" spans="10:10">
      <c r="J293" s="209"/>
    </row>
    <row r="294" spans="10:10">
      <c r="J294" s="209"/>
    </row>
    <row r="295" spans="10:10">
      <c r="J295" s="209"/>
    </row>
    <row r="296" spans="10:10">
      <c r="J296" s="209"/>
    </row>
    <row r="297" spans="10:10">
      <c r="J297" s="209"/>
    </row>
    <row r="298" spans="10:10">
      <c r="J298" s="209"/>
    </row>
    <row r="299" spans="10:10">
      <c r="J299" s="209"/>
    </row>
    <row r="300" spans="10:10">
      <c r="J300" s="209"/>
    </row>
    <row r="301" spans="10:10">
      <c r="J301" s="209"/>
    </row>
    <row r="302" spans="10:10">
      <c r="J302" s="209"/>
    </row>
    <row r="303" spans="10:10">
      <c r="J303" s="209"/>
    </row>
    <row r="304" spans="10:10">
      <c r="J304" s="209"/>
    </row>
    <row r="305" spans="10:10">
      <c r="J305" s="209"/>
    </row>
    <row r="306" spans="10:10">
      <c r="J306" s="209"/>
    </row>
    <row r="307" spans="10:10">
      <c r="J307" s="209"/>
    </row>
    <row r="308" spans="10:10">
      <c r="J308" s="209"/>
    </row>
    <row r="309" spans="10:10">
      <c r="J309" s="209"/>
    </row>
    <row r="310" spans="10:10">
      <c r="J310" s="209"/>
    </row>
    <row r="311" spans="10:10">
      <c r="J311" s="209"/>
    </row>
    <row r="312" spans="10:10">
      <c r="J312" s="209"/>
    </row>
    <row r="313" spans="10:10">
      <c r="J313" s="209"/>
    </row>
    <row r="314" spans="10:10">
      <c r="J314" s="209"/>
    </row>
    <row r="315" spans="10:10">
      <c r="J315" s="209"/>
    </row>
    <row r="316" spans="10:10">
      <c r="J316" s="209"/>
    </row>
    <row r="317" spans="10:10">
      <c r="J317" s="209"/>
    </row>
    <row r="318" spans="10:10">
      <c r="J318" s="209"/>
    </row>
    <row r="319" spans="10:10">
      <c r="J319" s="209"/>
    </row>
    <row r="320" spans="10:10">
      <c r="J320" s="209"/>
    </row>
    <row r="321" spans="10:10">
      <c r="J321" s="209"/>
    </row>
    <row r="322" spans="10:10">
      <c r="J322" s="209"/>
    </row>
    <row r="323" spans="10:10">
      <c r="J323" s="209"/>
    </row>
    <row r="324" spans="10:10">
      <c r="J324" s="209"/>
    </row>
    <row r="325" spans="10:10">
      <c r="J325" s="209"/>
    </row>
    <row r="326" spans="10:10">
      <c r="J326" s="209"/>
    </row>
    <row r="327" spans="10:10">
      <c r="J327" s="209"/>
    </row>
    <row r="328" spans="10:10">
      <c r="J328" s="209"/>
    </row>
    <row r="329" spans="10:10">
      <c r="J329" s="209"/>
    </row>
    <row r="330" spans="10:10">
      <c r="J330" s="209"/>
    </row>
    <row r="331" spans="10:10">
      <c r="J331" s="209"/>
    </row>
    <row r="332" spans="10:10">
      <c r="J332" s="209"/>
    </row>
    <row r="333" spans="10:10">
      <c r="J333" s="209"/>
    </row>
    <row r="334" spans="10:10">
      <c r="J334" s="209"/>
    </row>
    <row r="335" spans="10:10">
      <c r="J335" s="209"/>
    </row>
    <row r="336" spans="10:10">
      <c r="J336" s="209"/>
    </row>
    <row r="337" spans="10:10">
      <c r="J337" s="209"/>
    </row>
    <row r="338" spans="10:10">
      <c r="J338" s="209"/>
    </row>
    <row r="339" spans="10:10">
      <c r="J339" s="209"/>
    </row>
    <row r="340" spans="10:10">
      <c r="J340" s="209"/>
    </row>
    <row r="341" spans="10:10">
      <c r="J341" s="209"/>
    </row>
    <row r="342" spans="10:10">
      <c r="J342" s="209"/>
    </row>
    <row r="343" spans="10:10">
      <c r="J343" s="209"/>
    </row>
    <row r="344" spans="10:10">
      <c r="J344" s="209"/>
    </row>
    <row r="345" spans="10:10">
      <c r="J345" s="209"/>
    </row>
    <row r="346" spans="10:10">
      <c r="J346" s="209"/>
    </row>
    <row r="347" spans="10:10">
      <c r="J347" s="209"/>
    </row>
    <row r="348" spans="10:10">
      <c r="J348" s="209"/>
    </row>
    <row r="349" spans="10:10">
      <c r="J349" s="209"/>
    </row>
    <row r="350" spans="10:10">
      <c r="J350" s="209"/>
    </row>
    <row r="351" spans="10:10">
      <c r="J351" s="209"/>
    </row>
    <row r="352" spans="10:10">
      <c r="J352" s="209"/>
    </row>
    <row r="353" spans="10:10">
      <c r="J353" s="209"/>
    </row>
    <row r="354" spans="10:10">
      <c r="J354" s="209"/>
    </row>
    <row r="355" spans="10:10">
      <c r="J355" s="209"/>
    </row>
    <row r="356" spans="10:10">
      <c r="J356" s="209"/>
    </row>
    <row r="357" spans="10:10">
      <c r="J357" s="209"/>
    </row>
    <row r="358" spans="10:10">
      <c r="J358" s="209"/>
    </row>
    <row r="359" spans="10:10">
      <c r="J359" s="209"/>
    </row>
    <row r="360" spans="10:10">
      <c r="J360" s="209"/>
    </row>
    <row r="361" spans="10:10">
      <c r="J361" s="209"/>
    </row>
    <row r="362" spans="10:10">
      <c r="J362" s="209"/>
    </row>
    <row r="363" spans="10:10">
      <c r="J363" s="209"/>
    </row>
    <row r="364" spans="10:10">
      <c r="J364" s="209"/>
    </row>
    <row r="365" spans="10:10">
      <c r="J365" s="209"/>
    </row>
    <row r="366" spans="10:10">
      <c r="J366" s="209"/>
    </row>
    <row r="367" spans="10:10">
      <c r="J367" s="209"/>
    </row>
    <row r="368" spans="10:10">
      <c r="J368" s="209"/>
    </row>
    <row r="369" spans="10:10">
      <c r="J369" s="209"/>
    </row>
    <row r="370" spans="10:10">
      <c r="J370" s="209"/>
    </row>
    <row r="371" spans="10:10">
      <c r="J371" s="209"/>
    </row>
    <row r="372" spans="10:10">
      <c r="J372" s="209"/>
    </row>
    <row r="373" spans="10:10">
      <c r="J373" s="209"/>
    </row>
    <row r="374" spans="10:10">
      <c r="J374" s="209"/>
    </row>
  </sheetData>
  <mergeCells count="7">
    <mergeCell ref="A113:C113"/>
    <mergeCell ref="K6:L6"/>
    <mergeCell ref="I28:J28"/>
    <mergeCell ref="I33:J33"/>
    <mergeCell ref="I40:J40"/>
    <mergeCell ref="I113:K113"/>
    <mergeCell ref="A28:D28"/>
  </mergeCells>
  <printOptions horizontalCentered="1" verticalCentered="1"/>
  <pageMargins left="0.25" right="0.25" top="0.25" bottom="0.25" header="0" footer="0.25"/>
  <pageSetup scale="72" orientation="portrait" horizontalDpi="4294967292" r:id="rId1"/>
  <headerFooter alignWithMargins="0">
    <oddFooter>&amp;L&amp;8Tx Desk Logistics - Daren Farmer&amp;R&amp;8&amp;D
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J377"/>
  <sheetViews>
    <sheetView showGridLines="0" topLeftCell="A161" zoomScale="80" workbookViewId="0">
      <selection activeCell="F28" sqref="F28"/>
    </sheetView>
  </sheetViews>
  <sheetFormatPr defaultRowHeight="12"/>
  <cols>
    <col min="1" max="2" width="12.140625" style="12" customWidth="1"/>
    <col min="3" max="3" width="11.28515625" style="12" customWidth="1"/>
    <col min="4" max="4" width="11.85546875" style="12" customWidth="1"/>
    <col min="5" max="5" width="11.5703125" style="12" customWidth="1"/>
    <col min="6" max="6" width="11.7109375" style="12" customWidth="1"/>
    <col min="7" max="7" width="11.85546875" style="12" customWidth="1"/>
    <col min="8" max="8" width="11.7109375" style="12" customWidth="1"/>
    <col min="9" max="9" width="11.85546875" style="12" customWidth="1"/>
    <col min="10" max="10" width="8.7109375" style="12" customWidth="1"/>
    <col min="11" max="11" width="11.85546875" style="12" customWidth="1"/>
    <col min="12" max="12" width="9.140625" style="12"/>
    <col min="13" max="13" width="8.5703125" style="12" bestFit="1" customWidth="1"/>
    <col min="14" max="14" width="9.140625" style="12"/>
    <col min="15" max="15" width="5.5703125" style="12" customWidth="1"/>
    <col min="16" max="16384" width="9.140625" style="12"/>
  </cols>
  <sheetData>
    <row r="1" spans="1:16" s="7" customFormat="1" ht="16.5" thickBot="1">
      <c r="A1" s="1" t="s">
        <v>374</v>
      </c>
      <c r="B1" s="2"/>
      <c r="C1" s="3"/>
      <c r="D1" s="4"/>
      <c r="E1" s="2"/>
      <c r="F1" s="2"/>
      <c r="G1" s="2"/>
      <c r="H1" s="5"/>
      <c r="I1" s="6"/>
    </row>
    <row r="2" spans="1:16" ht="12.75">
      <c r="A2" s="8"/>
      <c r="B2" s="9"/>
      <c r="C2" s="9"/>
      <c r="D2" s="10"/>
      <c r="E2" s="10"/>
      <c r="F2" s="10"/>
      <c r="G2" s="9"/>
      <c r="H2" s="11"/>
    </row>
    <row r="3" spans="1:16" ht="13.5" thickBot="1">
      <c r="A3" s="13"/>
      <c r="B3" s="14"/>
      <c r="C3" s="15"/>
      <c r="D3" s="10"/>
      <c r="E3" s="15"/>
      <c r="F3" s="15"/>
      <c r="G3" s="15"/>
      <c r="H3" s="11"/>
    </row>
    <row r="4" spans="1:16" ht="12.75">
      <c r="A4" s="16"/>
      <c r="B4" s="9"/>
      <c r="C4" s="9"/>
      <c r="D4" s="17" t="s">
        <v>367</v>
      </c>
      <c r="E4" s="18"/>
      <c r="F4" s="285"/>
      <c r="G4" s="286"/>
      <c r="H4" s="287"/>
      <c r="L4"/>
    </row>
    <row r="5" spans="1:16" ht="13.5" thickBot="1">
      <c r="A5" s="21"/>
      <c r="B5" s="22"/>
      <c r="C5" s="22"/>
      <c r="D5" s="233" t="s">
        <v>328</v>
      </c>
      <c r="E5" s="23" t="s">
        <v>371</v>
      </c>
      <c r="F5" s="288" t="str">
        <f>D4</f>
        <v>Feb</v>
      </c>
      <c r="G5" s="289" t="str">
        <f>+F5</f>
        <v>Feb</v>
      </c>
      <c r="H5" s="290" t="str">
        <f>+F5</f>
        <v>Feb</v>
      </c>
      <c r="L5"/>
    </row>
    <row r="6" spans="1:16" ht="13.5" thickBot="1">
      <c r="A6" s="21"/>
      <c r="B6" s="22"/>
      <c r="C6" s="22"/>
      <c r="D6" s="26" t="s">
        <v>1</v>
      </c>
      <c r="E6" s="27">
        <v>99</v>
      </c>
      <c r="F6" s="291">
        <v>99</v>
      </c>
      <c r="G6" s="292" t="s">
        <v>2</v>
      </c>
      <c r="H6" s="293" t="s">
        <v>3</v>
      </c>
      <c r="I6" s="30"/>
      <c r="K6" s="424" t="s">
        <v>4</v>
      </c>
      <c r="L6" s="425"/>
    </row>
    <row r="7" spans="1:16" ht="12.75">
      <c r="A7" s="31" t="s">
        <v>5</v>
      </c>
      <c r="B7" s="22"/>
      <c r="D7" s="32">
        <f>C199+C219</f>
        <v>416.47399999999999</v>
      </c>
      <c r="E7" s="219">
        <v>408.27738709677419</v>
      </c>
      <c r="F7" s="264">
        <v>541.20000000000005</v>
      </c>
      <c r="G7" s="265">
        <f>D7*1.1</f>
        <v>458.12140000000005</v>
      </c>
      <c r="H7" s="266">
        <f>D7*0.9</f>
        <v>374.82659999999998</v>
      </c>
      <c r="I7" s="33"/>
      <c r="K7" s="34" t="s">
        <v>6</v>
      </c>
      <c r="L7" s="35">
        <f>C126</f>
        <v>16.5</v>
      </c>
      <c r="N7"/>
      <c r="O7"/>
    </row>
    <row r="8" spans="1:16" ht="12.75">
      <c r="A8" s="31" t="s">
        <v>319</v>
      </c>
      <c r="B8" s="22"/>
      <c r="C8" s="36"/>
      <c r="D8" s="37">
        <f>73+96</f>
        <v>169</v>
      </c>
      <c r="E8" s="219">
        <v>161.69999999999999</v>
      </c>
      <c r="F8" s="267">
        <f>74.712+42.511</f>
        <v>117.22300000000001</v>
      </c>
      <c r="G8" s="268">
        <f>73+105</f>
        <v>178</v>
      </c>
      <c r="H8" s="266">
        <f>65.7+60</f>
        <v>125.7</v>
      </c>
      <c r="I8" s="30"/>
      <c r="K8" s="38" t="s">
        <v>7</v>
      </c>
      <c r="L8" s="39">
        <f>C127+C203</f>
        <v>0</v>
      </c>
      <c r="N8"/>
      <c r="O8"/>
    </row>
    <row r="9" spans="1:16" ht="12.75">
      <c r="A9" s="31" t="s">
        <v>8</v>
      </c>
      <c r="B9" s="22"/>
      <c r="C9" s="10"/>
      <c r="D9" s="37">
        <v>20</v>
      </c>
      <c r="E9" s="219">
        <v>20</v>
      </c>
      <c r="F9" s="267">
        <v>26.905999999999999</v>
      </c>
      <c r="G9" s="268">
        <v>60</v>
      </c>
      <c r="H9" s="266">
        <v>20</v>
      </c>
      <c r="I9" s="30"/>
      <c r="K9" s="38" t="s">
        <v>9</v>
      </c>
      <c r="L9" s="263">
        <f>C133+C205</f>
        <v>20</v>
      </c>
      <c r="N9"/>
      <c r="O9"/>
    </row>
    <row r="10" spans="1:16" ht="12.75">
      <c r="A10" s="31" t="s">
        <v>10</v>
      </c>
      <c r="B10" s="22"/>
      <c r="C10" s="22"/>
      <c r="D10" s="37">
        <v>30</v>
      </c>
      <c r="E10" s="219">
        <v>27.541999999999998</v>
      </c>
      <c r="F10" s="267">
        <v>86.2</v>
      </c>
      <c r="G10" s="268">
        <v>0</v>
      </c>
      <c r="H10" s="266">
        <v>0</v>
      </c>
      <c r="I10" s="40"/>
      <c r="K10" s="38" t="s">
        <v>11</v>
      </c>
      <c r="L10" s="39">
        <f>C135+C206</f>
        <v>0</v>
      </c>
      <c r="N10"/>
      <c r="O10"/>
    </row>
    <row r="11" spans="1:16" ht="12.75">
      <c r="A11" s="31" t="s">
        <v>330</v>
      </c>
      <c r="B11" s="22"/>
      <c r="C11" s="22"/>
      <c r="D11" s="37">
        <v>110</v>
      </c>
      <c r="E11" s="219">
        <v>120.4</v>
      </c>
      <c r="F11" s="267">
        <v>75.492999999999995</v>
      </c>
      <c r="G11" s="268">
        <v>145</v>
      </c>
      <c r="H11" s="266">
        <v>90</v>
      </c>
      <c r="I11" s="30"/>
      <c r="K11" s="38" t="s">
        <v>12</v>
      </c>
      <c r="L11" s="39">
        <f>C142+C207</f>
        <v>0</v>
      </c>
      <c r="N11"/>
      <c r="O11"/>
    </row>
    <row r="12" spans="1:16" ht="12.75">
      <c r="A12" s="31" t="s">
        <v>13</v>
      </c>
      <c r="B12" s="22"/>
      <c r="C12" s="22"/>
      <c r="D12" s="37">
        <v>95</v>
      </c>
      <c r="E12" s="219">
        <v>95</v>
      </c>
      <c r="F12" s="267">
        <v>99.506</v>
      </c>
      <c r="G12" s="268">
        <f>90*1.05</f>
        <v>94.5</v>
      </c>
      <c r="H12" s="266">
        <f>90*0.95</f>
        <v>85.5</v>
      </c>
      <c r="I12" s="30"/>
      <c r="K12" s="38" t="s">
        <v>14</v>
      </c>
      <c r="L12" s="39">
        <f>C152+C210</f>
        <v>80</v>
      </c>
      <c r="N12"/>
      <c r="O12"/>
    </row>
    <row r="13" spans="1:16" ht="12.75">
      <c r="A13" s="31" t="s">
        <v>15</v>
      </c>
      <c r="B13" s="22"/>
      <c r="C13" s="22"/>
      <c r="D13" s="37">
        <v>50</v>
      </c>
      <c r="E13" s="219">
        <v>55</v>
      </c>
      <c r="F13" s="267">
        <f>1839.749/31</f>
        <v>59.34674193548387</v>
      </c>
      <c r="G13" s="268">
        <v>180</v>
      </c>
      <c r="H13" s="266">
        <v>0</v>
      </c>
      <c r="I13" s="30"/>
      <c r="J13"/>
      <c r="K13" s="38" t="s">
        <v>16</v>
      </c>
      <c r="L13" s="39">
        <f>C151+C209</f>
        <v>0</v>
      </c>
      <c r="N13"/>
      <c r="O13"/>
    </row>
    <row r="14" spans="1:16" ht="12.75">
      <c r="A14" s="31" t="s">
        <v>17</v>
      </c>
      <c r="B14" s="22"/>
      <c r="C14" s="22"/>
      <c r="D14" s="37">
        <f>B80</f>
        <v>11.458</v>
      </c>
      <c r="E14" s="219">
        <v>10.558</v>
      </c>
      <c r="F14" s="267">
        <v>14.9</v>
      </c>
      <c r="G14" s="268">
        <f>D14*1.05</f>
        <v>12.030900000000001</v>
      </c>
      <c r="H14" s="266">
        <f>D14*0.95</f>
        <v>10.8851</v>
      </c>
      <c r="I14" s="30"/>
      <c r="K14" s="38" t="s">
        <v>18</v>
      </c>
      <c r="L14" s="39">
        <f>C155+C211</f>
        <v>35</v>
      </c>
      <c r="N14"/>
      <c r="O14"/>
    </row>
    <row r="15" spans="1:16" ht="12.75">
      <c r="A15" s="31" t="s">
        <v>373</v>
      </c>
      <c r="B15" s="22"/>
      <c r="C15" s="22"/>
      <c r="D15" s="37">
        <f>SUM(D16:D18)</f>
        <v>266.43299999999999</v>
      </c>
      <c r="E15" s="219">
        <f>SUM(E16:E18)</f>
        <v>315</v>
      </c>
      <c r="F15" s="267">
        <v>224</v>
      </c>
      <c r="G15" s="268">
        <v>1174</v>
      </c>
      <c r="H15" s="266">
        <v>0</v>
      </c>
      <c r="I15" s="30"/>
      <c r="K15" s="38"/>
      <c r="L15" s="39"/>
      <c r="N15"/>
      <c r="O15"/>
    </row>
    <row r="16" spans="1:16" ht="12.75">
      <c r="A16" s="31" t="s">
        <v>368</v>
      </c>
      <c r="B16" s="41"/>
      <c r="C16" s="22"/>
      <c r="D16" s="213">
        <v>211.78</v>
      </c>
      <c r="E16" s="219">
        <f>240+3</f>
        <v>243</v>
      </c>
      <c r="F16" s="267"/>
      <c r="G16" s="268"/>
      <c r="H16" s="266"/>
      <c r="I16" s="30"/>
      <c r="K16" s="38" t="s">
        <v>20</v>
      </c>
      <c r="L16" s="39">
        <f>C167+C213</f>
        <v>0</v>
      </c>
      <c r="N16"/>
      <c r="O16"/>
      <c r="P16"/>
    </row>
    <row r="17" spans="1:36" ht="12.75">
      <c r="A17" s="31" t="s">
        <v>369</v>
      </c>
      <c r="B17" s="41"/>
      <c r="C17" s="22"/>
      <c r="D17" s="213">
        <v>9.3529999999999998</v>
      </c>
      <c r="E17" s="219">
        <v>13</v>
      </c>
      <c r="F17" s="267"/>
      <c r="G17" s="268"/>
      <c r="H17" s="266"/>
      <c r="I17" s="30"/>
      <c r="K17" s="38"/>
      <c r="L17" s="39"/>
      <c r="N17"/>
      <c r="O17"/>
      <c r="P17"/>
    </row>
    <row r="18" spans="1:36" ht="12.75">
      <c r="A18" s="31" t="s">
        <v>370</v>
      </c>
      <c r="B18" s="41"/>
      <c r="C18" s="22"/>
      <c r="D18" s="213">
        <v>45.3</v>
      </c>
      <c r="E18" s="219">
        <v>59</v>
      </c>
      <c r="F18" s="267"/>
      <c r="G18" s="268"/>
      <c r="H18" s="266"/>
      <c r="I18" s="30"/>
      <c r="K18" s="38"/>
      <c r="L18" s="39"/>
      <c r="N18"/>
      <c r="O18"/>
      <c r="P18"/>
    </row>
    <row r="19" spans="1:36" ht="12.75">
      <c r="A19" s="31" t="s">
        <v>21</v>
      </c>
      <c r="B19" s="36"/>
      <c r="C19" s="36"/>
      <c r="D19" s="37">
        <f>F81-B80</f>
        <v>180</v>
      </c>
      <c r="E19" s="219">
        <v>257.20999999999998</v>
      </c>
      <c r="F19" s="267">
        <v>10</v>
      </c>
      <c r="G19" s="268">
        <v>0</v>
      </c>
      <c r="H19" s="266">
        <v>0</v>
      </c>
      <c r="I19" s="42"/>
      <c r="K19" s="38" t="s">
        <v>22</v>
      </c>
      <c r="L19" s="39">
        <f>C123</f>
        <v>0</v>
      </c>
      <c r="N19"/>
      <c r="O19"/>
    </row>
    <row r="20" spans="1:36" ht="12.75">
      <c r="A20" s="31" t="s">
        <v>23</v>
      </c>
      <c r="B20" s="22"/>
      <c r="C20" s="22"/>
      <c r="D20" s="43">
        <f>SUM(D7:D19)-D15</f>
        <v>1348.3649999999998</v>
      </c>
      <c r="E20" s="279">
        <v>1447.3253870967742</v>
      </c>
      <c r="F20" s="269">
        <f>SUM(F7:F19)</f>
        <v>1254.7747419354837</v>
      </c>
      <c r="G20" s="269">
        <f>SUM(G7:G19)</f>
        <v>2301.6522999999997</v>
      </c>
      <c r="H20" s="270">
        <f>SUM(H7:H19)</f>
        <v>706.91169999999988</v>
      </c>
      <c r="I20" s="33"/>
      <c r="K20" s="38" t="s">
        <v>24</v>
      </c>
      <c r="L20" s="39">
        <f>C185+C215</f>
        <v>40</v>
      </c>
      <c r="N20"/>
      <c r="O20" s="45"/>
    </row>
    <row r="21" spans="1:36" ht="12.75">
      <c r="A21" s="31" t="s">
        <v>25</v>
      </c>
      <c r="B21" s="22"/>
      <c r="C21" s="22"/>
      <c r="D21" s="46">
        <f>D32</f>
        <v>0</v>
      </c>
      <c r="E21" s="224">
        <v>-64.516129032258064</v>
      </c>
      <c r="F21" s="271">
        <v>0</v>
      </c>
      <c r="G21" s="272">
        <v>0</v>
      </c>
      <c r="H21" s="273">
        <v>0</v>
      </c>
      <c r="I21" s="30"/>
      <c r="K21" s="38" t="s">
        <v>26</v>
      </c>
      <c r="L21" s="39">
        <f>C186</f>
        <v>19</v>
      </c>
      <c r="N21" s="45"/>
      <c r="O21"/>
    </row>
    <row r="22" spans="1:36" ht="13.5" thickBot="1">
      <c r="A22" s="31" t="s">
        <v>27</v>
      </c>
      <c r="B22" s="22"/>
      <c r="C22" s="22"/>
      <c r="D22" s="37">
        <v>2.5</v>
      </c>
      <c r="E22" s="37">
        <v>2.5</v>
      </c>
      <c r="F22" s="267">
        <v>2.5</v>
      </c>
      <c r="G22" s="274">
        <v>0</v>
      </c>
      <c r="H22" s="273">
        <v>0</v>
      </c>
      <c r="I22" s="30"/>
      <c r="K22" s="47" t="s">
        <v>28</v>
      </c>
      <c r="L22" s="48">
        <f>C190+C218</f>
        <v>65</v>
      </c>
      <c r="N22"/>
    </row>
    <row r="23" spans="1:36" ht="12.75">
      <c r="A23" s="49"/>
      <c r="B23" s="22"/>
      <c r="C23" s="50" t="s">
        <v>29</v>
      </c>
      <c r="D23" s="44">
        <f>D22+D21+D20</f>
        <v>1350.8649999999998</v>
      </c>
      <c r="E23" s="279">
        <v>1385.3092580645161</v>
      </c>
      <c r="F23" s="269">
        <f>F22+F21+F20</f>
        <v>1257.2747419354837</v>
      </c>
      <c r="G23" s="269">
        <f>G22+G21+G20</f>
        <v>2301.6522999999997</v>
      </c>
      <c r="H23" s="275">
        <f>H22+H21+H20</f>
        <v>706.91169999999988</v>
      </c>
      <c r="I23" s="30"/>
      <c r="L23"/>
    </row>
    <row r="24" spans="1:36" ht="12.75">
      <c r="A24" s="31" t="s">
        <v>30</v>
      </c>
      <c r="B24" s="22"/>
      <c r="C24" s="22"/>
      <c r="D24" s="46">
        <f>D44</f>
        <v>972.76899999999978</v>
      </c>
      <c r="E24" s="229">
        <v>1168.8259999999998</v>
      </c>
      <c r="F24" s="276">
        <v>782.9</v>
      </c>
      <c r="G24" s="277">
        <f>D24</f>
        <v>972.76899999999978</v>
      </c>
      <c r="H24" s="270">
        <f>D24</f>
        <v>972.76899999999978</v>
      </c>
      <c r="I24" s="30"/>
      <c r="L24"/>
    </row>
    <row r="25" spans="1:36" ht="13.5" thickBot="1">
      <c r="A25" s="51"/>
      <c r="B25" s="52"/>
      <c r="C25" s="53" t="s">
        <v>31</v>
      </c>
      <c r="D25" s="54">
        <f>D24-D23</f>
        <v>-378.096</v>
      </c>
      <c r="E25" s="280">
        <f>E23-E24</f>
        <v>216.48325806451635</v>
      </c>
      <c r="F25" s="278"/>
      <c r="G25" s="278">
        <f>+G23-G24</f>
        <v>1328.8833</v>
      </c>
      <c r="H25" s="278">
        <f>+(H23-H24)</f>
        <v>-265.8572999999999</v>
      </c>
      <c r="I25" s="33"/>
      <c r="L25"/>
    </row>
    <row r="26" spans="1:36" ht="4.5" customHeight="1">
      <c r="A26" s="55"/>
      <c r="B26" s="22"/>
      <c r="C26" s="56"/>
      <c r="D26" s="57"/>
      <c r="E26" s="58"/>
      <c r="F26" s="58"/>
      <c r="G26" s="59"/>
      <c r="H26" s="59"/>
      <c r="I26" s="33"/>
      <c r="L26"/>
    </row>
    <row r="27" spans="1:36" ht="12.75">
      <c r="A27" s="49"/>
      <c r="C27" s="237" t="s">
        <v>334</v>
      </c>
      <c r="D27" s="238">
        <v>54.5</v>
      </c>
      <c r="E27" s="58"/>
      <c r="F27" s="58"/>
      <c r="G27" s="58"/>
      <c r="H27" s="58"/>
      <c r="I27" s="33"/>
      <c r="L27"/>
    </row>
    <row r="28" spans="1:36" ht="12.75">
      <c r="A28" s="49"/>
      <c r="C28" s="60" t="s">
        <v>32</v>
      </c>
      <c r="D28" s="238">
        <v>0</v>
      </c>
      <c r="E28" s="58"/>
      <c r="F28" s="58"/>
      <c r="G28" s="58"/>
      <c r="H28" s="58"/>
      <c r="I28" s="33"/>
      <c r="L28"/>
    </row>
    <row r="29" spans="1:36" s="67" customFormat="1" ht="13.5" customHeight="1" thickBot="1">
      <c r="A29" s="61"/>
      <c r="B29" s="62"/>
      <c r="C29" s="63" t="s">
        <v>33</v>
      </c>
      <c r="D29" s="64">
        <f>D25+D28+D27</f>
        <v>-323.596</v>
      </c>
      <c r="E29" s="58"/>
      <c r="F29" s="58"/>
      <c r="G29" s="58"/>
      <c r="H29" s="58"/>
      <c r="I29" s="33"/>
      <c r="J29" s="65"/>
      <c r="K29" s="65"/>
      <c r="L29" s="66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</row>
    <row r="30" spans="1:36" ht="8.25" customHeight="1" thickBot="1">
      <c r="A30" s="68"/>
      <c r="B30" s="69"/>
      <c r="C30" s="70"/>
      <c r="D30" s="71"/>
      <c r="E30" s="10"/>
      <c r="F30" s="10"/>
      <c r="G30" s="72"/>
      <c r="H30" s="73"/>
      <c r="I30" s="74"/>
      <c r="L30"/>
    </row>
    <row r="31" spans="1:36" ht="13.5" thickBot="1">
      <c r="A31" s="429" t="s">
        <v>34</v>
      </c>
      <c r="B31" s="430"/>
      <c r="C31" s="430"/>
      <c r="D31" s="431"/>
      <c r="E31" s="75" t="s">
        <v>35</v>
      </c>
      <c r="F31" s="76"/>
      <c r="G31" s="77"/>
      <c r="H31" s="78"/>
      <c r="I31" s="426" t="s">
        <v>36</v>
      </c>
      <c r="J31" s="427"/>
      <c r="L31"/>
    </row>
    <row r="32" spans="1:36" ht="13.5" thickBot="1">
      <c r="A32" s="31" t="s">
        <v>37</v>
      </c>
      <c r="B32" s="72"/>
      <c r="C32" s="72"/>
      <c r="D32" s="282">
        <f>(B33+B34)/31</f>
        <v>0</v>
      </c>
      <c r="E32" s="79" t="s">
        <v>38</v>
      </c>
      <c r="F32" s="80"/>
      <c r="G32" s="81" t="s">
        <v>39</v>
      </c>
      <c r="H32" s="82"/>
      <c r="I32" s="83" t="s">
        <v>40</v>
      </c>
      <c r="J32" s="84" t="s">
        <v>41</v>
      </c>
      <c r="L32"/>
    </row>
    <row r="33" spans="1:18" ht="13.5" thickBot="1">
      <c r="A33" s="85" t="s">
        <v>42</v>
      </c>
      <c r="B33" s="86">
        <v>0</v>
      </c>
      <c r="C33" s="87" t="s">
        <v>43</v>
      </c>
      <c r="D33" s="88"/>
      <c r="E33" s="283" t="s">
        <v>70</v>
      </c>
      <c r="F33" s="284">
        <v>4</v>
      </c>
      <c r="G33" s="90"/>
      <c r="H33" s="91"/>
      <c r="I33" s="294">
        <f>37.5+5+25</f>
        <v>67.5</v>
      </c>
      <c r="J33" s="295">
        <f>45+10</f>
        <v>55</v>
      </c>
      <c r="K33"/>
    </row>
    <row r="34" spans="1:18" ht="13.5" thickBot="1">
      <c r="A34" s="85" t="s">
        <v>44</v>
      </c>
      <c r="B34" s="92">
        <v>0</v>
      </c>
      <c r="C34" s="22"/>
      <c r="D34" s="93"/>
      <c r="E34" s="90"/>
      <c r="F34" s="91"/>
      <c r="G34" s="90"/>
      <c r="H34" s="91"/>
      <c r="I34" s="94" t="s">
        <v>45</v>
      </c>
      <c r="J34" s="95">
        <f>+I33-J33</f>
        <v>12.5</v>
      </c>
      <c r="K34" s="96"/>
      <c r="L34" s="96"/>
    </row>
    <row r="35" spans="1:18" ht="13.5" thickBot="1">
      <c r="A35" s="97"/>
      <c r="B35" s="52"/>
      <c r="C35" s="52"/>
      <c r="D35" s="98"/>
      <c r="E35" s="283"/>
      <c r="F35" s="284"/>
      <c r="G35" s="90"/>
      <c r="H35" s="91"/>
      <c r="I35"/>
      <c r="J35"/>
      <c r="K35" s="99"/>
      <c r="L35" s="99"/>
    </row>
    <row r="36" spans="1:18" ht="13.5" thickBot="1">
      <c r="A36" s="100"/>
      <c r="B36" s="101"/>
      <c r="C36" s="101"/>
      <c r="D36" s="102"/>
      <c r="E36" s="283"/>
      <c r="F36" s="284"/>
      <c r="G36" s="90"/>
      <c r="H36" s="91"/>
      <c r="I36" s="426" t="s">
        <v>46</v>
      </c>
      <c r="J36" s="428"/>
      <c r="K36" s="74"/>
      <c r="L36" s="74"/>
    </row>
    <row r="37" spans="1:18" ht="13.5" thickBot="1">
      <c r="A37" s="103" t="s">
        <v>47</v>
      </c>
      <c r="B37" s="104"/>
      <c r="C37" s="104"/>
      <c r="D37" s="105"/>
      <c r="E37" s="89"/>
      <c r="F37" s="218"/>
      <c r="G37" s="106"/>
      <c r="H37" s="107"/>
      <c r="I37" s="83" t="s">
        <v>48</v>
      </c>
      <c r="J37" s="84" t="s">
        <v>49</v>
      </c>
      <c r="K37"/>
      <c r="L37"/>
    </row>
    <row r="38" spans="1:18" ht="13.5" thickBot="1">
      <c r="A38" s="31"/>
      <c r="B38" s="22"/>
      <c r="C38" s="22"/>
      <c r="D38" s="108"/>
      <c r="E38" s="89"/>
      <c r="F38" s="218"/>
      <c r="G38" s="106"/>
      <c r="H38" s="107"/>
      <c r="I38" s="296">
        <v>0</v>
      </c>
      <c r="J38" s="297">
        <f>-30+20</f>
        <v>-10</v>
      </c>
      <c r="K38"/>
      <c r="L38"/>
    </row>
    <row r="39" spans="1:18" ht="13.5" thickBot="1">
      <c r="A39" s="31" t="s">
        <v>50</v>
      </c>
      <c r="B39" s="22"/>
      <c r="C39" s="22"/>
      <c r="D39" s="110">
        <f>K199/1000</f>
        <v>93.742000000000004</v>
      </c>
      <c r="E39" s="89"/>
      <c r="F39" s="218"/>
      <c r="G39" s="106"/>
      <c r="H39" s="107"/>
      <c r="I39" s="111" t="s">
        <v>51</v>
      </c>
      <c r="J39" s="84" t="s">
        <v>52</v>
      </c>
      <c r="K39" s="112"/>
      <c r="L39"/>
    </row>
    <row r="40" spans="1:18" ht="13.5" thickBot="1">
      <c r="A40" s="31" t="s">
        <v>53</v>
      </c>
      <c r="B40" s="22"/>
      <c r="C40" s="22"/>
      <c r="D40" s="108">
        <f>L81</f>
        <v>217.7</v>
      </c>
      <c r="E40" s="89"/>
      <c r="F40" s="218"/>
      <c r="G40" s="113"/>
      <c r="H40" s="114"/>
      <c r="I40" s="298">
        <v>30</v>
      </c>
      <c r="J40" s="299">
        <v>0</v>
      </c>
      <c r="K40" s="112"/>
      <c r="L40"/>
    </row>
    <row r="41" spans="1:18" ht="13.5" thickBot="1">
      <c r="A41" s="31" t="s">
        <v>54</v>
      </c>
      <c r="B41" s="22"/>
      <c r="C41" s="22"/>
      <c r="D41" s="281">
        <v>40</v>
      </c>
      <c r="E41" s="89"/>
      <c r="F41" s="218"/>
      <c r="G41" s="113"/>
      <c r="H41" s="114"/>
      <c r="I41" s="116" t="s">
        <v>55</v>
      </c>
      <c r="J41" s="95">
        <f>J34+I38+J38+I40+J40</f>
        <v>32.5</v>
      </c>
      <c r="K41" s="112"/>
      <c r="L41"/>
    </row>
    <row r="42" spans="1:18" ht="13.5" thickBot="1">
      <c r="A42" s="31" t="s">
        <v>56</v>
      </c>
      <c r="B42" s="22"/>
      <c r="C42" s="22"/>
      <c r="D42" s="117">
        <f>637.762+14-19.33-2.759-7.672-0.148-0.7+0.16-0.2+0.214</f>
        <v>621.32699999999977</v>
      </c>
      <c r="E42" s="89"/>
      <c r="F42" s="218"/>
      <c r="G42" s="10"/>
      <c r="H42" s="11"/>
      <c r="K42"/>
      <c r="L42"/>
    </row>
    <row r="43" spans="1:18" ht="13.5" thickBot="1">
      <c r="A43" s="31"/>
      <c r="B43" s="22"/>
      <c r="C43" s="22"/>
      <c r="D43" s="108"/>
      <c r="E43" s="89"/>
      <c r="F43" s="218"/>
      <c r="G43" s="10"/>
      <c r="H43" s="11"/>
      <c r="I43" s="426" t="s">
        <v>57</v>
      </c>
      <c r="J43" s="427"/>
      <c r="K43"/>
      <c r="L43"/>
    </row>
    <row r="44" spans="1:18" ht="13.5" thickBot="1">
      <c r="A44" s="51"/>
      <c r="B44" s="118" t="s">
        <v>58</v>
      </c>
      <c r="C44" s="119" t="str">
        <f>+F5</f>
        <v>Feb</v>
      </c>
      <c r="D44" s="120">
        <f>SUM(D39:D42)</f>
        <v>972.76899999999978</v>
      </c>
      <c r="E44" s="121" t="s">
        <v>59</v>
      </c>
      <c r="F44" s="122">
        <f>SUM(F33:F42)</f>
        <v>4</v>
      </c>
      <c r="G44" s="121" t="s">
        <v>59</v>
      </c>
      <c r="H44" s="123">
        <f>SUM(H33:H43)</f>
        <v>0</v>
      </c>
      <c r="I44"/>
      <c r="J44" s="95">
        <v>15</v>
      </c>
      <c r="K44"/>
      <c r="L44"/>
    </row>
    <row r="45" spans="1:18" ht="12.75" thickBot="1"/>
    <row r="46" spans="1:18" ht="12.75" thickBot="1">
      <c r="A46" s="124" t="s">
        <v>60</v>
      </c>
      <c r="B46" s="125"/>
      <c r="C46" s="125"/>
      <c r="D46" s="125"/>
      <c r="E46" s="126"/>
      <c r="F46" s="127"/>
      <c r="G46" s="124" t="s">
        <v>61</v>
      </c>
      <c r="H46" s="125"/>
      <c r="I46" s="125"/>
      <c r="J46" s="125"/>
      <c r="K46" s="125"/>
      <c r="L46" s="128"/>
      <c r="P46" s="12" t="s">
        <v>62</v>
      </c>
    </row>
    <row r="47" spans="1:18">
      <c r="A47" s="129" t="s">
        <v>63</v>
      </c>
      <c r="B47" s="130"/>
      <c r="C47" s="131" t="s">
        <v>64</v>
      </c>
      <c r="D47" s="130"/>
      <c r="E47" s="131" t="s">
        <v>65</v>
      </c>
      <c r="F47" s="132"/>
      <c r="G47" s="133"/>
      <c r="H47" s="130"/>
      <c r="I47" s="131" t="s">
        <v>64</v>
      </c>
      <c r="J47" s="130"/>
      <c r="K47" s="131" t="s">
        <v>65</v>
      </c>
      <c r="L47" s="132"/>
      <c r="P47" s="12" t="s">
        <v>66</v>
      </c>
      <c r="Q47" s="12">
        <v>6789</v>
      </c>
      <c r="R47" s="12">
        <v>8000</v>
      </c>
    </row>
    <row r="48" spans="1:18">
      <c r="A48" s="134" t="s">
        <v>67</v>
      </c>
      <c r="B48" s="135">
        <v>0.2</v>
      </c>
      <c r="C48" s="136" t="s">
        <v>317</v>
      </c>
      <c r="D48" s="135">
        <v>10</v>
      </c>
      <c r="E48" s="215"/>
      <c r="F48" s="135"/>
      <c r="G48" s="138"/>
      <c r="H48" s="139"/>
      <c r="I48" s="136" t="s">
        <v>68</v>
      </c>
      <c r="J48" s="243">
        <v>40</v>
      </c>
      <c r="K48" s="136"/>
      <c r="L48" s="140"/>
    </row>
    <row r="49" spans="1:12">
      <c r="A49" s="134" t="s">
        <v>69</v>
      </c>
      <c r="B49" s="135">
        <v>0.21199999999999999</v>
      </c>
      <c r="C49" s="136" t="s">
        <v>67</v>
      </c>
      <c r="D49" s="135">
        <v>5</v>
      </c>
      <c r="E49" s="136"/>
      <c r="F49" s="140"/>
      <c r="G49" s="138"/>
      <c r="H49" s="139"/>
      <c r="I49" s="141" t="s">
        <v>71</v>
      </c>
      <c r="J49" s="257">
        <v>0</v>
      </c>
      <c r="K49" s="136"/>
      <c r="L49" s="140"/>
    </row>
    <row r="50" spans="1:12">
      <c r="A50" s="134" t="s">
        <v>72</v>
      </c>
      <c r="B50" s="135">
        <v>4.8000000000000001E-2</v>
      </c>
      <c r="C50" s="136" t="s">
        <v>11</v>
      </c>
      <c r="D50" s="135">
        <v>5</v>
      </c>
      <c r="E50" s="214"/>
      <c r="F50" s="140"/>
      <c r="G50" s="138"/>
      <c r="H50" s="139"/>
      <c r="I50" s="141" t="s">
        <v>75</v>
      </c>
      <c r="J50" s="135">
        <v>20</v>
      </c>
      <c r="K50" s="136"/>
      <c r="L50" s="140"/>
    </row>
    <row r="51" spans="1:12">
      <c r="A51" s="134" t="s">
        <v>76</v>
      </c>
      <c r="B51" s="135">
        <v>0.45</v>
      </c>
      <c r="C51" s="136"/>
      <c r="D51" s="135"/>
      <c r="E51" s="136"/>
      <c r="F51" s="140"/>
      <c r="G51" s="138"/>
      <c r="H51" s="139"/>
      <c r="I51" s="141" t="s">
        <v>78</v>
      </c>
      <c r="J51" s="135">
        <v>20</v>
      </c>
      <c r="K51" s="136"/>
      <c r="L51" s="140"/>
    </row>
    <row r="52" spans="1:12">
      <c r="A52" s="134" t="s">
        <v>79</v>
      </c>
      <c r="B52" s="135">
        <v>4.8000000000000001E-2</v>
      </c>
      <c r="C52" s="136" t="s">
        <v>327</v>
      </c>
      <c r="D52" s="135">
        <v>2</v>
      </c>
      <c r="E52" s="136"/>
      <c r="F52" s="140"/>
      <c r="G52" s="138"/>
      <c r="H52" s="139"/>
      <c r="I52" s="141" t="s">
        <v>82</v>
      </c>
      <c r="J52" s="135">
        <v>4</v>
      </c>
      <c r="K52" s="136"/>
      <c r="L52" s="140"/>
    </row>
    <row r="53" spans="1:12">
      <c r="A53" s="134"/>
      <c r="B53" s="135"/>
      <c r="C53" s="136" t="s">
        <v>372</v>
      </c>
      <c r="D53" s="135">
        <v>8</v>
      </c>
      <c r="E53" s="136"/>
      <c r="F53" s="140"/>
      <c r="G53" s="138"/>
      <c r="H53" s="139"/>
      <c r="I53" s="141" t="s">
        <v>87</v>
      </c>
      <c r="J53" s="135">
        <v>33.700000000000003</v>
      </c>
      <c r="K53" s="136"/>
      <c r="L53" s="140"/>
    </row>
    <row r="54" spans="1:12">
      <c r="A54" s="134" t="s">
        <v>83</v>
      </c>
      <c r="B54" s="135">
        <v>0.5</v>
      </c>
      <c r="C54" s="136" t="s">
        <v>16</v>
      </c>
      <c r="D54" s="135">
        <v>35</v>
      </c>
      <c r="E54" s="136"/>
      <c r="F54" s="140"/>
      <c r="G54" s="138"/>
      <c r="H54" s="139"/>
      <c r="I54" s="141" t="s">
        <v>90</v>
      </c>
      <c r="J54" s="135">
        <v>15</v>
      </c>
      <c r="K54" s="136"/>
      <c r="L54" s="140"/>
    </row>
    <row r="55" spans="1:12">
      <c r="A55" s="134" t="s">
        <v>85</v>
      </c>
      <c r="B55" s="135">
        <v>10</v>
      </c>
      <c r="C55" s="136" t="s">
        <v>73</v>
      </c>
      <c r="D55" s="135">
        <v>30</v>
      </c>
      <c r="E55" s="136"/>
      <c r="F55" s="140"/>
      <c r="G55" s="138"/>
      <c r="H55" s="139"/>
      <c r="I55" s="141" t="s">
        <v>91</v>
      </c>
      <c r="J55" s="135">
        <v>2</v>
      </c>
      <c r="K55" s="136"/>
      <c r="L55" s="140"/>
    </row>
    <row r="56" spans="1:12">
      <c r="A56" s="134"/>
      <c r="B56" s="135"/>
      <c r="C56" s="136" t="s">
        <v>77</v>
      </c>
      <c r="D56" s="135">
        <v>2.5</v>
      </c>
      <c r="E56" s="136"/>
      <c r="F56" s="140"/>
      <c r="G56" s="138"/>
      <c r="H56" s="139"/>
      <c r="I56" s="141" t="s">
        <v>93</v>
      </c>
      <c r="J56" s="135">
        <v>30</v>
      </c>
      <c r="K56" s="136"/>
      <c r="L56" s="140"/>
    </row>
    <row r="57" spans="1:12">
      <c r="A57" s="138"/>
      <c r="B57" s="139"/>
      <c r="C57" s="136" t="s">
        <v>326</v>
      </c>
      <c r="D57" s="135">
        <v>15</v>
      </c>
      <c r="E57" s="136"/>
      <c r="F57" s="140"/>
      <c r="G57" s="138"/>
      <c r="H57" s="139"/>
      <c r="I57" s="141" t="s">
        <v>94</v>
      </c>
      <c r="J57" s="135">
        <v>5</v>
      </c>
      <c r="K57" s="136"/>
      <c r="L57" s="140"/>
    </row>
    <row r="58" spans="1:12">
      <c r="A58" s="138"/>
      <c r="B58" s="139"/>
      <c r="C58" s="136" t="s">
        <v>92</v>
      </c>
      <c r="D58" s="135">
        <v>5</v>
      </c>
      <c r="E58" s="136" t="s">
        <v>318</v>
      </c>
      <c r="F58" s="140"/>
      <c r="G58" s="138"/>
      <c r="H58" s="139"/>
      <c r="I58" s="141" t="s">
        <v>95</v>
      </c>
      <c r="J58" s="135">
        <v>20</v>
      </c>
      <c r="K58" s="136"/>
      <c r="L58" s="140"/>
    </row>
    <row r="59" spans="1:12">
      <c r="A59" s="138"/>
      <c r="B59" s="139"/>
      <c r="C59" s="136" t="s">
        <v>80</v>
      </c>
      <c r="D59" s="135">
        <v>20</v>
      </c>
      <c r="E59" s="136" t="s">
        <v>320</v>
      </c>
      <c r="F59" s="135"/>
      <c r="G59" s="138"/>
      <c r="H59" s="139"/>
      <c r="I59" s="141"/>
      <c r="J59" s="135"/>
      <c r="K59" s="136"/>
      <c r="L59" s="140"/>
    </row>
    <row r="60" spans="1:12">
      <c r="A60" s="138"/>
      <c r="B60" s="139"/>
      <c r="C60" s="136" t="s">
        <v>84</v>
      </c>
      <c r="D60" s="135">
        <v>4.5</v>
      </c>
      <c r="E60" s="136" t="s">
        <v>321</v>
      </c>
      <c r="F60" s="137"/>
      <c r="G60" s="138"/>
      <c r="H60" s="139"/>
      <c r="I60" s="141"/>
      <c r="J60" s="135"/>
      <c r="K60" s="136"/>
      <c r="L60" s="140"/>
    </row>
    <row r="61" spans="1:12">
      <c r="A61" s="138"/>
      <c r="B61" s="139"/>
      <c r="C61" s="136" t="s">
        <v>85</v>
      </c>
      <c r="D61" s="135">
        <v>8</v>
      </c>
      <c r="E61" s="136"/>
      <c r="F61" s="142"/>
      <c r="G61" s="138"/>
      <c r="H61" s="139"/>
      <c r="I61" s="141"/>
      <c r="J61" s="135"/>
      <c r="K61" s="136"/>
      <c r="L61" s="140"/>
    </row>
    <row r="62" spans="1:12">
      <c r="A62" s="138"/>
      <c r="B62" s="139"/>
      <c r="C62" s="136" t="s">
        <v>89</v>
      </c>
      <c r="D62" s="135">
        <v>2</v>
      </c>
      <c r="E62" s="136"/>
      <c r="F62" s="137"/>
      <c r="G62" s="138"/>
      <c r="H62" s="139"/>
      <c r="I62" s="141"/>
      <c r="J62" s="135"/>
      <c r="K62" s="136"/>
      <c r="L62" s="140"/>
    </row>
    <row r="63" spans="1:12">
      <c r="A63" s="138"/>
      <c r="B63" s="139"/>
      <c r="C63" s="136"/>
      <c r="D63" s="135"/>
      <c r="E63" s="136"/>
      <c r="F63" s="142"/>
      <c r="G63" s="138"/>
      <c r="H63" s="139"/>
      <c r="I63" s="141"/>
      <c r="J63" s="135"/>
      <c r="K63" s="136"/>
      <c r="L63" s="140"/>
    </row>
    <row r="64" spans="1:12" hidden="1">
      <c r="A64" s="138"/>
      <c r="B64" s="139"/>
      <c r="C64" s="136"/>
      <c r="D64" s="135"/>
      <c r="E64" s="136"/>
      <c r="F64" s="142"/>
      <c r="G64" s="138"/>
      <c r="H64" s="139"/>
      <c r="I64" s="141"/>
      <c r="J64" s="135"/>
      <c r="K64" s="136"/>
      <c r="L64" s="140"/>
    </row>
    <row r="65" spans="1:12" hidden="1">
      <c r="A65" s="138"/>
      <c r="B65" s="139"/>
      <c r="C65" s="136"/>
      <c r="D65" s="135"/>
      <c r="E65" s="136"/>
      <c r="F65" s="142"/>
      <c r="G65" s="138"/>
      <c r="H65" s="139"/>
      <c r="I65" s="141"/>
      <c r="J65" s="135"/>
      <c r="K65" s="136"/>
      <c r="L65" s="140"/>
    </row>
    <row r="66" spans="1:12">
      <c r="A66" s="143"/>
      <c r="B66" s="144"/>
      <c r="C66" s="136"/>
      <c r="D66" s="135"/>
      <c r="E66" s="136"/>
      <c r="F66" s="137"/>
      <c r="G66" s="138"/>
      <c r="H66" s="139"/>
      <c r="I66" s="141"/>
      <c r="J66" s="135"/>
      <c r="K66" s="136"/>
      <c r="L66" s="140"/>
    </row>
    <row r="67" spans="1:12">
      <c r="A67" s="143"/>
      <c r="B67" s="144"/>
      <c r="C67" s="146" t="s">
        <v>98</v>
      </c>
      <c r="D67" s="147"/>
      <c r="E67" s="148"/>
      <c r="F67" s="149"/>
      <c r="G67" s="138"/>
      <c r="H67" s="139"/>
      <c r="I67" s="146" t="s">
        <v>98</v>
      </c>
      <c r="J67" s="150"/>
      <c r="K67" s="216"/>
      <c r="L67" s="217"/>
    </row>
    <row r="68" spans="1:12">
      <c r="A68" s="143"/>
      <c r="B68" s="144"/>
      <c r="C68" s="136" t="s">
        <v>99</v>
      </c>
      <c r="D68" s="135">
        <v>18</v>
      </c>
      <c r="E68" s="136"/>
      <c r="F68" s="140"/>
      <c r="G68" s="151"/>
      <c r="H68" s="139"/>
      <c r="I68" s="136" t="s">
        <v>324</v>
      </c>
      <c r="J68" s="135">
        <v>5</v>
      </c>
      <c r="K68" s="136"/>
      <c r="L68" s="140"/>
    </row>
    <row r="69" spans="1:12">
      <c r="A69" s="143"/>
      <c r="B69" s="144"/>
      <c r="C69" s="136" t="s">
        <v>101</v>
      </c>
      <c r="D69" s="135">
        <v>10</v>
      </c>
      <c r="E69" s="136"/>
      <c r="F69" s="140"/>
      <c r="G69" s="138"/>
      <c r="H69" s="139"/>
      <c r="I69" s="136" t="s">
        <v>100</v>
      </c>
      <c r="J69" s="135">
        <v>8</v>
      </c>
      <c r="K69" s="136"/>
      <c r="L69" s="140"/>
    </row>
    <row r="70" spans="1:12">
      <c r="A70" s="143"/>
      <c r="B70" s="144"/>
      <c r="C70" s="136"/>
      <c r="D70" s="135"/>
      <c r="E70" s="136"/>
      <c r="F70" s="140"/>
      <c r="G70" s="138"/>
      <c r="H70" s="139"/>
      <c r="I70" s="136" t="s">
        <v>81</v>
      </c>
      <c r="J70" s="135">
        <v>5</v>
      </c>
      <c r="K70" s="136"/>
      <c r="L70" s="140"/>
    </row>
    <row r="71" spans="1:12">
      <c r="A71" s="143"/>
      <c r="B71" s="144"/>
      <c r="C71" s="136"/>
      <c r="D71" s="135"/>
      <c r="E71" s="136"/>
      <c r="F71" s="140"/>
      <c r="G71" s="138"/>
      <c r="H71" s="139"/>
      <c r="I71" s="136" t="s">
        <v>348</v>
      </c>
      <c r="J71" s="135">
        <v>10</v>
      </c>
      <c r="K71" s="136"/>
      <c r="L71" s="140"/>
    </row>
    <row r="72" spans="1:12">
      <c r="A72" s="143"/>
      <c r="B72" s="144"/>
      <c r="C72" s="145"/>
      <c r="D72" s="144"/>
      <c r="E72" s="136"/>
      <c r="F72" s="140"/>
      <c r="G72" s="138"/>
      <c r="H72" s="139"/>
      <c r="I72" s="151"/>
      <c r="J72" s="139"/>
      <c r="K72" s="136"/>
      <c r="L72" s="140"/>
    </row>
    <row r="73" spans="1:12" hidden="1">
      <c r="A73" s="143"/>
      <c r="B73" s="144"/>
      <c r="C73" s="145"/>
      <c r="D73" s="144"/>
      <c r="E73" s="136"/>
      <c r="F73" s="140"/>
      <c r="G73" s="138"/>
      <c r="H73" s="139"/>
      <c r="I73" s="151"/>
      <c r="J73" s="139"/>
      <c r="K73" s="136"/>
      <c r="L73" s="140"/>
    </row>
    <row r="74" spans="1:12" hidden="1">
      <c r="A74" s="143"/>
      <c r="B74" s="144"/>
      <c r="C74" s="145"/>
      <c r="D74" s="144"/>
      <c r="E74" s="136"/>
      <c r="F74" s="140"/>
      <c r="G74" s="138"/>
      <c r="H74" s="139"/>
      <c r="I74" s="151"/>
      <c r="J74" s="139"/>
      <c r="K74" s="136"/>
      <c r="L74" s="140"/>
    </row>
    <row r="75" spans="1:12" hidden="1">
      <c r="A75" s="143"/>
      <c r="B75" s="144"/>
      <c r="C75" s="145"/>
      <c r="D75" s="144"/>
      <c r="E75" s="136"/>
      <c r="F75" s="140"/>
      <c r="G75" s="138"/>
      <c r="H75" s="139"/>
      <c r="I75" s="151"/>
      <c r="J75" s="139"/>
      <c r="K75" s="136"/>
      <c r="L75" s="140"/>
    </row>
    <row r="76" spans="1:12" hidden="1">
      <c r="A76" s="143"/>
      <c r="B76" s="144"/>
      <c r="C76" s="145"/>
      <c r="D76" s="144"/>
      <c r="E76" s="136"/>
      <c r="F76" s="140"/>
      <c r="G76" s="138"/>
      <c r="H76" s="139"/>
      <c r="I76" s="151"/>
      <c r="J76" s="139"/>
      <c r="K76" s="136"/>
      <c r="L76" s="140"/>
    </row>
    <row r="77" spans="1:12" hidden="1">
      <c r="A77" s="143"/>
      <c r="B77" s="144"/>
      <c r="C77" s="145"/>
      <c r="D77" s="144"/>
      <c r="E77" s="136"/>
      <c r="F77" s="140"/>
      <c r="G77" s="138"/>
      <c r="H77" s="139"/>
      <c r="I77" s="151"/>
      <c r="J77" s="139"/>
      <c r="K77" s="136"/>
      <c r="L77" s="140"/>
    </row>
    <row r="78" spans="1:12" hidden="1">
      <c r="A78" s="143"/>
      <c r="B78" s="144"/>
      <c r="C78" s="145"/>
      <c r="D78" s="144"/>
      <c r="E78" s="136"/>
      <c r="F78" s="140"/>
      <c r="G78" s="138"/>
      <c r="H78" s="139"/>
      <c r="I78" s="151"/>
      <c r="J78" s="139"/>
      <c r="K78" s="136"/>
      <c r="L78" s="140"/>
    </row>
    <row r="79" spans="1:12">
      <c r="A79" s="152"/>
      <c r="B79" s="153"/>
      <c r="C79" s="154"/>
      <c r="D79" s="153"/>
      <c r="E79" s="155"/>
      <c r="F79" s="156"/>
      <c r="G79" s="152"/>
      <c r="H79" s="153"/>
      <c r="I79" s="154"/>
      <c r="J79" s="153"/>
      <c r="K79" s="252"/>
      <c r="L79" s="253"/>
    </row>
    <row r="80" spans="1:12">
      <c r="A80" s="157" t="s">
        <v>103</v>
      </c>
      <c r="B80" s="158">
        <f>SUM(B47:B79)</f>
        <v>11.458</v>
      </c>
      <c r="C80" s="159" t="s">
        <v>103</v>
      </c>
      <c r="D80" s="158">
        <f>SUM(D47:D79)</f>
        <v>180</v>
      </c>
      <c r="E80" s="159" t="s">
        <v>103</v>
      </c>
      <c r="F80" s="160">
        <f>SUM(F47:F79)</f>
        <v>0</v>
      </c>
      <c r="G80" s="157"/>
      <c r="H80" s="158"/>
      <c r="I80" s="159" t="s">
        <v>103</v>
      </c>
      <c r="J80" s="161">
        <f>SUM(J47:J79)</f>
        <v>217.7</v>
      </c>
      <c r="K80" s="159" t="s">
        <v>103</v>
      </c>
      <c r="L80" s="162">
        <f>SUM(L47:L79)</f>
        <v>0</v>
      </c>
    </row>
    <row r="81" spans="1:15" ht="12.75" thickBot="1">
      <c r="A81" s="163"/>
      <c r="B81" s="164"/>
      <c r="C81" s="165"/>
      <c r="D81" s="164"/>
      <c r="E81" s="166" t="s">
        <v>104</v>
      </c>
      <c r="F81" s="167">
        <f>+B80+F80+D80</f>
        <v>191.458</v>
      </c>
      <c r="G81" s="163"/>
      <c r="H81" s="164"/>
      <c r="I81" s="165"/>
      <c r="J81" s="164"/>
      <c r="K81" s="166" t="s">
        <v>104</v>
      </c>
      <c r="L81" s="167">
        <f>J80+L80</f>
        <v>217.7</v>
      </c>
    </row>
    <row r="82" spans="1:15" ht="12.75">
      <c r="G82" s="168"/>
      <c r="H82"/>
    </row>
    <row r="83" spans="1:15" ht="12.75">
      <c r="G83" s="168"/>
      <c r="H83"/>
    </row>
    <row r="84" spans="1:15" ht="12.75">
      <c r="H84"/>
    </row>
    <row r="85" spans="1:15" ht="12.75" hidden="1">
      <c r="E85"/>
      <c r="G85" s="12" t="s">
        <v>105</v>
      </c>
      <c r="H85"/>
    </row>
    <row r="86" spans="1:15" ht="24" hidden="1">
      <c r="A86" s="169" t="s">
        <v>106</v>
      </c>
      <c r="B86" s="169" t="s">
        <v>107</v>
      </c>
      <c r="C86" s="169" t="s">
        <v>108</v>
      </c>
      <c r="D86" s="169" t="s">
        <v>109</v>
      </c>
      <c r="E86" s="169" t="s">
        <v>110</v>
      </c>
      <c r="F86" s="169" t="s">
        <v>111</v>
      </c>
      <c r="G86" s="12">
        <v>1.65</v>
      </c>
      <c r="H86"/>
    </row>
    <row r="87" spans="1:15" ht="12.75" hidden="1">
      <c r="A87" t="s">
        <v>112</v>
      </c>
      <c r="B87" t="s">
        <v>113</v>
      </c>
      <c r="C87">
        <v>10</v>
      </c>
      <c r="D87">
        <v>95</v>
      </c>
      <c r="E87">
        <v>0.09</v>
      </c>
      <c r="F87">
        <f>+$G$86*(E87/100)</f>
        <v>1.4849999999999998E-3</v>
      </c>
      <c r="G87"/>
      <c r="H87"/>
      <c r="I87"/>
      <c r="J87"/>
      <c r="K87"/>
      <c r="L87"/>
      <c r="M87"/>
      <c r="N87"/>
      <c r="O87"/>
    </row>
    <row r="88" spans="1:15" ht="12.75" hidden="1">
      <c r="A88"/>
      <c r="B88" t="s">
        <v>114</v>
      </c>
      <c r="C88">
        <v>42</v>
      </c>
      <c r="D88">
        <v>65</v>
      </c>
      <c r="E88">
        <v>0.27</v>
      </c>
      <c r="F88">
        <f>+$G$86*(E88/100)</f>
        <v>4.4549999999999998E-3</v>
      </c>
      <c r="G88"/>
      <c r="H88"/>
      <c r="I88"/>
      <c r="J88"/>
      <c r="K88"/>
      <c r="L88"/>
      <c r="M88"/>
      <c r="N88"/>
      <c r="O88"/>
    </row>
    <row r="89" spans="1:15" ht="12.75" hidden="1">
      <c r="A89"/>
      <c r="B89" t="s">
        <v>115</v>
      </c>
      <c r="C89">
        <v>89</v>
      </c>
      <c r="D89">
        <v>43.87</v>
      </c>
      <c r="E89">
        <v>0.39</v>
      </c>
      <c r="F89">
        <f>+$G$86*(E89/100)</f>
        <v>6.4349999999999997E-3</v>
      </c>
      <c r="G89"/>
      <c r="H89"/>
      <c r="I89"/>
      <c r="J89"/>
      <c r="K89"/>
      <c r="L89"/>
      <c r="M89"/>
      <c r="N89"/>
      <c r="O89"/>
    </row>
    <row r="90" spans="1:15" ht="12.75" hidden="1">
      <c r="A90"/>
      <c r="B90" t="s">
        <v>116</v>
      </c>
      <c r="C90">
        <v>2.44</v>
      </c>
      <c r="D90">
        <v>1.05</v>
      </c>
      <c r="E90">
        <v>0.03</v>
      </c>
      <c r="F90">
        <f>+$G$86*(E90/100)</f>
        <v>4.9499999999999989E-4</v>
      </c>
      <c r="G90"/>
      <c r="H90"/>
      <c r="I90"/>
      <c r="J90"/>
      <c r="K90"/>
      <c r="L90"/>
      <c r="M90"/>
      <c r="N90"/>
      <c r="O90"/>
    </row>
    <row r="91" spans="1:15" ht="12.75" hidden="1">
      <c r="A91"/>
      <c r="B91"/>
      <c r="C91"/>
      <c r="D91"/>
      <c r="E91" s="170" t="s">
        <v>104</v>
      </c>
      <c r="F91">
        <f>SUM(F87:F90)</f>
        <v>1.2869999999999999E-2</v>
      </c>
      <c r="G91"/>
      <c r="H91"/>
      <c r="I91"/>
      <c r="J91"/>
      <c r="K91"/>
      <c r="L91"/>
      <c r="M91"/>
      <c r="N91"/>
      <c r="O91"/>
    </row>
    <row r="92" spans="1:15" ht="12.75" hidden="1">
      <c r="A92"/>
      <c r="B92"/>
      <c r="C92"/>
      <c r="D92"/>
      <c r="E92" s="170"/>
      <c r="F92"/>
      <c r="G92"/>
      <c r="H92"/>
      <c r="I92"/>
      <c r="J92"/>
      <c r="K92"/>
      <c r="L92"/>
      <c r="M92"/>
      <c r="N92"/>
      <c r="O92"/>
    </row>
    <row r="93" spans="1:15" ht="12.75" hidden="1">
      <c r="A93" t="s">
        <v>117</v>
      </c>
      <c r="B93" t="s">
        <v>118</v>
      </c>
      <c r="C93" s="171">
        <v>0.27</v>
      </c>
      <c r="D93" s="171">
        <v>96.33</v>
      </c>
      <c r="E93" s="171">
        <v>0.26</v>
      </c>
      <c r="F93" s="171">
        <f>+$G$86*(E93/100)</f>
        <v>4.2899999999999995E-3</v>
      </c>
      <c r="G93"/>
      <c r="H93"/>
      <c r="I93"/>
      <c r="J93"/>
      <c r="K93"/>
      <c r="L93"/>
      <c r="M93"/>
      <c r="N93"/>
      <c r="O93"/>
    </row>
    <row r="94" spans="1:15" ht="12.75" hidden="1">
      <c r="A94"/>
      <c r="B94" t="s">
        <v>119</v>
      </c>
      <c r="C94" s="171">
        <v>0.36</v>
      </c>
      <c r="D94" s="171">
        <v>85.77</v>
      </c>
      <c r="E94" s="171">
        <v>0.31</v>
      </c>
      <c r="F94" s="171">
        <f>+$G$86*(E94/100)</f>
        <v>5.1149999999999998E-3</v>
      </c>
      <c r="G94"/>
      <c r="H94"/>
      <c r="I94"/>
      <c r="J94"/>
      <c r="K94"/>
      <c r="L94"/>
      <c r="M94"/>
      <c r="N94"/>
      <c r="O94"/>
    </row>
    <row r="95" spans="1:15" ht="12.75" hidden="1">
      <c r="A95"/>
      <c r="B95" t="s">
        <v>120</v>
      </c>
      <c r="C95" s="171">
        <v>0.8</v>
      </c>
      <c r="D95" s="171">
        <v>9.94</v>
      </c>
      <c r="E95" s="171">
        <v>0.08</v>
      </c>
      <c r="F95" s="171">
        <f>+$G$86*(E95/100)</f>
        <v>1.32E-3</v>
      </c>
      <c r="G95"/>
      <c r="H95"/>
      <c r="I95"/>
      <c r="J95"/>
      <c r="K95"/>
      <c r="L95"/>
      <c r="M95"/>
      <c r="N95"/>
      <c r="O95"/>
    </row>
    <row r="96" spans="1:15" ht="12.75" hidden="1">
      <c r="A96"/>
      <c r="B96" t="s">
        <v>121</v>
      </c>
      <c r="C96" s="171">
        <v>1.1399999999999999</v>
      </c>
      <c r="D96" s="171">
        <v>6.21</v>
      </c>
      <c r="E96" s="171">
        <v>7.0000000000000007E-2</v>
      </c>
      <c r="F96" s="171">
        <f>+$G$86*(E96/100)</f>
        <v>1.1550000000000002E-3</v>
      </c>
      <c r="G96"/>
      <c r="H96"/>
      <c r="I96"/>
      <c r="J96"/>
      <c r="K96"/>
      <c r="L96"/>
      <c r="M96"/>
      <c r="N96"/>
      <c r="O96"/>
    </row>
    <row r="97" spans="1:15" ht="12.75" hidden="1">
      <c r="A97"/>
      <c r="B97"/>
      <c r="C97" s="171"/>
      <c r="D97" s="171"/>
      <c r="E97" s="172" t="s">
        <v>122</v>
      </c>
      <c r="F97" s="171">
        <f>SUM(F94:F96)</f>
        <v>7.5899999999999995E-3</v>
      </c>
      <c r="G97"/>
      <c r="H97"/>
      <c r="I97"/>
      <c r="J97"/>
      <c r="K97"/>
      <c r="L97"/>
      <c r="M97"/>
      <c r="N97"/>
      <c r="O97"/>
    </row>
    <row r="98" spans="1:15" ht="12.75" hidden="1">
      <c r="A98"/>
      <c r="B98"/>
      <c r="C98" s="171"/>
      <c r="D98" s="171"/>
      <c r="E98" s="172" t="s">
        <v>123</v>
      </c>
      <c r="F98" s="171">
        <f>SUM(F93:F96)</f>
        <v>1.188E-2</v>
      </c>
      <c r="G98"/>
      <c r="H98"/>
      <c r="I98"/>
      <c r="J98"/>
      <c r="K98"/>
      <c r="L98"/>
      <c r="M98"/>
      <c r="N98"/>
      <c r="O98"/>
    </row>
    <row r="99" spans="1:15" ht="12.75" hidden="1">
      <c r="A99"/>
      <c r="B99"/>
      <c r="C99" s="171"/>
      <c r="D99" s="171"/>
      <c r="E99" s="171"/>
      <c r="F99" s="171"/>
      <c r="G99"/>
      <c r="H99"/>
      <c r="I99"/>
      <c r="J99"/>
      <c r="K99"/>
      <c r="L99"/>
      <c r="M99"/>
      <c r="N99"/>
      <c r="O99"/>
    </row>
    <row r="100" spans="1:15" ht="12.75" hidden="1">
      <c r="A100" t="s">
        <v>124</v>
      </c>
      <c r="B100" t="s">
        <v>124</v>
      </c>
      <c r="C100" s="171">
        <v>0.62</v>
      </c>
      <c r="D100" s="171">
        <v>94.29</v>
      </c>
      <c r="E100" s="171">
        <v>0.57999999999999996</v>
      </c>
      <c r="F100" s="171">
        <f>+$G$86*(E100/100)</f>
        <v>9.5699999999999986E-3</v>
      </c>
      <c r="G100"/>
      <c r="H100"/>
      <c r="I100"/>
      <c r="J100"/>
      <c r="K100"/>
      <c r="L100"/>
      <c r="M100"/>
      <c r="N100"/>
      <c r="O100"/>
    </row>
    <row r="101" spans="1:15" ht="12.75" hidden="1">
      <c r="A101"/>
      <c r="B101"/>
      <c r="C101" s="171"/>
      <c r="D101" s="171"/>
      <c r="E101" s="171"/>
      <c r="F101" s="171"/>
      <c r="G101"/>
      <c r="H101"/>
      <c r="I101"/>
      <c r="J101"/>
      <c r="K101"/>
      <c r="L101"/>
      <c r="M101"/>
      <c r="N101"/>
      <c r="O101"/>
    </row>
    <row r="102" spans="1:15" ht="12.75" hidden="1">
      <c r="A102" t="s">
        <v>125</v>
      </c>
      <c r="B102" t="s">
        <v>126</v>
      </c>
      <c r="C102" s="171">
        <v>0.85</v>
      </c>
      <c r="D102" s="171">
        <v>100</v>
      </c>
      <c r="E102" s="171">
        <v>0.85</v>
      </c>
      <c r="F102" s="171">
        <f>+$G$86*(E102/100)</f>
        <v>1.4025000000000001E-2</v>
      </c>
      <c r="G102"/>
      <c r="H102"/>
      <c r="I102"/>
      <c r="J102"/>
      <c r="K102"/>
      <c r="L102"/>
      <c r="M102"/>
      <c r="N102"/>
      <c r="O102"/>
    </row>
    <row r="103" spans="1:15" ht="12.75" hidden="1">
      <c r="A103"/>
      <c r="B103"/>
      <c r="C103" s="171"/>
      <c r="D103" s="171"/>
      <c r="E103" s="171"/>
      <c r="F103" s="171"/>
      <c r="G103"/>
      <c r="H103"/>
      <c r="I103"/>
      <c r="J103"/>
      <c r="K103"/>
      <c r="L103"/>
      <c r="M103"/>
      <c r="N103"/>
      <c r="O103"/>
    </row>
    <row r="104" spans="1:15" ht="12.75" hidden="1">
      <c r="A104" t="s">
        <v>127</v>
      </c>
      <c r="B104" t="s">
        <v>128</v>
      </c>
      <c r="C104" s="171" t="s">
        <v>129</v>
      </c>
      <c r="D104" s="171"/>
      <c r="E104" s="171">
        <v>0.35460000000000003</v>
      </c>
      <c r="F104" s="171">
        <f>+$G$86*(E104/100)</f>
        <v>5.8509E-3</v>
      </c>
      <c r="G104"/>
      <c r="H104"/>
      <c r="I104"/>
      <c r="J104"/>
      <c r="K104"/>
      <c r="L104"/>
      <c r="M104"/>
      <c r="N104"/>
      <c r="O104"/>
    </row>
    <row r="105" spans="1:15" ht="12.75" hidden="1">
      <c r="A105"/>
      <c r="B105" t="s">
        <v>130</v>
      </c>
      <c r="C105" s="171" t="s">
        <v>131</v>
      </c>
      <c r="D105" s="171"/>
      <c r="E105" s="171">
        <v>0.55700000000000005</v>
      </c>
      <c r="F105" s="171">
        <f>+$G$86*(E105/100)</f>
        <v>9.1905000000000008E-3</v>
      </c>
      <c r="G105"/>
      <c r="H105"/>
      <c r="I105"/>
    </row>
    <row r="106" spans="1:15" ht="12.75" hidden="1">
      <c r="A106"/>
      <c r="B106" t="s">
        <v>132</v>
      </c>
      <c r="C106" s="171" t="s">
        <v>133</v>
      </c>
      <c r="D106" s="171"/>
      <c r="E106" s="171">
        <v>0.628</v>
      </c>
      <c r="F106" s="171">
        <f>+$G$86*(E106/100)</f>
        <v>1.0362E-2</v>
      </c>
      <c r="G106"/>
      <c r="H106"/>
      <c r="I106"/>
    </row>
    <row r="107" spans="1:15" ht="12.75" hidden="1">
      <c r="A107"/>
      <c r="B107"/>
      <c r="C107" s="171"/>
      <c r="D107" s="171"/>
      <c r="E107" s="171"/>
      <c r="F107" s="171"/>
      <c r="G107"/>
      <c r="H107"/>
      <c r="I107"/>
    </row>
    <row r="108" spans="1:15" ht="12.75" hidden="1">
      <c r="A108" t="s">
        <v>134</v>
      </c>
      <c r="B108" t="s">
        <v>135</v>
      </c>
      <c r="C108" s="171" t="s">
        <v>136</v>
      </c>
      <c r="D108" s="171"/>
      <c r="E108" s="171">
        <v>0.309</v>
      </c>
      <c r="F108" s="171">
        <f>+$G$86*(E108/100)</f>
        <v>5.0984999999999997E-3</v>
      </c>
      <c r="G108"/>
      <c r="H108"/>
      <c r="I108"/>
    </row>
    <row r="109" spans="1:15" ht="12.75" hidden="1">
      <c r="A109"/>
      <c r="B109"/>
      <c r="C109" s="171"/>
      <c r="D109" s="171"/>
      <c r="E109" s="171"/>
      <c r="F109" s="171"/>
      <c r="G109"/>
      <c r="H109"/>
      <c r="I109"/>
    </row>
    <row r="110" spans="1:15" ht="12.75" hidden="1">
      <c r="A110" t="s">
        <v>137</v>
      </c>
      <c r="B110" t="s">
        <v>138</v>
      </c>
      <c r="C110" s="171" t="s">
        <v>139</v>
      </c>
      <c r="D110" s="171"/>
      <c r="E110" s="171">
        <v>0.37480000000000002</v>
      </c>
      <c r="F110" s="171">
        <f>+$G$86*(E110/100)</f>
        <v>6.1841999999999999E-3</v>
      </c>
      <c r="G110"/>
      <c r="H110"/>
      <c r="I110"/>
    </row>
    <row r="111" spans="1:15" ht="12.75" hidden="1">
      <c r="A111"/>
      <c r="B111"/>
      <c r="C111"/>
      <c r="D111"/>
      <c r="E111"/>
      <c r="F111"/>
      <c r="G111"/>
      <c r="H111"/>
      <c r="I111"/>
    </row>
    <row r="112" spans="1:15" ht="12.75">
      <c r="A112"/>
      <c r="B112"/>
      <c r="C112"/>
      <c r="D112"/>
      <c r="E112"/>
      <c r="F112"/>
      <c r="G112"/>
      <c r="H112"/>
      <c r="I112"/>
    </row>
    <row r="113" spans="1:15" ht="12.75">
      <c r="A113"/>
      <c r="B113"/>
      <c r="C113"/>
      <c r="D113"/>
      <c r="E113"/>
      <c r="F113"/>
      <c r="G113"/>
      <c r="H113"/>
      <c r="I113"/>
    </row>
    <row r="114" spans="1:15" ht="12.75">
      <c r="A114"/>
      <c r="B114"/>
      <c r="C114"/>
      <c r="D114"/>
      <c r="E114"/>
      <c r="F114"/>
      <c r="G114"/>
      <c r="H114"/>
      <c r="I114"/>
    </row>
    <row r="115" spans="1:15" ht="12.75">
      <c r="A115"/>
      <c r="B115"/>
      <c r="C115"/>
      <c r="D115"/>
      <c r="E115"/>
      <c r="F115"/>
      <c r="G115"/>
      <c r="H115"/>
      <c r="I115"/>
    </row>
    <row r="116" spans="1:15" ht="12.75">
      <c r="A116" s="421" t="s">
        <v>140</v>
      </c>
      <c r="B116" s="422"/>
      <c r="C116" s="423"/>
      <c r="D116"/>
      <c r="E116" s="173" t="s">
        <v>141</v>
      </c>
      <c r="F116"/>
      <c r="G116" s="174"/>
      <c r="H116"/>
      <c r="I116" s="421" t="s">
        <v>47</v>
      </c>
      <c r="J116" s="422"/>
      <c r="K116" s="423"/>
      <c r="N116" s="12" t="s">
        <v>142</v>
      </c>
    </row>
    <row r="117" spans="1:15" ht="12.75">
      <c r="A117" s="178" t="s">
        <v>143</v>
      </c>
      <c r="B117" s="176" t="s">
        <v>144</v>
      </c>
      <c r="C117" s="249">
        <v>0.84499999999999997</v>
      </c>
      <c r="D117" s="65"/>
      <c r="E117" s="176">
        <v>0.83299999999999996</v>
      </c>
      <c r="F117" s="66">
        <f>C117-E117</f>
        <v>1.2000000000000011E-2</v>
      </c>
      <c r="G117" s="178">
        <v>0.83299999999999996</v>
      </c>
      <c r="H117" s="66"/>
      <c r="I117" s="178" t="s">
        <v>145</v>
      </c>
      <c r="J117" s="65"/>
      <c r="K117" s="177">
        <v>0</v>
      </c>
      <c r="L117" s="65">
        <v>882</v>
      </c>
      <c r="N117" s="12" t="s">
        <v>146</v>
      </c>
      <c r="O117" s="12">
        <v>1024</v>
      </c>
    </row>
    <row r="118" spans="1:15" ht="12.75">
      <c r="A118" s="65"/>
      <c r="B118" s="176" t="s">
        <v>147</v>
      </c>
      <c r="C118" s="249">
        <v>1E-3</v>
      </c>
      <c r="D118" s="65"/>
      <c r="E118" s="66">
        <v>1E-3</v>
      </c>
      <c r="F118" s="66">
        <f>C118-E118</f>
        <v>0</v>
      </c>
      <c r="G118" s="178">
        <v>1E-3</v>
      </c>
      <c r="H118" s="66"/>
      <c r="I118" s="178" t="s">
        <v>148</v>
      </c>
      <c r="J118" s="65">
        <v>6688</v>
      </c>
      <c r="K118" s="248">
        <v>17</v>
      </c>
      <c r="L118" s="65"/>
      <c r="N118" s="12" t="s">
        <v>149</v>
      </c>
      <c r="O118" s="12">
        <v>1500</v>
      </c>
    </row>
    <row r="119" spans="1:15" ht="12.75">
      <c r="A119" s="65"/>
      <c r="B119" s="176" t="s">
        <v>150</v>
      </c>
      <c r="C119" s="249">
        <v>0.5</v>
      </c>
      <c r="D119" s="65"/>
      <c r="E119" s="66">
        <v>0.5</v>
      </c>
      <c r="F119" s="66">
        <f>C119-E119</f>
        <v>0</v>
      </c>
      <c r="G119" s="178">
        <v>0.5</v>
      </c>
      <c r="H119" s="66"/>
      <c r="I119" s="178" t="s">
        <v>68</v>
      </c>
      <c r="J119" s="65">
        <v>6888</v>
      </c>
      <c r="K119" s="248">
        <v>5876</v>
      </c>
      <c r="L119" s="65"/>
      <c r="N119" s="12" t="s">
        <v>151</v>
      </c>
      <c r="O119" s="12">
        <v>219</v>
      </c>
    </row>
    <row r="120" spans="1:15" ht="12.75">
      <c r="A120" s="65"/>
      <c r="B120" s="176" t="s">
        <v>152</v>
      </c>
      <c r="C120" s="249">
        <v>10</v>
      </c>
      <c r="D120" s="65">
        <v>2</v>
      </c>
      <c r="E120" s="66">
        <v>10</v>
      </c>
      <c r="F120" s="66">
        <f>C120-E120</f>
        <v>0</v>
      </c>
      <c r="G120" s="178">
        <v>12</v>
      </c>
      <c r="H120" s="66"/>
      <c r="I120" s="178" t="s">
        <v>97</v>
      </c>
      <c r="J120" s="65"/>
      <c r="K120" s="177">
        <v>0</v>
      </c>
      <c r="L120" s="65"/>
      <c r="N120" s="12" t="s">
        <v>153</v>
      </c>
      <c r="O120" s="12">
        <v>1000</v>
      </c>
    </row>
    <row r="121" spans="1:15" ht="12.75">
      <c r="A121" s="178" t="s">
        <v>154</v>
      </c>
      <c r="B121" s="176" t="s">
        <v>155</v>
      </c>
      <c r="C121" s="249">
        <v>3.6</v>
      </c>
      <c r="D121" s="65"/>
      <c r="E121" s="66">
        <v>3.6</v>
      </c>
      <c r="F121" s="66">
        <f>C121-E121</f>
        <v>0</v>
      </c>
      <c r="G121" s="178">
        <v>3.6</v>
      </c>
      <c r="H121" s="66"/>
      <c r="I121" s="178" t="s">
        <v>156</v>
      </c>
      <c r="J121" s="65">
        <v>9003</v>
      </c>
      <c r="K121" s="248">
        <v>9</v>
      </c>
      <c r="L121" s="65"/>
      <c r="N121" s="12" t="s">
        <v>157</v>
      </c>
      <c r="O121" s="12">
        <v>90</v>
      </c>
    </row>
    <row r="122" spans="1:15" ht="12.75">
      <c r="A122" s="178"/>
      <c r="B122" s="176"/>
      <c r="C122" s="176"/>
      <c r="D122" s="65"/>
      <c r="E122" s="66"/>
      <c r="F122" s="66"/>
      <c r="G122" s="178"/>
      <c r="H122" s="66"/>
      <c r="I122" s="178" t="s">
        <v>341</v>
      </c>
      <c r="J122" s="65">
        <v>5053</v>
      </c>
      <c r="K122" s="248">
        <v>706</v>
      </c>
      <c r="L122" s="65"/>
    </row>
    <row r="123" spans="1:15" ht="12.75">
      <c r="A123" s="65"/>
      <c r="B123" s="176" t="s">
        <v>22</v>
      </c>
      <c r="C123" s="178">
        <v>0</v>
      </c>
      <c r="D123" s="65" t="s">
        <v>158</v>
      </c>
      <c r="E123" s="66">
        <v>0</v>
      </c>
      <c r="F123" s="66">
        <f>C123-E123</f>
        <v>0</v>
      </c>
      <c r="G123" s="178">
        <v>0</v>
      </c>
      <c r="H123" s="66"/>
      <c r="I123" s="178" t="s">
        <v>159</v>
      </c>
      <c r="J123" s="65">
        <v>3405</v>
      </c>
      <c r="K123" s="248">
        <v>2429</v>
      </c>
      <c r="L123" s="65"/>
      <c r="N123" s="12" t="s">
        <v>80</v>
      </c>
    </row>
    <row r="124" spans="1:15" ht="12.75">
      <c r="A124" s="65"/>
      <c r="B124" s="176" t="s">
        <v>160</v>
      </c>
      <c r="C124" s="249">
        <v>2.4</v>
      </c>
      <c r="D124" s="65"/>
      <c r="E124" s="66">
        <v>2.4</v>
      </c>
      <c r="F124" s="66">
        <f>C124-E124</f>
        <v>0</v>
      </c>
      <c r="G124" s="178">
        <v>2.4</v>
      </c>
      <c r="H124" s="66"/>
      <c r="I124" s="178" t="s">
        <v>161</v>
      </c>
      <c r="J124" s="65"/>
      <c r="K124" s="179">
        <v>0</v>
      </c>
      <c r="L124" s="65">
        <v>660</v>
      </c>
    </row>
    <row r="125" spans="1:15" ht="12.75">
      <c r="A125" s="178" t="s">
        <v>162</v>
      </c>
      <c r="B125" s="176" t="s">
        <v>163</v>
      </c>
      <c r="C125" s="249">
        <v>0.8</v>
      </c>
      <c r="D125" s="66"/>
      <c r="E125" s="66">
        <v>0.8</v>
      </c>
      <c r="F125" s="66">
        <f>C125-E125</f>
        <v>0</v>
      </c>
      <c r="G125" s="178">
        <v>0.8</v>
      </c>
      <c r="H125" s="66"/>
      <c r="I125" s="178" t="s">
        <v>365</v>
      </c>
      <c r="J125" s="65">
        <v>5333</v>
      </c>
      <c r="K125" s="179">
        <v>250</v>
      </c>
      <c r="L125" s="65" t="s">
        <v>366</v>
      </c>
    </row>
    <row r="126" spans="1:15" ht="12.75">
      <c r="A126" s="66"/>
      <c r="B126" s="176" t="s">
        <v>6</v>
      </c>
      <c r="C126" s="249">
        <v>16.5</v>
      </c>
      <c r="D126" s="66"/>
      <c r="E126" s="66">
        <v>16.940999999999999</v>
      </c>
      <c r="F126" s="66">
        <f>C126-E126</f>
        <v>-0.44099999999999895</v>
      </c>
      <c r="G126" s="178">
        <v>16.5</v>
      </c>
      <c r="H126" s="178"/>
      <c r="I126" s="177" t="s">
        <v>164</v>
      </c>
      <c r="J126" s="65">
        <v>6835</v>
      </c>
      <c r="K126" s="248">
        <v>24</v>
      </c>
      <c r="L126" s="65"/>
    </row>
    <row r="127" spans="1:15" ht="12.75">
      <c r="A127" s="66"/>
      <c r="B127" s="176" t="s">
        <v>7</v>
      </c>
      <c r="C127" s="178">
        <v>0</v>
      </c>
      <c r="D127" s="66" t="s">
        <v>65</v>
      </c>
      <c r="E127" s="66">
        <v>0</v>
      </c>
      <c r="F127" s="66">
        <f>C127-E127</f>
        <v>0</v>
      </c>
      <c r="G127" s="178">
        <v>20</v>
      </c>
      <c r="H127" s="66"/>
      <c r="I127" s="177" t="s">
        <v>165</v>
      </c>
      <c r="J127" s="65">
        <v>4286</v>
      </c>
      <c r="K127" s="248">
        <v>39</v>
      </c>
      <c r="L127" s="65"/>
    </row>
    <row r="128" spans="1:15" ht="12.75">
      <c r="A128" s="66"/>
      <c r="B128" s="176"/>
      <c r="C128" s="178"/>
      <c r="D128" s="66"/>
      <c r="E128" s="66"/>
      <c r="F128" s="66"/>
      <c r="G128" s="178"/>
      <c r="H128" s="66"/>
      <c r="I128" s="177" t="s">
        <v>166</v>
      </c>
      <c r="J128" s="65">
        <v>9676</v>
      </c>
      <c r="K128" s="234">
        <v>0</v>
      </c>
      <c r="L128" s="235" t="s">
        <v>331</v>
      </c>
    </row>
    <row r="129" spans="1:12" ht="12.75">
      <c r="A129" s="66"/>
      <c r="B129" s="176" t="s">
        <v>167</v>
      </c>
      <c r="C129" s="249">
        <v>2.5000000000000001E-2</v>
      </c>
      <c r="D129" s="66"/>
      <c r="E129" s="66">
        <v>2.5000000000000001E-2</v>
      </c>
      <c r="F129" s="66">
        <f>C129-E129</f>
        <v>0</v>
      </c>
      <c r="G129" s="178">
        <v>2.5000000000000001E-2</v>
      </c>
      <c r="H129" s="66"/>
      <c r="I129" s="177" t="s">
        <v>342</v>
      </c>
      <c r="J129" s="65">
        <v>6551</v>
      </c>
      <c r="K129" s="248">
        <v>100</v>
      </c>
      <c r="L129" s="235"/>
    </row>
    <row r="130" spans="1:12" ht="12.75">
      <c r="A130" s="66"/>
      <c r="B130" s="176" t="s">
        <v>169</v>
      </c>
      <c r="C130" s="178">
        <v>0</v>
      </c>
      <c r="D130" s="66"/>
      <c r="E130" s="66">
        <v>1.3</v>
      </c>
      <c r="F130" s="66">
        <f>C130-E130</f>
        <v>-1.3</v>
      </c>
      <c r="G130" s="178">
        <v>1.3</v>
      </c>
      <c r="H130" s="66"/>
      <c r="I130" s="177" t="s">
        <v>168</v>
      </c>
      <c r="J130" s="65">
        <v>6373</v>
      </c>
      <c r="K130" s="248">
        <v>1</v>
      </c>
      <c r="L130" s="65"/>
    </row>
    <row r="131" spans="1:12" ht="12.75">
      <c r="A131" s="66"/>
      <c r="B131" s="259" t="s">
        <v>171</v>
      </c>
      <c r="C131" s="259">
        <v>8</v>
      </c>
      <c r="D131" s="66">
        <v>8</v>
      </c>
      <c r="E131" s="66">
        <v>7.407</v>
      </c>
      <c r="F131" s="66">
        <f>C131-E131</f>
        <v>0.59299999999999997</v>
      </c>
      <c r="G131" s="178">
        <v>8</v>
      </c>
      <c r="H131" s="66"/>
      <c r="I131" s="177" t="s">
        <v>170</v>
      </c>
      <c r="J131" s="65">
        <v>4132</v>
      </c>
      <c r="K131" s="248">
        <v>149</v>
      </c>
      <c r="L131" s="65"/>
    </row>
    <row r="132" spans="1:12" ht="12.75">
      <c r="A132" s="66"/>
      <c r="B132" s="176"/>
      <c r="C132" s="176"/>
      <c r="D132" s="66"/>
      <c r="E132" s="66"/>
      <c r="F132" s="66"/>
      <c r="G132" s="178"/>
      <c r="H132" s="66"/>
      <c r="I132" s="177" t="s">
        <v>172</v>
      </c>
      <c r="J132" s="65">
        <v>4120</v>
      </c>
      <c r="K132" s="179">
        <v>821</v>
      </c>
      <c r="L132" s="65">
        <v>11</v>
      </c>
    </row>
    <row r="133" spans="1:12" ht="12.75">
      <c r="A133" s="66"/>
      <c r="B133" s="259" t="s">
        <v>173</v>
      </c>
      <c r="C133" s="260">
        <v>20</v>
      </c>
      <c r="D133" s="66"/>
      <c r="E133" s="66">
        <v>20</v>
      </c>
      <c r="F133" s="66">
        <f t="shared" ref="F133:F139" si="0">C133-E133</f>
        <v>0</v>
      </c>
      <c r="G133" s="178">
        <v>22.5</v>
      </c>
      <c r="H133" s="65"/>
      <c r="I133" s="177" t="s">
        <v>343</v>
      </c>
      <c r="J133" s="65">
        <v>6840</v>
      </c>
      <c r="K133" s="248">
        <v>1148</v>
      </c>
      <c r="L133" s="65"/>
    </row>
    <row r="134" spans="1:12" ht="12.75">
      <c r="A134" s="66"/>
      <c r="B134" s="176" t="s">
        <v>175</v>
      </c>
      <c r="C134" s="249">
        <v>3.85</v>
      </c>
      <c r="D134" s="66"/>
      <c r="E134" s="66">
        <v>3.85</v>
      </c>
      <c r="F134" s="66">
        <f t="shared" si="0"/>
        <v>0</v>
      </c>
      <c r="G134" s="178">
        <v>3.85</v>
      </c>
      <c r="H134" s="65"/>
      <c r="I134" s="177" t="s">
        <v>174</v>
      </c>
      <c r="J134" s="65">
        <v>6296</v>
      </c>
      <c r="K134" s="177">
        <v>0</v>
      </c>
      <c r="L134" s="65"/>
    </row>
    <row r="135" spans="1:12" ht="12.75">
      <c r="A135" s="66"/>
      <c r="B135" s="176" t="s">
        <v>11</v>
      </c>
      <c r="C135" s="176">
        <v>0</v>
      </c>
      <c r="D135" s="66"/>
      <c r="E135" s="66">
        <v>0</v>
      </c>
      <c r="F135" s="66">
        <f t="shared" si="0"/>
        <v>0</v>
      </c>
      <c r="G135" s="178">
        <v>62</v>
      </c>
      <c r="H135" s="65"/>
      <c r="I135" s="177" t="s">
        <v>176</v>
      </c>
      <c r="J135" s="65">
        <v>6519</v>
      </c>
      <c r="K135" s="248">
        <v>2</v>
      </c>
      <c r="L135" s="65"/>
    </row>
    <row r="136" spans="1:12" ht="12.75">
      <c r="A136" s="66"/>
      <c r="B136" s="176" t="s">
        <v>178</v>
      </c>
      <c r="C136" s="249">
        <v>2.5000000000000001E-2</v>
      </c>
      <c r="D136" s="66"/>
      <c r="E136" s="66">
        <v>2.5000000000000001E-2</v>
      </c>
      <c r="F136" s="66">
        <f t="shared" si="0"/>
        <v>0</v>
      </c>
      <c r="G136" s="178">
        <v>2.5000000000000001E-2</v>
      </c>
      <c r="H136" s="65"/>
      <c r="I136" s="177" t="s">
        <v>177</v>
      </c>
      <c r="J136" s="65">
        <v>5502</v>
      </c>
      <c r="K136" s="248">
        <v>37</v>
      </c>
      <c r="L136" s="65"/>
    </row>
    <row r="137" spans="1:12" ht="12.75">
      <c r="A137" s="66"/>
      <c r="B137" s="176" t="s">
        <v>180</v>
      </c>
      <c r="C137" s="249">
        <v>0.05</v>
      </c>
      <c r="D137" s="66"/>
      <c r="E137" s="66">
        <v>0.05</v>
      </c>
      <c r="F137" s="66">
        <f t="shared" si="0"/>
        <v>0</v>
      </c>
      <c r="G137" s="178">
        <v>0.05</v>
      </c>
      <c r="H137" s="65"/>
      <c r="I137" s="177" t="s">
        <v>179</v>
      </c>
      <c r="J137" s="65">
        <v>6789</v>
      </c>
      <c r="K137" s="248">
        <v>12500</v>
      </c>
      <c r="L137" s="65"/>
    </row>
    <row r="138" spans="1:12" ht="12.75">
      <c r="A138" s="66"/>
      <c r="B138" s="176" t="s">
        <v>181</v>
      </c>
      <c r="C138" s="249">
        <v>12</v>
      </c>
      <c r="D138" s="66">
        <v>11</v>
      </c>
      <c r="E138" s="66">
        <v>4.665</v>
      </c>
      <c r="F138" s="66">
        <f t="shared" si="0"/>
        <v>7.335</v>
      </c>
      <c r="G138" s="178">
        <v>6</v>
      </c>
      <c r="H138" s="65"/>
      <c r="I138" s="177" t="s">
        <v>354</v>
      </c>
      <c r="J138" s="211">
        <v>6545</v>
      </c>
      <c r="K138" s="248">
        <v>68</v>
      </c>
      <c r="L138" s="65"/>
    </row>
    <row r="139" spans="1:12" ht="12.75">
      <c r="A139" s="66"/>
      <c r="B139" s="176" t="s">
        <v>183</v>
      </c>
      <c r="C139" s="249">
        <v>0.41899999999999998</v>
      </c>
      <c r="D139" s="65"/>
      <c r="E139" s="66">
        <v>0.41899999999999998</v>
      </c>
      <c r="F139" s="66">
        <f t="shared" si="0"/>
        <v>0</v>
      </c>
      <c r="G139" s="178">
        <v>0.41899999999999998</v>
      </c>
      <c r="H139" s="65"/>
      <c r="I139" s="177" t="s">
        <v>354</v>
      </c>
      <c r="J139" s="211">
        <v>275</v>
      </c>
      <c r="K139" s="248">
        <v>86</v>
      </c>
      <c r="L139" s="65"/>
    </row>
    <row r="140" spans="1:12" ht="12.75">
      <c r="A140" s="66"/>
      <c r="B140" s="176"/>
      <c r="C140" s="249"/>
      <c r="D140" s="65"/>
      <c r="E140" s="66"/>
      <c r="F140" s="66"/>
      <c r="G140" s="178"/>
      <c r="H140" s="65"/>
      <c r="I140" s="177" t="s">
        <v>355</v>
      </c>
      <c r="J140" s="211">
        <v>9812</v>
      </c>
      <c r="K140" s="248">
        <v>485</v>
      </c>
      <c r="L140" s="65" t="s">
        <v>185</v>
      </c>
    </row>
    <row r="141" spans="1:12" ht="12.75">
      <c r="A141" s="65"/>
      <c r="B141" s="176" t="s">
        <v>186</v>
      </c>
      <c r="C141" s="249">
        <v>5</v>
      </c>
      <c r="D141" s="65"/>
      <c r="E141" s="66">
        <v>5</v>
      </c>
      <c r="F141" s="66">
        <f t="shared" ref="F141:F155" si="1">C141-E141</f>
        <v>0</v>
      </c>
      <c r="G141" s="178">
        <v>5</v>
      </c>
      <c r="H141" s="65"/>
      <c r="I141" s="177" t="s">
        <v>356</v>
      </c>
      <c r="J141" s="211">
        <v>6387</v>
      </c>
      <c r="K141" s="248">
        <v>400</v>
      </c>
      <c r="L141" s="65"/>
    </row>
    <row r="142" spans="1:12" ht="12.75">
      <c r="A142" s="65"/>
      <c r="B142" s="176" t="s">
        <v>187</v>
      </c>
      <c r="C142" s="178">
        <v>0</v>
      </c>
      <c r="D142" s="65"/>
      <c r="E142" s="66">
        <v>0</v>
      </c>
      <c r="F142" s="66">
        <f t="shared" si="1"/>
        <v>0</v>
      </c>
      <c r="G142" s="178">
        <v>20</v>
      </c>
      <c r="H142" s="65"/>
      <c r="I142" s="177" t="s">
        <v>356</v>
      </c>
      <c r="J142" s="211">
        <v>6347</v>
      </c>
      <c r="K142" s="248">
        <v>190</v>
      </c>
      <c r="L142" s="65"/>
    </row>
    <row r="143" spans="1:12" ht="12.75">
      <c r="A143" s="65"/>
      <c r="B143" s="176" t="s">
        <v>189</v>
      </c>
      <c r="C143" s="249">
        <v>10</v>
      </c>
      <c r="D143" s="65"/>
      <c r="E143" s="66">
        <v>9.5619999999999994</v>
      </c>
      <c r="F143" s="66">
        <f t="shared" si="1"/>
        <v>0.43800000000000061</v>
      </c>
      <c r="G143" s="178">
        <v>10</v>
      </c>
      <c r="H143" s="65"/>
      <c r="I143" s="177" t="s">
        <v>356</v>
      </c>
      <c r="J143" s="211">
        <v>5892</v>
      </c>
      <c r="K143" s="248">
        <v>105</v>
      </c>
      <c r="L143" s="65"/>
    </row>
    <row r="144" spans="1:12" ht="12.75">
      <c r="A144" s="65"/>
      <c r="B144" s="176" t="s">
        <v>191</v>
      </c>
      <c r="C144" s="249">
        <v>0.1</v>
      </c>
      <c r="D144" s="65"/>
      <c r="E144" s="66">
        <v>0.1</v>
      </c>
      <c r="F144" s="66">
        <f t="shared" si="1"/>
        <v>0</v>
      </c>
      <c r="G144" s="178">
        <v>0.1</v>
      </c>
      <c r="H144" s="65"/>
      <c r="I144" s="177" t="s">
        <v>356</v>
      </c>
      <c r="J144" s="211">
        <v>6757</v>
      </c>
      <c r="K144" s="248">
        <v>200</v>
      </c>
      <c r="L144" s="65"/>
    </row>
    <row r="145" spans="1:12" ht="12.75">
      <c r="A145" s="65"/>
      <c r="B145" s="176" t="s">
        <v>194</v>
      </c>
      <c r="C145" s="176">
        <v>0</v>
      </c>
      <c r="D145" s="65"/>
      <c r="E145" s="66">
        <v>2</v>
      </c>
      <c r="F145" s="66">
        <f t="shared" si="1"/>
        <v>-2</v>
      </c>
      <c r="G145" s="178">
        <v>2</v>
      </c>
      <c r="H145" s="65"/>
      <c r="I145" s="177" t="s">
        <v>182</v>
      </c>
      <c r="J145" s="65">
        <v>6598</v>
      </c>
      <c r="K145" s="248">
        <v>235</v>
      </c>
      <c r="L145" s="65"/>
    </row>
    <row r="146" spans="1:12" ht="12.75">
      <c r="A146" s="65"/>
      <c r="B146" s="176" t="s">
        <v>196</v>
      </c>
      <c r="C146" s="249">
        <v>0.02</v>
      </c>
      <c r="D146" s="65"/>
      <c r="E146" s="66">
        <v>0.02</v>
      </c>
      <c r="F146" s="66">
        <f t="shared" si="1"/>
        <v>0</v>
      </c>
      <c r="G146" s="178">
        <v>0.02</v>
      </c>
      <c r="H146" s="65"/>
      <c r="I146" s="177" t="s">
        <v>184</v>
      </c>
      <c r="J146" s="65">
        <v>6392</v>
      </c>
      <c r="K146" s="248">
        <v>65</v>
      </c>
      <c r="L146" s="65"/>
    </row>
    <row r="147" spans="1:12" ht="12.75">
      <c r="A147" s="65"/>
      <c r="B147" s="176"/>
      <c r="C147" s="178"/>
      <c r="D147" s="65"/>
      <c r="E147" s="66">
        <v>0</v>
      </c>
      <c r="F147" s="66">
        <f t="shared" si="1"/>
        <v>0</v>
      </c>
      <c r="G147" s="178">
        <v>10</v>
      </c>
      <c r="H147" s="65"/>
      <c r="I147" s="177" t="s">
        <v>297</v>
      </c>
      <c r="J147" s="65">
        <v>440</v>
      </c>
      <c r="K147" s="248">
        <v>444</v>
      </c>
      <c r="L147" s="65">
        <v>1287</v>
      </c>
    </row>
    <row r="148" spans="1:12" ht="12.75">
      <c r="A148" s="65"/>
      <c r="B148" s="176" t="s">
        <v>198</v>
      </c>
      <c r="C148" s="249">
        <v>0.55600000000000005</v>
      </c>
      <c r="D148" s="65"/>
      <c r="E148" s="66">
        <v>0.5</v>
      </c>
      <c r="F148" s="66">
        <f t="shared" si="1"/>
        <v>5.600000000000005E-2</v>
      </c>
      <c r="G148" s="178">
        <v>0.70499999999999996</v>
      </c>
      <c r="H148" s="65"/>
      <c r="I148" s="177" t="s">
        <v>149</v>
      </c>
      <c r="J148" s="65">
        <v>6173</v>
      </c>
      <c r="K148" s="248">
        <v>975</v>
      </c>
      <c r="L148" s="65">
        <v>4770</v>
      </c>
    </row>
    <row r="149" spans="1:12" ht="12.75">
      <c r="A149" s="65"/>
      <c r="B149" s="176" t="s">
        <v>201</v>
      </c>
      <c r="C149" s="176">
        <v>0</v>
      </c>
      <c r="D149" s="65"/>
      <c r="E149" s="66">
        <v>10.922000000000001</v>
      </c>
      <c r="F149" s="66">
        <f t="shared" si="1"/>
        <v>-10.922000000000001</v>
      </c>
      <c r="G149" s="178">
        <v>8.5</v>
      </c>
      <c r="H149" s="65"/>
      <c r="I149" s="177" t="s">
        <v>188</v>
      </c>
      <c r="J149" s="65"/>
      <c r="K149" s="177">
        <v>0</v>
      </c>
      <c r="L149" s="65"/>
    </row>
    <row r="150" spans="1:12" ht="12.75">
      <c r="A150" s="65"/>
      <c r="B150" s="176" t="s">
        <v>203</v>
      </c>
      <c r="C150" s="249">
        <v>2</v>
      </c>
      <c r="D150" s="65"/>
      <c r="E150" s="66">
        <v>2</v>
      </c>
      <c r="F150" s="66">
        <f t="shared" si="1"/>
        <v>0</v>
      </c>
      <c r="G150" s="178">
        <v>0</v>
      </c>
      <c r="H150" s="65"/>
      <c r="I150" s="177" t="s">
        <v>190</v>
      </c>
      <c r="J150" s="65">
        <v>4132</v>
      </c>
      <c r="K150" s="248">
        <v>7500</v>
      </c>
      <c r="L150" s="65"/>
    </row>
    <row r="151" spans="1:12" ht="12.75">
      <c r="A151" s="65"/>
      <c r="B151" s="176" t="s">
        <v>16</v>
      </c>
      <c r="C151" s="176">
        <v>0</v>
      </c>
      <c r="D151" s="65"/>
      <c r="E151" s="66">
        <v>42.670999999999999</v>
      </c>
      <c r="F151" s="66">
        <f t="shared" si="1"/>
        <v>-42.670999999999999</v>
      </c>
      <c r="G151" s="178">
        <v>30</v>
      </c>
      <c r="H151" s="65"/>
      <c r="I151" s="177" t="s">
        <v>192</v>
      </c>
      <c r="J151" s="211" t="s">
        <v>193</v>
      </c>
      <c r="K151" s="248">
        <f>1445+1+1500+1281</f>
        <v>4227</v>
      </c>
      <c r="L151" s="65"/>
    </row>
    <row r="152" spans="1:12" ht="12.75">
      <c r="A152" s="65"/>
      <c r="B152" s="176" t="s">
        <v>14</v>
      </c>
      <c r="C152" s="249">
        <v>80</v>
      </c>
      <c r="D152" s="65">
        <v>65</v>
      </c>
      <c r="E152" s="66">
        <v>63.606999999999999</v>
      </c>
      <c r="F152" s="66">
        <f t="shared" si="1"/>
        <v>16.393000000000001</v>
      </c>
      <c r="G152" s="178">
        <v>65</v>
      </c>
      <c r="H152" s="65"/>
      <c r="I152" s="177" t="s">
        <v>195</v>
      </c>
      <c r="J152" s="65">
        <v>3405</v>
      </c>
      <c r="K152" s="177">
        <v>0</v>
      </c>
      <c r="L152" s="65"/>
    </row>
    <row r="153" spans="1:12" ht="12.75">
      <c r="A153" s="65"/>
      <c r="B153" s="176" t="s">
        <v>208</v>
      </c>
      <c r="C153" s="249">
        <v>0.18</v>
      </c>
      <c r="D153" s="65"/>
      <c r="E153" s="66">
        <v>0.18</v>
      </c>
      <c r="F153" s="66">
        <f t="shared" si="1"/>
        <v>0</v>
      </c>
      <c r="G153" s="178">
        <v>0.18</v>
      </c>
      <c r="H153" s="65"/>
      <c r="I153" s="177" t="s">
        <v>197</v>
      </c>
      <c r="J153" s="65">
        <v>6353</v>
      </c>
      <c r="K153" s="248">
        <v>4000</v>
      </c>
      <c r="L153" s="65"/>
    </row>
    <row r="154" spans="1:12" ht="12.75">
      <c r="A154" s="65"/>
      <c r="B154" s="180" t="s">
        <v>210</v>
      </c>
      <c r="C154" s="180">
        <v>0</v>
      </c>
      <c r="D154" s="65"/>
      <c r="E154" s="66">
        <v>0</v>
      </c>
      <c r="F154" s="66">
        <f t="shared" si="1"/>
        <v>0</v>
      </c>
      <c r="G154" s="178">
        <v>1.9910000000000001</v>
      </c>
      <c r="H154" s="65"/>
      <c r="I154" s="177" t="s">
        <v>199</v>
      </c>
      <c r="J154" s="65">
        <v>6899</v>
      </c>
      <c r="K154" s="248">
        <v>428</v>
      </c>
      <c r="L154" s="65" t="s">
        <v>185</v>
      </c>
    </row>
    <row r="155" spans="1:12" ht="12.75">
      <c r="A155" s="65"/>
      <c r="B155" s="176" t="s">
        <v>18</v>
      </c>
      <c r="C155" s="249">
        <v>35</v>
      </c>
      <c r="D155" s="65"/>
      <c r="E155" s="66">
        <v>26.359000000000002</v>
      </c>
      <c r="F155" s="66">
        <f t="shared" si="1"/>
        <v>8.6409999999999982</v>
      </c>
      <c r="G155" s="178">
        <v>45</v>
      </c>
      <c r="H155" s="65"/>
      <c r="I155" s="177" t="s">
        <v>200</v>
      </c>
      <c r="J155" s="65">
        <v>6523</v>
      </c>
      <c r="K155" s="248">
        <v>500</v>
      </c>
      <c r="L155" s="65"/>
    </row>
    <row r="156" spans="1:12" ht="12.75">
      <c r="A156" s="65"/>
      <c r="B156" s="176"/>
      <c r="C156" s="249"/>
      <c r="D156" s="65"/>
      <c r="E156" s="66"/>
      <c r="F156" s="66"/>
      <c r="G156" s="178"/>
      <c r="H156" s="65"/>
      <c r="I156" s="177" t="s">
        <v>357</v>
      </c>
      <c r="J156" s="258" t="s">
        <v>358</v>
      </c>
      <c r="K156" s="248">
        <v>20</v>
      </c>
      <c r="L156" s="65"/>
    </row>
    <row r="157" spans="1:12" ht="12.75">
      <c r="A157" s="65"/>
      <c r="B157" s="176" t="s">
        <v>214</v>
      </c>
      <c r="C157" s="176">
        <v>0</v>
      </c>
      <c r="D157" s="65"/>
      <c r="E157" s="66">
        <v>6.1420000000000003</v>
      </c>
      <c r="F157" s="66">
        <f t="shared" ref="F157:F174" si="2">C157-E157</f>
        <v>-6.1420000000000003</v>
      </c>
      <c r="G157" s="178">
        <v>6</v>
      </c>
      <c r="H157" s="65"/>
      <c r="I157" s="177" t="s">
        <v>202</v>
      </c>
      <c r="J157" s="65">
        <v>7491</v>
      </c>
      <c r="K157" s="248">
        <v>1000</v>
      </c>
      <c r="L157" s="65">
        <v>2000</v>
      </c>
    </row>
    <row r="158" spans="1:12" ht="12.75">
      <c r="A158" s="65"/>
      <c r="B158" s="259" t="s">
        <v>216</v>
      </c>
      <c r="C158" s="259">
        <v>11</v>
      </c>
      <c r="D158" s="65"/>
      <c r="E158" s="66">
        <v>11.156000000000001</v>
      </c>
      <c r="F158" s="66">
        <f t="shared" si="2"/>
        <v>-0.15600000000000058</v>
      </c>
      <c r="G158" s="178">
        <v>11.5</v>
      </c>
      <c r="H158" s="65"/>
      <c r="I158" s="177" t="s">
        <v>359</v>
      </c>
      <c r="J158" s="65">
        <v>6173</v>
      </c>
      <c r="K158" s="248">
        <v>1000</v>
      </c>
      <c r="L158" s="65"/>
    </row>
    <row r="159" spans="1:12" ht="12.75">
      <c r="A159" s="65"/>
      <c r="B159" s="176" t="s">
        <v>218</v>
      </c>
      <c r="C159" s="249">
        <v>0.5</v>
      </c>
      <c r="D159" s="65"/>
      <c r="E159" s="66">
        <v>0.5</v>
      </c>
      <c r="F159" s="66">
        <f t="shared" si="2"/>
        <v>0</v>
      </c>
      <c r="G159" s="178">
        <v>0.3</v>
      </c>
      <c r="H159" s="65"/>
      <c r="I159" s="177" t="s">
        <v>204</v>
      </c>
      <c r="J159" s="65">
        <v>6210</v>
      </c>
      <c r="K159" s="248">
        <v>7500</v>
      </c>
      <c r="L159" s="65"/>
    </row>
    <row r="160" spans="1:12" ht="12.75">
      <c r="A160" s="65"/>
      <c r="B160" s="176" t="s">
        <v>220</v>
      </c>
      <c r="C160" s="249">
        <v>0.215</v>
      </c>
      <c r="D160" s="65"/>
      <c r="E160" s="66">
        <v>0.215</v>
      </c>
      <c r="F160" s="66">
        <f t="shared" si="2"/>
        <v>0</v>
      </c>
      <c r="G160" s="178">
        <v>0.215</v>
      </c>
      <c r="H160" s="65"/>
      <c r="I160" s="177" t="s">
        <v>205</v>
      </c>
      <c r="J160" s="65">
        <v>5097</v>
      </c>
      <c r="K160" s="234">
        <v>0</v>
      </c>
      <c r="L160" s="65">
        <v>7307</v>
      </c>
    </row>
    <row r="161" spans="1:12" ht="12.75">
      <c r="A161" s="65"/>
      <c r="B161" s="176" t="s">
        <v>222</v>
      </c>
      <c r="C161" s="249">
        <v>0.8</v>
      </c>
      <c r="D161" s="65"/>
      <c r="E161" s="66">
        <v>0.9</v>
      </c>
      <c r="F161" s="66">
        <f t="shared" si="2"/>
        <v>-9.9999999999999978E-2</v>
      </c>
      <c r="G161" s="178">
        <v>0.9</v>
      </c>
      <c r="H161" s="65"/>
      <c r="I161" s="177" t="s">
        <v>206</v>
      </c>
      <c r="J161" s="212" t="s">
        <v>207</v>
      </c>
      <c r="K161" s="248">
        <f>200+60</f>
        <v>260</v>
      </c>
      <c r="L161" s="65" t="s">
        <v>212</v>
      </c>
    </row>
    <row r="162" spans="1:12" ht="12.75">
      <c r="A162" s="65"/>
      <c r="B162" s="176" t="s">
        <v>88</v>
      </c>
      <c r="C162" s="178">
        <v>0</v>
      </c>
      <c r="D162" s="65"/>
      <c r="E162" s="66">
        <v>0</v>
      </c>
      <c r="F162" s="66">
        <f t="shared" si="2"/>
        <v>0</v>
      </c>
      <c r="G162" s="178">
        <v>0.08</v>
      </c>
      <c r="H162" s="65"/>
      <c r="I162" s="177" t="s">
        <v>209</v>
      </c>
      <c r="J162" s="65"/>
      <c r="K162" s="248">
        <v>800</v>
      </c>
      <c r="L162" s="65"/>
    </row>
    <row r="163" spans="1:12" ht="12.75">
      <c r="A163" s="65"/>
      <c r="B163" s="176" t="s">
        <v>225</v>
      </c>
      <c r="C163" s="176">
        <v>0</v>
      </c>
      <c r="D163" s="65"/>
      <c r="E163" s="66">
        <v>0</v>
      </c>
      <c r="F163" s="66">
        <f t="shared" si="2"/>
        <v>0</v>
      </c>
      <c r="G163" s="178">
        <v>0</v>
      </c>
      <c r="H163" s="65"/>
      <c r="I163" s="177" t="s">
        <v>211</v>
      </c>
      <c r="J163" s="212" t="s">
        <v>207</v>
      </c>
      <c r="K163" s="179">
        <v>0</v>
      </c>
      <c r="L163" s="65"/>
    </row>
    <row r="164" spans="1:12" ht="12.75">
      <c r="A164" s="65"/>
      <c r="B164" s="176" t="s">
        <v>227</v>
      </c>
      <c r="C164" s="249">
        <v>1</v>
      </c>
      <c r="D164" s="65"/>
      <c r="E164" s="66">
        <v>1</v>
      </c>
      <c r="F164" s="66">
        <f t="shared" si="2"/>
        <v>0</v>
      </c>
      <c r="G164" s="178">
        <v>1.5</v>
      </c>
      <c r="H164" s="65"/>
      <c r="I164" s="177" t="s">
        <v>213</v>
      </c>
      <c r="J164" s="65">
        <v>5310</v>
      </c>
      <c r="K164" s="248">
        <v>138</v>
      </c>
      <c r="L164" s="65"/>
    </row>
    <row r="165" spans="1:12" ht="12.75">
      <c r="A165" s="65"/>
      <c r="B165" s="176" t="s">
        <v>229</v>
      </c>
      <c r="C165" s="249">
        <v>1.5</v>
      </c>
      <c r="D165" s="65"/>
      <c r="E165" s="66">
        <v>1.5</v>
      </c>
      <c r="F165" s="66">
        <f t="shared" si="2"/>
        <v>0</v>
      </c>
      <c r="G165" s="178">
        <v>1</v>
      </c>
      <c r="H165" s="65"/>
      <c r="I165" s="177" t="s">
        <v>349</v>
      </c>
      <c r="J165" s="65">
        <v>6553</v>
      </c>
      <c r="K165" s="248">
        <v>4</v>
      </c>
      <c r="L165" s="65"/>
    </row>
    <row r="166" spans="1:12" ht="12.75">
      <c r="A166" s="65"/>
      <c r="B166" s="176" t="s">
        <v>231</v>
      </c>
      <c r="C166" s="249">
        <v>1.4</v>
      </c>
      <c r="D166" s="65"/>
      <c r="E166" s="66">
        <v>1.4</v>
      </c>
      <c r="F166" s="66">
        <f t="shared" si="2"/>
        <v>0</v>
      </c>
      <c r="G166" s="178">
        <v>1.5</v>
      </c>
      <c r="H166" s="65"/>
      <c r="I166" s="177" t="s">
        <v>333</v>
      </c>
      <c r="J166" s="212" t="s">
        <v>215</v>
      </c>
      <c r="K166" s="248">
        <f>115</f>
        <v>115</v>
      </c>
      <c r="L166" s="65"/>
    </row>
    <row r="167" spans="1:12" ht="12.75">
      <c r="A167" s="65"/>
      <c r="B167" s="176" t="s">
        <v>233</v>
      </c>
      <c r="C167" s="176">
        <v>0</v>
      </c>
      <c r="D167" s="177"/>
      <c r="E167" s="66">
        <v>25.216999999999999</v>
      </c>
      <c r="F167" s="66">
        <f t="shared" si="2"/>
        <v>-25.216999999999999</v>
      </c>
      <c r="G167" s="178">
        <v>1.4</v>
      </c>
      <c r="H167" s="65"/>
      <c r="I167" s="177" t="s">
        <v>217</v>
      </c>
      <c r="J167" s="65">
        <v>6534</v>
      </c>
      <c r="K167" s="248">
        <v>2000</v>
      </c>
      <c r="L167" s="65"/>
    </row>
    <row r="168" spans="1:12" ht="12.75">
      <c r="A168" s="65"/>
      <c r="B168" s="176" t="s">
        <v>235</v>
      </c>
      <c r="C168" s="249">
        <v>5.9749999999999996</v>
      </c>
      <c r="D168" s="65"/>
      <c r="E168" s="66">
        <v>5.9749999999999996</v>
      </c>
      <c r="F168" s="66">
        <f t="shared" si="2"/>
        <v>0</v>
      </c>
      <c r="G168" s="178">
        <v>25</v>
      </c>
      <c r="H168" s="65"/>
      <c r="I168" s="177" t="s">
        <v>219</v>
      </c>
      <c r="J168" s="65">
        <v>6614</v>
      </c>
      <c r="K168" s="179">
        <v>0</v>
      </c>
      <c r="L168" s="65"/>
    </row>
    <row r="169" spans="1:12" ht="12.75">
      <c r="A169" s="65"/>
      <c r="B169" s="176" t="s">
        <v>237</v>
      </c>
      <c r="C169" s="249">
        <v>15</v>
      </c>
      <c r="D169" s="65"/>
      <c r="E169" s="66">
        <v>10</v>
      </c>
      <c r="F169" s="66">
        <f t="shared" si="2"/>
        <v>5</v>
      </c>
      <c r="G169" s="178">
        <v>5.9749999999999996</v>
      </c>
      <c r="H169" s="65"/>
      <c r="I169" s="177" t="s">
        <v>221</v>
      </c>
      <c r="J169" s="65">
        <v>6542</v>
      </c>
      <c r="K169" s="248">
        <v>1</v>
      </c>
      <c r="L169" s="65"/>
    </row>
    <row r="170" spans="1:12" ht="12.75">
      <c r="A170" s="65"/>
      <c r="B170" s="176" t="s">
        <v>239</v>
      </c>
      <c r="C170" s="249">
        <v>0.05</v>
      </c>
      <c r="D170" s="65"/>
      <c r="E170" s="66">
        <v>0.05</v>
      </c>
      <c r="F170" s="66">
        <f t="shared" si="2"/>
        <v>0</v>
      </c>
      <c r="G170" s="178">
        <v>10</v>
      </c>
      <c r="H170" s="65"/>
      <c r="I170" s="177" t="s">
        <v>223</v>
      </c>
      <c r="J170" s="65">
        <v>5310</v>
      </c>
      <c r="K170" s="248">
        <v>184</v>
      </c>
      <c r="L170" s="65"/>
    </row>
    <row r="171" spans="1:12" ht="12.75">
      <c r="A171" s="65"/>
      <c r="B171" s="176" t="s">
        <v>241</v>
      </c>
      <c r="C171" s="249">
        <v>0.6</v>
      </c>
      <c r="D171" s="65"/>
      <c r="E171" s="66">
        <v>0.71299999999999997</v>
      </c>
      <c r="F171" s="66">
        <f t="shared" si="2"/>
        <v>-0.11299999999999999</v>
      </c>
      <c r="G171" s="178">
        <v>0.05</v>
      </c>
      <c r="H171" s="65"/>
      <c r="I171" s="177" t="s">
        <v>224</v>
      </c>
      <c r="J171" s="65">
        <v>5310</v>
      </c>
      <c r="K171" s="248">
        <v>1200</v>
      </c>
      <c r="L171" s="65"/>
    </row>
    <row r="172" spans="1:12" ht="12.75">
      <c r="A172" s="65"/>
      <c r="B172" s="176" t="s">
        <v>243</v>
      </c>
      <c r="C172" s="249">
        <v>0.24</v>
      </c>
      <c r="D172" s="65"/>
      <c r="E172" s="66">
        <v>1.2</v>
      </c>
      <c r="F172" s="66">
        <f t="shared" si="2"/>
        <v>-0.96</v>
      </c>
      <c r="G172" s="178">
        <v>0.71299999999999997</v>
      </c>
      <c r="H172" s="65"/>
      <c r="I172" s="177" t="s">
        <v>226</v>
      </c>
      <c r="J172" s="65"/>
      <c r="K172" s="177">
        <v>0</v>
      </c>
      <c r="L172" s="65"/>
    </row>
    <row r="173" spans="1:12" ht="12.75">
      <c r="A173" s="65"/>
      <c r="B173" s="176" t="s">
        <v>92</v>
      </c>
      <c r="C173" s="178">
        <v>0</v>
      </c>
      <c r="D173" s="65"/>
      <c r="E173" s="66">
        <v>0</v>
      </c>
      <c r="F173" s="66">
        <f t="shared" si="2"/>
        <v>0</v>
      </c>
      <c r="G173" s="178">
        <v>1.2</v>
      </c>
      <c r="H173" s="65"/>
      <c r="I173" s="177" t="s">
        <v>228</v>
      </c>
      <c r="J173" s="65"/>
      <c r="K173" s="177">
        <v>0</v>
      </c>
      <c r="L173" s="65"/>
    </row>
    <row r="174" spans="1:12" ht="12.75">
      <c r="A174" s="65"/>
      <c r="B174" s="176" t="s">
        <v>86</v>
      </c>
      <c r="C174" s="249">
        <v>10</v>
      </c>
      <c r="D174" s="65"/>
      <c r="E174" s="66">
        <v>10</v>
      </c>
      <c r="F174" s="66">
        <f t="shared" si="2"/>
        <v>0</v>
      </c>
      <c r="G174" s="178">
        <v>5</v>
      </c>
      <c r="H174" s="65"/>
      <c r="I174" s="177" t="s">
        <v>230</v>
      </c>
      <c r="J174" s="65"/>
      <c r="K174" s="177">
        <v>0</v>
      </c>
      <c r="L174" s="65"/>
    </row>
    <row r="175" spans="1:12" ht="12.75">
      <c r="A175" s="65"/>
      <c r="B175" s="176"/>
      <c r="C175" s="249"/>
      <c r="D175" s="65"/>
      <c r="E175" s="66"/>
      <c r="F175" s="66"/>
      <c r="G175" s="178"/>
      <c r="H175" s="65"/>
      <c r="I175" s="177" t="s">
        <v>232</v>
      </c>
      <c r="J175" s="65"/>
      <c r="K175" s="177">
        <v>0</v>
      </c>
      <c r="L175" s="65"/>
    </row>
    <row r="176" spans="1:12" ht="12.75">
      <c r="A176" s="65"/>
      <c r="B176" s="176" t="s">
        <v>246</v>
      </c>
      <c r="C176" s="249">
        <v>0.45</v>
      </c>
      <c r="D176" s="65"/>
      <c r="E176" s="66">
        <v>0.45</v>
      </c>
      <c r="F176" s="66">
        <f>C176-E176</f>
        <v>0</v>
      </c>
      <c r="G176" s="178">
        <v>10</v>
      </c>
      <c r="H176" s="65"/>
      <c r="I176" s="177" t="s">
        <v>234</v>
      </c>
      <c r="J176" s="65"/>
      <c r="K176" s="177">
        <v>0</v>
      </c>
      <c r="L176" s="65"/>
    </row>
    <row r="177" spans="1:12" ht="12.75">
      <c r="A177" s="65"/>
      <c r="B177" s="66" t="s">
        <v>248</v>
      </c>
      <c r="C177" s="66">
        <v>0</v>
      </c>
      <c r="D177" s="65"/>
      <c r="E177" s="66">
        <v>0</v>
      </c>
      <c r="F177" s="66">
        <f>C177-E177</f>
        <v>0</v>
      </c>
      <c r="G177" s="178">
        <v>0.45</v>
      </c>
      <c r="H177" s="65"/>
      <c r="I177" s="177" t="s">
        <v>236</v>
      </c>
      <c r="J177" s="65">
        <v>7211</v>
      </c>
      <c r="K177" s="248">
        <v>1000</v>
      </c>
      <c r="L177" s="65"/>
    </row>
    <row r="178" spans="1:12" ht="12.75">
      <c r="A178" s="65"/>
      <c r="B178" s="176" t="s">
        <v>251</v>
      </c>
      <c r="C178" s="249">
        <v>20</v>
      </c>
      <c r="D178" s="65"/>
      <c r="E178" s="66">
        <v>20</v>
      </c>
      <c r="F178" s="66">
        <f>C178-E178</f>
        <v>0</v>
      </c>
      <c r="G178" s="178">
        <v>19</v>
      </c>
      <c r="H178" s="65"/>
      <c r="I178" s="177" t="s">
        <v>238</v>
      </c>
      <c r="J178" s="65">
        <v>6722</v>
      </c>
      <c r="K178" s="248">
        <v>48</v>
      </c>
      <c r="L178" s="65">
        <v>12500</v>
      </c>
    </row>
    <row r="179" spans="1:12" ht="12.75">
      <c r="A179" s="65"/>
      <c r="B179" s="176" t="s">
        <v>253</v>
      </c>
      <c r="C179" s="249">
        <v>1.5</v>
      </c>
      <c r="D179" s="65"/>
      <c r="E179" s="66">
        <v>1.5</v>
      </c>
      <c r="F179" s="66">
        <f>C179-E179</f>
        <v>0</v>
      </c>
      <c r="G179" s="178">
        <v>10</v>
      </c>
      <c r="H179" s="65"/>
      <c r="I179" s="177" t="s">
        <v>240</v>
      </c>
      <c r="J179" s="65"/>
      <c r="K179" s="248">
        <v>845</v>
      </c>
      <c r="L179" s="65"/>
    </row>
    <row r="180" spans="1:12" ht="12.75">
      <c r="A180" s="65"/>
      <c r="B180" s="66" t="s">
        <v>84</v>
      </c>
      <c r="C180" s="66">
        <v>0</v>
      </c>
      <c r="D180" s="65"/>
      <c r="E180" s="66">
        <v>0</v>
      </c>
      <c r="F180" s="66">
        <f>C180-E180</f>
        <v>0</v>
      </c>
      <c r="G180" s="178">
        <v>1.5</v>
      </c>
      <c r="H180" s="65"/>
      <c r="I180" s="177" t="s">
        <v>242</v>
      </c>
      <c r="J180" s="65">
        <v>4063</v>
      </c>
      <c r="K180" s="248">
        <v>231</v>
      </c>
      <c r="L180" s="65"/>
    </row>
    <row r="181" spans="1:12" ht="12.75">
      <c r="A181" s="65"/>
      <c r="B181" s="66"/>
      <c r="C181" s="66"/>
      <c r="D181" s="65"/>
      <c r="E181" s="66"/>
      <c r="F181" s="66"/>
      <c r="G181" s="178"/>
      <c r="H181" s="65"/>
      <c r="I181" s="177" t="s">
        <v>94</v>
      </c>
      <c r="J181" s="65">
        <v>3405</v>
      </c>
      <c r="K181" s="248">
        <v>2553</v>
      </c>
      <c r="L181" s="65"/>
    </row>
    <row r="182" spans="1:12" ht="12.75">
      <c r="A182" s="65"/>
      <c r="B182" s="66"/>
      <c r="C182" s="66"/>
      <c r="D182" s="65"/>
      <c r="E182" s="66"/>
      <c r="F182" s="66"/>
      <c r="G182" s="178"/>
      <c r="H182" s="65"/>
      <c r="I182" s="177" t="s">
        <v>52</v>
      </c>
      <c r="J182" s="65">
        <v>9643</v>
      </c>
      <c r="K182" s="248">
        <v>7000</v>
      </c>
      <c r="L182" s="65"/>
    </row>
    <row r="183" spans="1:12" ht="12.75">
      <c r="A183" s="65"/>
      <c r="B183" s="176" t="s">
        <v>256</v>
      </c>
      <c r="C183" s="249">
        <v>4</v>
      </c>
      <c r="D183" s="65"/>
      <c r="E183" s="66">
        <v>4</v>
      </c>
      <c r="F183" s="66">
        <f t="shared" ref="F183:F191" si="3">C183-E183</f>
        <v>0</v>
      </c>
      <c r="G183" s="178">
        <v>4.5</v>
      </c>
      <c r="H183" s="65"/>
      <c r="I183" s="177" t="s">
        <v>362</v>
      </c>
      <c r="J183" s="65">
        <v>9643</v>
      </c>
      <c r="K183" s="248">
        <v>4300</v>
      </c>
      <c r="L183" s="65"/>
    </row>
    <row r="184" spans="1:12" ht="12.75">
      <c r="A184" s="65"/>
      <c r="B184" s="176" t="s">
        <v>257</v>
      </c>
      <c r="C184" s="249">
        <v>0.08</v>
      </c>
      <c r="D184" s="65"/>
      <c r="E184" s="66">
        <v>6.0999999999999999E-2</v>
      </c>
      <c r="F184" s="66">
        <f t="shared" si="3"/>
        <v>1.9000000000000003E-2</v>
      </c>
      <c r="G184" s="178">
        <v>4</v>
      </c>
      <c r="H184" s="65"/>
      <c r="I184" s="177" t="s">
        <v>244</v>
      </c>
      <c r="J184" s="65">
        <v>6788</v>
      </c>
      <c r="K184" s="248">
        <v>250</v>
      </c>
      <c r="L184" s="65"/>
    </row>
    <row r="185" spans="1:12" ht="12.75">
      <c r="A185" s="65"/>
      <c r="B185" s="176" t="s">
        <v>258</v>
      </c>
      <c r="C185" s="249">
        <v>40</v>
      </c>
      <c r="D185" s="65"/>
      <c r="E185" s="66">
        <v>41.424999999999997</v>
      </c>
      <c r="F185" s="180">
        <f t="shared" si="3"/>
        <v>-1.4249999999999972</v>
      </c>
      <c r="G185" s="178">
        <v>6.0999999999999999E-2</v>
      </c>
      <c r="H185" s="65"/>
      <c r="I185" s="177" t="s">
        <v>245</v>
      </c>
      <c r="J185" s="65">
        <v>6683</v>
      </c>
      <c r="K185" s="248">
        <v>2800</v>
      </c>
      <c r="L185" s="65">
        <v>863</v>
      </c>
    </row>
    <row r="186" spans="1:12" ht="12.75">
      <c r="A186" s="65"/>
      <c r="B186" s="176" t="s">
        <v>26</v>
      </c>
      <c r="C186" s="249">
        <v>19</v>
      </c>
      <c r="D186" s="65"/>
      <c r="E186" s="66">
        <v>18.899000000000001</v>
      </c>
      <c r="F186" s="66">
        <f t="shared" si="3"/>
        <v>0.10099999999999909</v>
      </c>
      <c r="G186" s="178">
        <v>40</v>
      </c>
      <c r="H186" s="65"/>
      <c r="I186" s="177" t="s">
        <v>360</v>
      </c>
      <c r="J186" s="65">
        <v>2185</v>
      </c>
      <c r="K186" s="248">
        <v>35</v>
      </c>
      <c r="L186" s="65"/>
    </row>
    <row r="187" spans="1:12" ht="12.75">
      <c r="A187" s="65"/>
      <c r="B187" s="176" t="s">
        <v>261</v>
      </c>
      <c r="C187" s="249">
        <v>1</v>
      </c>
      <c r="D187" s="65"/>
      <c r="E187" s="66">
        <v>1</v>
      </c>
      <c r="F187" s="66">
        <f t="shared" si="3"/>
        <v>0</v>
      </c>
      <c r="G187" s="178">
        <v>20</v>
      </c>
      <c r="H187" s="65"/>
      <c r="I187" s="177" t="s">
        <v>351</v>
      </c>
      <c r="J187" s="65">
        <v>6296</v>
      </c>
      <c r="K187" s="248">
        <v>36</v>
      </c>
      <c r="L187" s="65">
        <v>4581</v>
      </c>
    </row>
    <row r="188" spans="1:12" ht="12.75">
      <c r="A188" s="65"/>
      <c r="B188" s="176" t="s">
        <v>152</v>
      </c>
      <c r="C188" s="176">
        <v>0</v>
      </c>
      <c r="D188" s="65"/>
      <c r="E188" s="66">
        <v>0</v>
      </c>
      <c r="F188" s="66">
        <f t="shared" si="3"/>
        <v>0</v>
      </c>
      <c r="G188" s="178">
        <v>1</v>
      </c>
      <c r="H188" s="65"/>
      <c r="I188" s="177" t="s">
        <v>247</v>
      </c>
      <c r="J188" s="65">
        <v>5053</v>
      </c>
      <c r="K188" s="236">
        <v>1000</v>
      </c>
      <c r="L188" s="65"/>
    </row>
    <row r="189" spans="1:12" ht="12.75">
      <c r="A189" s="65"/>
      <c r="B189" s="176" t="s">
        <v>262</v>
      </c>
      <c r="C189" s="249">
        <v>1</v>
      </c>
      <c r="D189" s="65"/>
      <c r="E189" s="66">
        <v>1</v>
      </c>
      <c r="F189" s="66">
        <f t="shared" si="3"/>
        <v>0</v>
      </c>
      <c r="G189" s="178">
        <v>10</v>
      </c>
      <c r="H189" s="65"/>
      <c r="I189" s="177" t="s">
        <v>249</v>
      </c>
      <c r="J189" s="212" t="s">
        <v>250</v>
      </c>
      <c r="K189" s="248">
        <f>1+8000+677</f>
        <v>8678</v>
      </c>
      <c r="L189" s="65">
        <v>10</v>
      </c>
    </row>
    <row r="190" spans="1:12" ht="12.75">
      <c r="A190" s="65"/>
      <c r="B190" s="176" t="s">
        <v>263</v>
      </c>
      <c r="C190" s="249">
        <v>65</v>
      </c>
      <c r="D190" s="65"/>
      <c r="E190" s="66">
        <v>67.477999999999994</v>
      </c>
      <c r="F190" s="66">
        <f t="shared" si="3"/>
        <v>-2.4779999999999944</v>
      </c>
      <c r="G190" s="178">
        <v>1</v>
      </c>
      <c r="H190" s="65"/>
      <c r="I190" s="177" t="s">
        <v>252</v>
      </c>
      <c r="J190" s="65">
        <v>4132</v>
      </c>
      <c r="K190" s="248">
        <v>8</v>
      </c>
      <c r="L190" s="65"/>
    </row>
    <row r="191" spans="1:12" ht="12.75">
      <c r="A191" s="65"/>
      <c r="B191" s="176" t="s">
        <v>264</v>
      </c>
      <c r="C191" s="249">
        <v>0.2</v>
      </c>
      <c r="D191" s="65"/>
      <c r="E191" s="66">
        <v>0.2</v>
      </c>
      <c r="F191" s="66">
        <f t="shared" si="3"/>
        <v>0</v>
      </c>
      <c r="G191" s="178">
        <v>65</v>
      </c>
      <c r="H191" s="65"/>
      <c r="I191" s="177" t="s">
        <v>254</v>
      </c>
      <c r="J191" s="65">
        <v>2540</v>
      </c>
      <c r="K191" s="234">
        <v>0</v>
      </c>
      <c r="L191" s="65"/>
    </row>
    <row r="192" spans="1:12" ht="12.75">
      <c r="A192" s="65"/>
      <c r="B192" s="176" t="s">
        <v>322</v>
      </c>
      <c r="C192" s="249">
        <v>4.2999999999999997E-2</v>
      </c>
      <c r="D192" s="65"/>
      <c r="E192" s="66"/>
      <c r="F192" s="66"/>
      <c r="G192" s="178"/>
      <c r="H192" s="65"/>
      <c r="I192" s="177" t="s">
        <v>255</v>
      </c>
      <c r="J192" s="65">
        <v>3405</v>
      </c>
      <c r="K192" s="248">
        <v>15</v>
      </c>
      <c r="L192" s="65"/>
    </row>
    <row r="193" spans="1:12" ht="12.75">
      <c r="A193" s="65"/>
      <c r="B193" s="176" t="s">
        <v>265</v>
      </c>
      <c r="C193" s="249">
        <v>4</v>
      </c>
      <c r="D193" s="65"/>
      <c r="E193" s="66">
        <v>4.665</v>
      </c>
      <c r="F193" s="66">
        <f t="shared" ref="F193:F198" si="4">C193-E193</f>
        <v>-0.66500000000000004</v>
      </c>
      <c r="G193" s="178">
        <v>0.2</v>
      </c>
      <c r="H193" s="65"/>
      <c r="I193" s="177" t="s">
        <v>255</v>
      </c>
      <c r="J193" s="65">
        <v>5801</v>
      </c>
      <c r="K193" s="248">
        <v>1</v>
      </c>
      <c r="L193" s="65"/>
    </row>
    <row r="194" spans="1:12" ht="12.75">
      <c r="A194" s="65"/>
      <c r="B194" s="176" t="s">
        <v>266</v>
      </c>
      <c r="C194" s="249">
        <v>0.05</v>
      </c>
      <c r="D194" s="65"/>
      <c r="E194" s="66">
        <v>0.05</v>
      </c>
      <c r="F194" s="66">
        <f t="shared" si="4"/>
        <v>0</v>
      </c>
      <c r="G194" s="178">
        <v>4</v>
      </c>
      <c r="H194" s="65"/>
      <c r="I194" s="177" t="s">
        <v>96</v>
      </c>
      <c r="J194" s="65">
        <v>6589</v>
      </c>
      <c r="K194" s="248">
        <v>1100</v>
      </c>
      <c r="L194" s="65"/>
    </row>
    <row r="195" spans="1:12" ht="12.75">
      <c r="A195" s="65"/>
      <c r="B195" s="66" t="s">
        <v>178</v>
      </c>
      <c r="C195" s="66">
        <v>0</v>
      </c>
      <c r="D195" s="65"/>
      <c r="E195" s="66">
        <v>0</v>
      </c>
      <c r="F195" s="66">
        <f t="shared" si="4"/>
        <v>0</v>
      </c>
      <c r="G195" s="178">
        <v>0.05</v>
      </c>
      <c r="H195" s="65"/>
      <c r="I195" s="177" t="s">
        <v>259</v>
      </c>
      <c r="J195" s="65">
        <v>106</v>
      </c>
      <c r="K195" s="248">
        <v>1068</v>
      </c>
      <c r="L195" s="65"/>
    </row>
    <row r="196" spans="1:12" ht="12.75">
      <c r="A196" s="65"/>
      <c r="B196" s="176" t="s">
        <v>267</v>
      </c>
      <c r="C196" s="176">
        <v>0</v>
      </c>
      <c r="D196" s="65"/>
      <c r="E196" s="66">
        <v>0</v>
      </c>
      <c r="F196" s="66">
        <f t="shared" si="4"/>
        <v>0</v>
      </c>
      <c r="G196" s="178">
        <v>0</v>
      </c>
      <c r="H196" s="65"/>
      <c r="I196" s="177" t="s">
        <v>361</v>
      </c>
      <c r="J196" s="65">
        <v>5053</v>
      </c>
      <c r="K196" s="248">
        <v>330</v>
      </c>
      <c r="L196" s="65"/>
    </row>
    <row r="197" spans="1:12" ht="12.75">
      <c r="B197" t="s">
        <v>268</v>
      </c>
      <c r="C197" s="66">
        <v>0</v>
      </c>
      <c r="D197" s="65" t="s">
        <v>269</v>
      </c>
      <c r="E197" s="66">
        <v>0</v>
      </c>
      <c r="F197" s="66">
        <f t="shared" si="4"/>
        <v>0</v>
      </c>
      <c r="G197" s="178">
        <v>12.5</v>
      </c>
      <c r="H197" s="65"/>
      <c r="I197" s="177" t="s">
        <v>260</v>
      </c>
      <c r="J197" s="65">
        <v>6598</v>
      </c>
      <c r="K197" s="248">
        <v>4206</v>
      </c>
      <c r="L197" s="65" t="s">
        <v>185</v>
      </c>
    </row>
    <row r="198" spans="1:12" ht="12.75">
      <c r="B198" t="s">
        <v>270</v>
      </c>
      <c r="C198" s="66">
        <v>0</v>
      </c>
      <c r="D198" s="65"/>
      <c r="E198" s="66">
        <v>0</v>
      </c>
      <c r="F198" s="66">
        <f t="shared" si="4"/>
        <v>0</v>
      </c>
      <c r="G198" s="178">
        <v>0</v>
      </c>
      <c r="H198" s="65"/>
      <c r="I198" s="66"/>
      <c r="J198" s="65"/>
      <c r="K198" s="179"/>
    </row>
    <row r="199" spans="1:12" ht="12.75">
      <c r="B199"/>
      <c r="C199" s="182">
        <f>SUM(C117:C198)</f>
        <v>416.47399999999999</v>
      </c>
      <c r="D199" s="65"/>
      <c r="E199" s="182">
        <f>SUM(E117:E198)</f>
        <v>472.43299999999999</v>
      </c>
      <c r="F199" s="66">
        <f>C198-E198</f>
        <v>0</v>
      </c>
      <c r="G199" s="177"/>
      <c r="H199" s="65"/>
      <c r="I199" s="65"/>
      <c r="J199" s="65"/>
      <c r="K199" s="181">
        <f>SUM(K117:K198)</f>
        <v>93742</v>
      </c>
    </row>
    <row r="200" spans="1:12" ht="12.75">
      <c r="B200"/>
      <c r="C200" s="66"/>
      <c r="D200" s="65"/>
      <c r="E200" s="65"/>
      <c r="F200" s="65"/>
      <c r="G200" s="65"/>
      <c r="H200" s="65"/>
      <c r="I200" s="65"/>
      <c r="J200" s="65"/>
      <c r="K200" s="65"/>
    </row>
    <row r="201" spans="1:12" ht="12.75">
      <c r="A201" s="183"/>
      <c r="B201"/>
      <c r="C201" s="66"/>
      <c r="D201" s="65"/>
      <c r="E201" s="65"/>
      <c r="F201" s="65"/>
      <c r="G201" s="65"/>
      <c r="H201" s="65"/>
      <c r="I201" s="65"/>
      <c r="J201" s="65"/>
      <c r="K201" s="65"/>
    </row>
    <row r="202" spans="1:12" ht="12.75">
      <c r="B202"/>
      <c r="C202" s="66"/>
      <c r="D202" s="65"/>
      <c r="E202" s="65"/>
      <c r="F202" s="65"/>
      <c r="G202" s="65"/>
      <c r="H202" s="65"/>
      <c r="I202" s="65"/>
      <c r="J202" s="65"/>
      <c r="K202" s="65"/>
    </row>
    <row r="203" spans="1:12" ht="12.75">
      <c r="B203" s="175" t="s">
        <v>7</v>
      </c>
      <c r="C203" s="176">
        <v>0</v>
      </c>
      <c r="D203" s="65"/>
      <c r="E203" s="65"/>
      <c r="F203" s="65"/>
      <c r="G203" s="65"/>
      <c r="H203" s="65"/>
      <c r="I203" s="65"/>
      <c r="J203" s="65"/>
      <c r="K203" s="65"/>
    </row>
    <row r="204" spans="1:12" ht="12.75">
      <c r="B204" s="175" t="s">
        <v>6</v>
      </c>
      <c r="C204" s="176">
        <v>0</v>
      </c>
      <c r="D204" s="65">
        <v>3</v>
      </c>
      <c r="E204" s="65"/>
      <c r="F204" s="65"/>
      <c r="G204" s="65"/>
      <c r="H204" s="65"/>
      <c r="I204" s="65"/>
      <c r="J204" s="65"/>
      <c r="K204" s="65"/>
    </row>
    <row r="205" spans="1:12" ht="12.75">
      <c r="B205" s="175" t="s">
        <v>271</v>
      </c>
      <c r="C205" s="176">
        <v>0</v>
      </c>
      <c r="D205" s="65" t="s">
        <v>272</v>
      </c>
      <c r="E205" s="65"/>
      <c r="F205" s="65"/>
      <c r="G205" s="65"/>
      <c r="H205" s="65"/>
      <c r="I205" s="66"/>
      <c r="J205" s="65"/>
      <c r="K205" s="65"/>
    </row>
    <row r="206" spans="1:12" ht="12.75">
      <c r="B206" s="175" t="s">
        <v>11</v>
      </c>
      <c r="C206" s="176">
        <v>0</v>
      </c>
      <c r="D206" s="65"/>
      <c r="E206" s="65"/>
      <c r="F206" s="65">
        <v>5</v>
      </c>
      <c r="G206" s="65"/>
      <c r="H206" s="65"/>
      <c r="I206" s="65"/>
      <c r="J206" s="65"/>
    </row>
    <row r="207" spans="1:12" ht="12.75">
      <c r="B207" s="175" t="s">
        <v>187</v>
      </c>
      <c r="C207" s="176">
        <v>0</v>
      </c>
      <c r="D207" s="65" t="s">
        <v>273</v>
      </c>
      <c r="E207" s="65"/>
      <c r="F207" s="65">
        <v>10</v>
      </c>
      <c r="G207" s="65"/>
      <c r="H207" s="65"/>
      <c r="I207" s="65"/>
      <c r="J207" s="65"/>
    </row>
    <row r="208" spans="1:12" ht="12.75">
      <c r="B208" s="175" t="s">
        <v>201</v>
      </c>
      <c r="C208" s="176">
        <v>0</v>
      </c>
      <c r="D208" s="65"/>
      <c r="E208" s="65"/>
      <c r="F208" s="65"/>
      <c r="G208" s="65"/>
      <c r="H208" s="65"/>
      <c r="I208" s="65"/>
      <c r="J208" s="65"/>
    </row>
    <row r="209" spans="1:19" ht="12.75">
      <c r="B209" s="175" t="s">
        <v>16</v>
      </c>
      <c r="C209" s="176">
        <v>0</v>
      </c>
      <c r="D209" s="65"/>
      <c r="E209" s="65"/>
      <c r="F209" s="65"/>
      <c r="G209" s="65"/>
      <c r="H209" s="65"/>
      <c r="I209" s="65"/>
      <c r="J209" s="65"/>
    </row>
    <row r="210" spans="1:19" ht="12.75">
      <c r="B210" s="175" t="s">
        <v>14</v>
      </c>
      <c r="C210" s="176">
        <v>0</v>
      </c>
      <c r="D210" s="65" t="s">
        <v>272</v>
      </c>
      <c r="E210" s="65"/>
      <c r="F210" s="65">
        <v>5</v>
      </c>
      <c r="G210" s="65"/>
      <c r="H210" s="65"/>
      <c r="I210" s="65"/>
      <c r="J210" s="65"/>
    </row>
    <row r="211" spans="1:19" ht="12.75">
      <c r="A211" s="12" t="s">
        <v>274</v>
      </c>
      <c r="B211" s="175" t="s">
        <v>18</v>
      </c>
      <c r="C211" s="176">
        <v>0</v>
      </c>
      <c r="D211" s="65" t="s">
        <v>272</v>
      </c>
      <c r="E211" s="65"/>
      <c r="F211" s="65">
        <v>15</v>
      </c>
      <c r="G211" s="65"/>
      <c r="H211" s="65"/>
      <c r="I211" s="65"/>
      <c r="J211" s="65"/>
    </row>
    <row r="212" spans="1:19" ht="12.75">
      <c r="B212" t="s">
        <v>216</v>
      </c>
      <c r="C212" s="66">
        <v>0</v>
      </c>
      <c r="D212" s="65" t="s">
        <v>272</v>
      </c>
      <c r="E212" s="65"/>
      <c r="F212" s="65">
        <v>15</v>
      </c>
      <c r="G212" s="65"/>
      <c r="H212" s="65"/>
      <c r="I212" s="65"/>
      <c r="J212" s="65"/>
    </row>
    <row r="213" spans="1:19" ht="12.75">
      <c r="B213" s="175" t="s">
        <v>233</v>
      </c>
      <c r="C213" s="176">
        <v>0</v>
      </c>
      <c r="D213" s="65"/>
      <c r="E213" s="65"/>
      <c r="F213" s="65">
        <v>5</v>
      </c>
      <c r="G213" s="65"/>
      <c r="H213" s="65"/>
      <c r="I213" s="65"/>
      <c r="J213" s="65"/>
    </row>
    <row r="214" spans="1:19" ht="12.75">
      <c r="B214" s="175" t="s">
        <v>275</v>
      </c>
      <c r="C214" s="176">
        <v>0</v>
      </c>
      <c r="D214" s="65" t="s">
        <v>276</v>
      </c>
      <c r="E214" s="65"/>
      <c r="F214" s="65"/>
      <c r="G214" s="65"/>
      <c r="H214" s="65"/>
      <c r="I214" s="65"/>
      <c r="J214" s="65"/>
    </row>
    <row r="215" spans="1:19" ht="12.75">
      <c r="B215" t="s">
        <v>258</v>
      </c>
      <c r="C215" s="178">
        <v>0</v>
      </c>
      <c r="D215" s="65"/>
      <c r="E215" s="65"/>
      <c r="F215" s="65">
        <f>SUM(F206:F214)</f>
        <v>55</v>
      </c>
      <c r="G215" s="65"/>
      <c r="H215" s="65"/>
      <c r="I215" s="65"/>
      <c r="J215" s="65"/>
    </row>
    <row r="216" spans="1:19" ht="12.75">
      <c r="B216" t="s">
        <v>26</v>
      </c>
      <c r="C216" s="178">
        <v>0</v>
      </c>
      <c r="D216" s="65"/>
      <c r="E216" s="65"/>
      <c r="F216" s="65"/>
      <c r="G216" s="65"/>
      <c r="H216" s="65"/>
      <c r="I216" s="66"/>
      <c r="J216" s="65"/>
    </row>
    <row r="217" spans="1:19" ht="12.75">
      <c r="B217" t="s">
        <v>267</v>
      </c>
      <c r="C217" s="178">
        <v>0</v>
      </c>
      <c r="D217" s="65"/>
      <c r="E217" s="65"/>
      <c r="F217" s="65"/>
      <c r="G217" s="65"/>
      <c r="H217" s="65"/>
      <c r="I217" s="66"/>
      <c r="J217" s="65"/>
    </row>
    <row r="218" spans="1:19" ht="12.75">
      <c r="B218" t="s">
        <v>277</v>
      </c>
      <c r="C218" s="178">
        <v>0</v>
      </c>
      <c r="D218" s="65"/>
      <c r="E218" s="65"/>
      <c r="F218" s="65"/>
      <c r="G218" s="65"/>
      <c r="H218" s="65"/>
      <c r="I218" s="65"/>
      <c r="J218" s="65"/>
    </row>
    <row r="219" spans="1:19" ht="12.75">
      <c r="B219" t="s">
        <v>278</v>
      </c>
      <c r="C219" s="184">
        <f>SUM(C203:C218)</f>
        <v>0</v>
      </c>
      <c r="D219" s="65"/>
      <c r="F219" s="65"/>
      <c r="G219" s="65"/>
      <c r="H219" s="65"/>
      <c r="I219" s="65"/>
      <c r="J219" s="65"/>
    </row>
    <row r="220" spans="1:19" ht="12.75">
      <c r="B220" s="45"/>
      <c r="C220" s="45"/>
      <c r="I220" s="65"/>
      <c r="J220" s="65"/>
    </row>
    <row r="221" spans="1:19" ht="12.75">
      <c r="B221"/>
      <c r="C221">
        <f>C199+C219</f>
        <v>416.47399999999999</v>
      </c>
      <c r="I221" s="65"/>
      <c r="J221" s="65"/>
    </row>
    <row r="222" spans="1:19" ht="12.75">
      <c r="B222"/>
      <c r="C222"/>
      <c r="I222" s="65"/>
      <c r="J222" s="65"/>
    </row>
    <row r="223" spans="1:19" ht="12.75">
      <c r="B223"/>
      <c r="C223">
        <f>E199-C221</f>
        <v>55.959000000000003</v>
      </c>
      <c r="G223" s="185" t="s">
        <v>279</v>
      </c>
      <c r="H223" s="186"/>
      <c r="I223" s="65"/>
      <c r="J223" s="65"/>
      <c r="Q223" s="186"/>
      <c r="R223" s="186"/>
      <c r="S223" s="187"/>
    </row>
    <row r="224" spans="1:19" ht="12.75">
      <c r="B224"/>
      <c r="C224"/>
      <c r="G224" s="188"/>
      <c r="H224" s="189" t="s">
        <v>280</v>
      </c>
      <c r="I224" s="65"/>
      <c r="J224" s="65"/>
      <c r="N224" s="186"/>
      <c r="O224" s="186"/>
      <c r="P224" s="186"/>
      <c r="Q224" s="190"/>
      <c r="R224" s="190"/>
      <c r="S224" s="158"/>
    </row>
    <row r="225" spans="2:19">
      <c r="G225" s="191"/>
      <c r="H225" s="74"/>
      <c r="I225" s="65"/>
      <c r="J225" s="65"/>
      <c r="N225" s="190"/>
      <c r="O225" s="190"/>
      <c r="P225" s="190"/>
      <c r="Q225" s="74"/>
      <c r="R225" s="74"/>
      <c r="S225" s="161"/>
    </row>
    <row r="226" spans="2:19">
      <c r="G226" s="191"/>
      <c r="H226" s="74"/>
      <c r="I226" s="65"/>
      <c r="J226" s="65"/>
      <c r="N226" s="74"/>
      <c r="O226" s="74"/>
      <c r="P226" s="74"/>
      <c r="Q226" s="74"/>
      <c r="R226" s="74"/>
      <c r="S226" s="161"/>
    </row>
    <row r="227" spans="2:19" ht="12.75">
      <c r="B227"/>
      <c r="C227" s="195"/>
      <c r="G227" s="191"/>
      <c r="H227" s="74"/>
      <c r="I227" s="65"/>
      <c r="J227" s="65"/>
      <c r="N227" s="74"/>
      <c r="O227" s="74"/>
      <c r="P227" s="74"/>
      <c r="Q227" s="74"/>
      <c r="R227" s="74"/>
      <c r="S227" s="161"/>
    </row>
    <row r="228" spans="2:19" ht="12.75">
      <c r="B228"/>
      <c r="C228" s="195"/>
      <c r="G228" s="191"/>
      <c r="H228" s="74"/>
      <c r="I228" s="65"/>
      <c r="J228" s="65"/>
      <c r="N228" s="74"/>
      <c r="O228" s="74"/>
      <c r="P228" s="74"/>
      <c r="Q228" s="74"/>
      <c r="R228" s="74"/>
      <c r="S228" s="161"/>
    </row>
    <row r="229" spans="2:19" ht="12.75">
      <c r="B229"/>
      <c r="C229" s="195"/>
      <c r="G229" s="191"/>
      <c r="H229" s="74"/>
      <c r="I229" s="65"/>
      <c r="J229" s="65"/>
      <c r="M229" s="186"/>
      <c r="N229" s="74"/>
      <c r="O229" s="74"/>
      <c r="P229" s="74"/>
      <c r="Q229" s="74"/>
      <c r="R229" s="74"/>
      <c r="S229" s="161"/>
    </row>
    <row r="230" spans="2:19" ht="12.75">
      <c r="B230"/>
      <c r="C230" s="195"/>
      <c r="G230" s="191"/>
      <c r="H230" s="74"/>
      <c r="I230" s="65"/>
      <c r="J230" s="65"/>
      <c r="M230" s="190"/>
      <c r="N230" s="74"/>
      <c r="O230" s="74"/>
      <c r="P230" s="74"/>
      <c r="Q230" s="74"/>
      <c r="R230" s="74"/>
      <c r="S230" s="161"/>
    </row>
    <row r="231" spans="2:19" ht="12.75">
      <c r="B231"/>
      <c r="C231" s="195"/>
      <c r="G231" s="191"/>
      <c r="H231" s="74"/>
      <c r="M231" s="74"/>
      <c r="N231" s="74"/>
      <c r="O231" s="74"/>
      <c r="P231" s="74"/>
      <c r="Q231" s="74"/>
      <c r="R231" s="74"/>
      <c r="S231" s="161"/>
    </row>
    <row r="232" spans="2:19" ht="12.75">
      <c r="B232"/>
      <c r="C232" s="195"/>
      <c r="G232" s="191"/>
      <c r="H232" s="74"/>
      <c r="L232" s="186"/>
      <c r="M232" s="74"/>
      <c r="N232" s="74"/>
      <c r="O232" s="74"/>
      <c r="P232" s="74"/>
      <c r="Q232" s="74"/>
      <c r="R232" s="74"/>
      <c r="S232" s="161"/>
    </row>
    <row r="233" spans="2:19" ht="12.75">
      <c r="B233"/>
      <c r="C233" s="195"/>
      <c r="G233" s="191"/>
      <c r="H233" s="74" t="s">
        <v>288</v>
      </c>
      <c r="L233" s="190"/>
      <c r="M233" s="74"/>
      <c r="N233" s="74"/>
      <c r="O233" s="74"/>
      <c r="P233" s="74"/>
      <c r="Q233" s="74"/>
      <c r="R233" s="74"/>
      <c r="S233" s="161"/>
    </row>
    <row r="234" spans="2:19" ht="12.75">
      <c r="B234"/>
      <c r="C234" s="195"/>
      <c r="G234" s="191"/>
      <c r="H234" s="74"/>
      <c r="L234" s="74"/>
      <c r="M234" s="74"/>
      <c r="N234" s="74"/>
      <c r="O234" s="74"/>
      <c r="P234" s="74"/>
      <c r="Q234" s="74"/>
      <c r="R234" s="74"/>
      <c r="S234" s="161"/>
    </row>
    <row r="235" spans="2:19" ht="12.75">
      <c r="B235"/>
      <c r="C235" s="195"/>
      <c r="G235" s="191"/>
      <c r="H235" s="74"/>
      <c r="I235" s="186"/>
      <c r="J235" s="186"/>
      <c r="K235" s="186"/>
      <c r="L235" s="74"/>
      <c r="M235" s="74"/>
      <c r="N235" s="74"/>
      <c r="O235" s="74"/>
      <c r="P235" s="74"/>
      <c r="Q235" s="74"/>
      <c r="R235" s="74"/>
      <c r="S235" s="161"/>
    </row>
    <row r="236" spans="2:19" ht="12.75">
      <c r="B236"/>
      <c r="C236" s="195"/>
      <c r="G236" s="191"/>
      <c r="H236" s="74"/>
      <c r="I236" s="192"/>
      <c r="J236" s="193"/>
      <c r="K236" s="190"/>
      <c r="L236" s="74"/>
      <c r="M236" s="74"/>
      <c r="N236" s="74"/>
      <c r="O236" s="74"/>
      <c r="P236" s="74"/>
      <c r="Q236" s="74"/>
      <c r="R236" s="74"/>
      <c r="S236" s="161"/>
    </row>
    <row r="237" spans="2:19" ht="12.75">
      <c r="B237"/>
      <c r="C237" s="195"/>
      <c r="G237" s="191"/>
      <c r="H237" s="74"/>
      <c r="I237" s="68" t="s">
        <v>281</v>
      </c>
      <c r="J237" s="194">
        <v>0</v>
      </c>
      <c r="K237" s="74"/>
      <c r="L237" s="74"/>
      <c r="M237" s="74"/>
      <c r="N237" s="74"/>
      <c r="O237" s="74"/>
      <c r="P237" s="74"/>
      <c r="Q237" s="74"/>
      <c r="R237" s="74"/>
      <c r="S237" s="161"/>
    </row>
    <row r="238" spans="2:19" ht="12.75">
      <c r="B238"/>
      <c r="C238" s="195"/>
      <c r="G238" s="191"/>
      <c r="H238" s="74"/>
      <c r="I238" s="74" t="s">
        <v>282</v>
      </c>
      <c r="J238" s="196">
        <v>0</v>
      </c>
      <c r="K238" s="74"/>
      <c r="L238" s="74"/>
      <c r="M238" s="74"/>
      <c r="N238" s="74"/>
      <c r="O238" s="74"/>
      <c r="P238" s="74"/>
      <c r="Q238" s="74"/>
      <c r="R238" s="74"/>
      <c r="S238" s="161"/>
    </row>
    <row r="239" spans="2:19" ht="12.75">
      <c r="B239"/>
      <c r="C239" s="195"/>
      <c r="G239" s="191"/>
      <c r="H239" s="74"/>
      <c r="I239" s="74" t="s">
        <v>283</v>
      </c>
      <c r="J239" s="196">
        <v>0</v>
      </c>
      <c r="K239" s="74"/>
      <c r="L239" s="74"/>
      <c r="M239" s="74"/>
      <c r="N239" s="74"/>
      <c r="O239" s="74"/>
      <c r="P239" s="74"/>
      <c r="Q239" s="74"/>
      <c r="R239" s="74"/>
      <c r="S239" s="161"/>
    </row>
    <row r="240" spans="2:19" ht="12.75">
      <c r="B240"/>
      <c r="C240" s="195"/>
      <c r="G240" s="191"/>
      <c r="H240" s="74"/>
      <c r="I240" s="74" t="s">
        <v>284</v>
      </c>
      <c r="J240" s="196">
        <v>0</v>
      </c>
      <c r="K240" s="74"/>
      <c r="L240" s="74"/>
      <c r="M240" s="74"/>
      <c r="N240" s="74"/>
      <c r="O240" s="74"/>
      <c r="P240" s="74"/>
      <c r="Q240" s="74"/>
      <c r="R240" s="74"/>
      <c r="S240" s="161"/>
    </row>
    <row r="241" spans="2:19" ht="12.75">
      <c r="B241"/>
      <c r="C241" s="195"/>
      <c r="G241" s="191"/>
      <c r="H241" s="74"/>
      <c r="I241" s="74" t="s">
        <v>285</v>
      </c>
      <c r="J241" s="196">
        <v>0</v>
      </c>
      <c r="K241" s="74"/>
      <c r="L241" s="74"/>
      <c r="M241" s="74"/>
      <c r="N241" s="74"/>
      <c r="O241" s="74"/>
      <c r="P241" s="74"/>
      <c r="Q241" s="74"/>
      <c r="R241" s="74"/>
      <c r="S241" s="161"/>
    </row>
    <row r="242" spans="2:19" ht="12.75">
      <c r="B242" s="45"/>
      <c r="C242" s="198"/>
      <c r="G242" s="191"/>
      <c r="H242" s="74"/>
      <c r="I242" s="74" t="s">
        <v>286</v>
      </c>
      <c r="J242" s="196">
        <v>0</v>
      </c>
      <c r="K242" s="74"/>
      <c r="L242" s="74"/>
      <c r="M242" s="74"/>
      <c r="N242" s="74"/>
      <c r="O242" s="74"/>
      <c r="P242" s="74"/>
      <c r="Q242" s="74"/>
      <c r="R242" s="74"/>
      <c r="S242" s="161"/>
    </row>
    <row r="243" spans="2:19" ht="12.75">
      <c r="B243"/>
      <c r="C243" s="195"/>
      <c r="G243" s="191"/>
      <c r="H243" s="74"/>
      <c r="I243" s="74" t="s">
        <v>287</v>
      </c>
      <c r="J243" s="197">
        <v>0</v>
      </c>
      <c r="K243" s="74"/>
      <c r="L243" s="74"/>
      <c r="M243" s="74"/>
      <c r="N243" s="74"/>
      <c r="O243" s="74"/>
      <c r="P243" s="74"/>
      <c r="Q243" s="74"/>
      <c r="R243" s="74"/>
      <c r="S243" s="161"/>
    </row>
    <row r="244" spans="2:19" ht="12.75">
      <c r="B244"/>
      <c r="C244" s="195"/>
      <c r="G244" s="191"/>
      <c r="H244" s="74"/>
      <c r="I244" s="74"/>
      <c r="J244" s="196">
        <f>SUM(J237:J243)</f>
        <v>0</v>
      </c>
      <c r="K244" s="74"/>
      <c r="L244" s="74"/>
      <c r="M244" s="74"/>
      <c r="N244" s="74"/>
      <c r="O244" s="74"/>
      <c r="P244" s="74"/>
      <c r="Q244" s="74"/>
      <c r="R244" s="74"/>
      <c r="S244" s="161"/>
    </row>
    <row r="245" spans="2:19" ht="12.75">
      <c r="B245"/>
      <c r="C245" s="195"/>
      <c r="G245" s="191"/>
      <c r="H245" s="74" t="s">
        <v>298</v>
      </c>
      <c r="I245" s="74"/>
      <c r="J245" s="196"/>
      <c r="K245" s="74"/>
      <c r="L245" s="74"/>
      <c r="M245" s="74"/>
      <c r="N245" s="74"/>
      <c r="O245" s="74"/>
      <c r="P245" s="74"/>
      <c r="Q245" s="74"/>
      <c r="R245" s="74"/>
      <c r="S245" s="161"/>
    </row>
    <row r="246" spans="2:19" ht="12.75">
      <c r="B246"/>
      <c r="C246" s="195"/>
      <c r="G246" s="191"/>
      <c r="H246" s="74"/>
      <c r="I246" s="74" t="s">
        <v>289</v>
      </c>
      <c r="J246" s="196">
        <v>0</v>
      </c>
      <c r="K246" s="74"/>
      <c r="L246" s="74"/>
      <c r="M246" s="74"/>
      <c r="N246" s="74"/>
      <c r="O246" s="74"/>
      <c r="P246" s="74"/>
      <c r="Q246" s="74" t="s">
        <v>299</v>
      </c>
      <c r="R246" s="74"/>
      <c r="S246" s="161"/>
    </row>
    <row r="247" spans="2:19" ht="12.75">
      <c r="B247"/>
      <c r="C247" s="195"/>
      <c r="G247" s="191"/>
      <c r="H247" s="74"/>
      <c r="I247" s="74" t="s">
        <v>290</v>
      </c>
      <c r="J247" s="196">
        <v>0</v>
      </c>
      <c r="K247" s="74"/>
      <c r="L247" s="74"/>
      <c r="M247" s="74"/>
      <c r="N247" s="74"/>
      <c r="O247" s="74"/>
      <c r="P247" s="196">
        <v>-31732</v>
      </c>
      <c r="Q247" s="74"/>
      <c r="R247" s="74"/>
      <c r="S247" s="161"/>
    </row>
    <row r="248" spans="2:19" ht="12.75">
      <c r="B248"/>
      <c r="C248" s="195"/>
      <c r="G248" s="191"/>
      <c r="H248" s="74"/>
      <c r="I248" s="74" t="s">
        <v>291</v>
      </c>
      <c r="J248" s="196">
        <v>0</v>
      </c>
      <c r="K248" s="74"/>
      <c r="L248" s="74"/>
      <c r="M248" s="74"/>
      <c r="N248" s="74"/>
      <c r="O248" s="74"/>
      <c r="P248" s="196"/>
      <c r="Q248" s="74"/>
      <c r="R248" s="74"/>
      <c r="S248" s="161"/>
    </row>
    <row r="249" spans="2:19" ht="12.75">
      <c r="B249"/>
      <c r="C249" s="195"/>
      <c r="G249" s="191"/>
      <c r="H249" s="74"/>
      <c r="I249" s="74" t="s">
        <v>292</v>
      </c>
      <c r="J249" s="196">
        <v>0</v>
      </c>
      <c r="K249" s="74"/>
      <c r="L249" s="74"/>
      <c r="M249" s="74"/>
      <c r="N249" s="74"/>
      <c r="O249" s="74"/>
      <c r="P249" s="196"/>
      <c r="Q249" s="74" t="s">
        <v>38</v>
      </c>
      <c r="R249" s="74"/>
      <c r="S249" s="161"/>
    </row>
    <row r="250" spans="2:19" ht="12.75">
      <c r="B250"/>
      <c r="C250" s="195"/>
      <c r="G250" s="191"/>
      <c r="H250" s="74"/>
      <c r="I250" s="74" t="s">
        <v>293</v>
      </c>
      <c r="J250" s="196">
        <v>0</v>
      </c>
      <c r="K250" s="74"/>
      <c r="L250" s="74"/>
      <c r="M250" s="74"/>
      <c r="N250" s="74" t="s">
        <v>302</v>
      </c>
      <c r="O250" s="74"/>
      <c r="P250" s="196">
        <f>K267</f>
        <v>-4368</v>
      </c>
      <c r="Q250" s="74" t="s">
        <v>304</v>
      </c>
      <c r="R250" s="74"/>
      <c r="S250" s="161"/>
    </row>
    <row r="251" spans="2:19" ht="12.75">
      <c r="B251"/>
      <c r="C251" s="195"/>
      <c r="G251" s="191"/>
      <c r="H251" s="74"/>
      <c r="I251" s="74" t="s">
        <v>294</v>
      </c>
      <c r="J251" s="196">
        <v>0</v>
      </c>
      <c r="K251" s="74"/>
      <c r="L251" s="74"/>
      <c r="M251" s="74"/>
      <c r="N251" s="74"/>
      <c r="O251" s="74"/>
      <c r="P251" s="197">
        <v>-2500</v>
      </c>
      <c r="Q251" s="74"/>
      <c r="R251" s="74"/>
      <c r="S251" s="161"/>
    </row>
    <row r="252" spans="2:19" ht="12.75">
      <c r="B252"/>
      <c r="C252" s="195"/>
      <c r="G252" s="191"/>
      <c r="H252" s="74"/>
      <c r="I252" s="74" t="s">
        <v>295</v>
      </c>
      <c r="J252" s="196">
        <v>0</v>
      </c>
      <c r="K252" s="74"/>
      <c r="L252" s="74"/>
      <c r="M252" s="196">
        <v>525707</v>
      </c>
      <c r="N252" s="74" t="s">
        <v>306</v>
      </c>
      <c r="O252" s="74"/>
      <c r="P252" s="74"/>
      <c r="Q252" s="74" t="s">
        <v>308</v>
      </c>
      <c r="R252" s="74"/>
      <c r="S252" s="161"/>
    </row>
    <row r="253" spans="2:19" ht="12.75">
      <c r="B253"/>
      <c r="C253"/>
      <c r="G253" s="191"/>
      <c r="H253" s="74"/>
      <c r="I253" s="74" t="s">
        <v>296</v>
      </c>
      <c r="J253" s="196">
        <v>0</v>
      </c>
      <c r="K253" s="74"/>
      <c r="L253" s="74"/>
      <c r="M253" s="196"/>
      <c r="N253" s="74"/>
      <c r="O253" s="196"/>
      <c r="P253" s="196">
        <f>SUM(P247:P251)</f>
        <v>-38600</v>
      </c>
      <c r="Q253" s="74"/>
      <c r="R253" s="74"/>
      <c r="S253" s="161"/>
    </row>
    <row r="254" spans="2:19" ht="12.75">
      <c r="B254"/>
      <c r="C254"/>
      <c r="G254" s="191"/>
      <c r="H254" s="74"/>
      <c r="I254" s="74" t="s">
        <v>297</v>
      </c>
      <c r="J254" s="197">
        <v>0</v>
      </c>
      <c r="K254" s="74"/>
      <c r="L254" s="74"/>
      <c r="M254" s="196"/>
      <c r="N254" s="74"/>
      <c r="O254" s="74"/>
      <c r="P254" s="74"/>
      <c r="Q254" s="74"/>
      <c r="R254" s="74"/>
      <c r="S254" s="204">
        <f>22000+P255</f>
        <v>15133</v>
      </c>
    </row>
    <row r="255" spans="2:19" ht="12.75">
      <c r="B255"/>
      <c r="C255"/>
      <c r="G255" s="191"/>
      <c r="H255" s="74"/>
      <c r="I255" s="74"/>
      <c r="J255" s="196">
        <f>SUM(J244:J254)</f>
        <v>0</v>
      </c>
      <c r="K255" s="74"/>
      <c r="L255" s="74"/>
      <c r="M255" s="196">
        <v>493974</v>
      </c>
      <c r="N255" s="74"/>
      <c r="O255" s="74"/>
      <c r="P255" s="203">
        <f>P253+M257</f>
        <v>-6867</v>
      </c>
      <c r="Q255" s="74"/>
      <c r="R255" s="74"/>
      <c r="S255" s="161"/>
    </row>
    <row r="256" spans="2:19" ht="12.75">
      <c r="B256"/>
      <c r="C256"/>
      <c r="G256" s="191"/>
      <c r="H256" s="74"/>
      <c r="I256" s="74"/>
      <c r="J256" s="196"/>
      <c r="K256" s="74"/>
      <c r="L256" s="74"/>
      <c r="M256" s="196"/>
      <c r="N256" s="74"/>
      <c r="O256" s="74"/>
      <c r="P256" s="74"/>
      <c r="Q256" s="74"/>
      <c r="R256" s="74"/>
      <c r="S256" s="161"/>
    </row>
    <row r="257" spans="2:19" ht="12.75">
      <c r="B257"/>
      <c r="C257"/>
      <c r="G257" s="191"/>
      <c r="H257" s="74"/>
      <c r="I257" s="74"/>
      <c r="J257" s="196"/>
      <c r="K257" s="74"/>
      <c r="L257" s="74"/>
      <c r="M257" s="196">
        <f>M252-M255</f>
        <v>31733</v>
      </c>
      <c r="N257" s="74"/>
      <c r="O257" s="74"/>
      <c r="P257" s="74"/>
      <c r="Q257" s="74"/>
      <c r="R257" s="74"/>
      <c r="S257" s="161"/>
    </row>
    <row r="258" spans="2:19" ht="12.75">
      <c r="B258" s="45"/>
      <c r="C258" s="45"/>
      <c r="G258" s="191"/>
      <c r="H258" s="74" t="s">
        <v>313</v>
      </c>
      <c r="I258" s="74" t="s">
        <v>300</v>
      </c>
      <c r="J258" s="199">
        <v>-862</v>
      </c>
      <c r="K258" s="74"/>
      <c r="L258" s="74"/>
      <c r="M258" s="74"/>
      <c r="N258" s="74"/>
      <c r="O258" s="74"/>
      <c r="P258" s="74"/>
      <c r="Q258" s="74"/>
      <c r="R258" s="74"/>
      <c r="S258" s="161"/>
    </row>
    <row r="259" spans="2:19" ht="12.75">
      <c r="B259"/>
      <c r="C259"/>
      <c r="G259" s="191"/>
      <c r="H259" s="74"/>
      <c r="I259" s="200" t="s">
        <v>300</v>
      </c>
      <c r="J259" s="201">
        <v>-1</v>
      </c>
      <c r="K259" s="74"/>
      <c r="L259" s="74"/>
      <c r="M259" s="74"/>
      <c r="N259" s="74"/>
      <c r="O259" s="74"/>
      <c r="P259" s="74"/>
      <c r="Q259" s="74"/>
      <c r="R259" s="74"/>
      <c r="S259" s="161"/>
    </row>
    <row r="260" spans="2:19" ht="12.75">
      <c r="B260"/>
      <c r="C260"/>
      <c r="G260" s="191"/>
      <c r="H260" s="74"/>
      <c r="I260" s="200" t="s">
        <v>301</v>
      </c>
      <c r="J260" s="201">
        <v>-1</v>
      </c>
      <c r="K260" s="74"/>
      <c r="L260" s="74"/>
      <c r="M260" s="203">
        <f>M257+K267</f>
        <v>27365</v>
      </c>
      <c r="N260" s="74"/>
      <c r="O260" s="74"/>
      <c r="P260" s="74"/>
      <c r="Q260" s="74"/>
      <c r="R260" s="74"/>
      <c r="S260" s="161"/>
    </row>
    <row r="261" spans="2:19" ht="12.75">
      <c r="B261"/>
      <c r="C261"/>
      <c r="G261" s="191"/>
      <c r="H261" s="205" t="s">
        <v>315</v>
      </c>
      <c r="I261" s="137" t="s">
        <v>303</v>
      </c>
      <c r="J261" s="202">
        <v>-1500</v>
      </c>
      <c r="K261" s="74"/>
      <c r="L261" s="74"/>
      <c r="M261" s="203"/>
      <c r="N261" s="74"/>
      <c r="O261" s="74"/>
      <c r="P261" s="74"/>
      <c r="Q261" s="74"/>
      <c r="R261" s="74"/>
      <c r="S261" s="161"/>
    </row>
    <row r="262" spans="2:19" ht="12.75">
      <c r="B262"/>
      <c r="C262"/>
      <c r="G262" s="206"/>
      <c r="H262" s="207"/>
      <c r="I262" s="200" t="s">
        <v>305</v>
      </c>
      <c r="J262" s="201">
        <v>-1</v>
      </c>
      <c r="K262" s="74"/>
      <c r="L262" s="74"/>
      <c r="M262" s="203"/>
      <c r="N262" s="74"/>
      <c r="O262" s="74"/>
      <c r="P262" s="74"/>
      <c r="Q262" s="207"/>
      <c r="R262" s="207"/>
      <c r="S262" s="153"/>
    </row>
    <row r="263" spans="2:19" ht="12.75">
      <c r="B263"/>
      <c r="C263"/>
      <c r="I263" s="200" t="s">
        <v>307</v>
      </c>
      <c r="J263" s="201">
        <v>-1</v>
      </c>
      <c r="K263" s="74"/>
      <c r="L263" s="74"/>
      <c r="M263" s="74"/>
      <c r="N263" s="207"/>
      <c r="O263" s="207"/>
      <c r="P263" s="207"/>
    </row>
    <row r="264" spans="2:19" ht="12.75">
      <c r="B264" s="45"/>
      <c r="C264" s="45"/>
      <c r="I264" s="137" t="s">
        <v>309</v>
      </c>
      <c r="J264" s="202">
        <v>-1000</v>
      </c>
      <c r="K264" s="74"/>
      <c r="L264" s="74"/>
      <c r="M264" s="74"/>
    </row>
    <row r="265" spans="2:19" ht="12.75">
      <c r="B265"/>
      <c r="C265"/>
      <c r="I265" s="200" t="s">
        <v>310</v>
      </c>
      <c r="J265" s="201">
        <v>-1</v>
      </c>
      <c r="K265" s="74"/>
      <c r="L265" s="74"/>
      <c r="M265" s="74"/>
    </row>
    <row r="266" spans="2:19" ht="12.75">
      <c r="B266" s="66"/>
      <c r="C266" s="66"/>
      <c r="I266" s="137" t="s">
        <v>311</v>
      </c>
      <c r="J266" s="202">
        <v>-1000</v>
      </c>
      <c r="K266" s="74"/>
      <c r="L266" s="74"/>
      <c r="M266" s="74"/>
    </row>
    <row r="267" spans="2:19" ht="12.75">
      <c r="B267"/>
      <c r="C267"/>
      <c r="I267" s="200" t="s">
        <v>102</v>
      </c>
      <c r="J267" s="201">
        <v>-1</v>
      </c>
      <c r="K267" s="203">
        <f>SUM(J258:J267)</f>
        <v>-4368</v>
      </c>
      <c r="L267" s="74"/>
      <c r="M267" s="74"/>
    </row>
    <row r="268" spans="2:19" ht="12.75">
      <c r="B268"/>
      <c r="C268"/>
      <c r="I268" s="74" t="s">
        <v>312</v>
      </c>
      <c r="J268" s="197">
        <f>-M257-K267</f>
        <v>-27365</v>
      </c>
      <c r="K268" s="203"/>
      <c r="L268" s="74"/>
      <c r="M268" s="207"/>
    </row>
    <row r="269" spans="2:19" ht="12.75">
      <c r="B269"/>
      <c r="C269"/>
      <c r="I269" s="74"/>
      <c r="J269" s="196">
        <f>SUM(J255:J268)</f>
        <v>-31733</v>
      </c>
      <c r="K269" s="74"/>
      <c r="L269" s="74"/>
    </row>
    <row r="270" spans="2:19" ht="12.75">
      <c r="B270"/>
      <c r="C270"/>
      <c r="I270" s="74"/>
      <c r="J270" s="196"/>
      <c r="K270" s="74"/>
      <c r="L270" s="74"/>
    </row>
    <row r="271" spans="2:19" ht="12.75">
      <c r="B271"/>
      <c r="C271"/>
      <c r="I271" s="74" t="s">
        <v>314</v>
      </c>
      <c r="J271" s="196">
        <v>3915</v>
      </c>
      <c r="K271" s="74"/>
      <c r="L271" s="207"/>
    </row>
    <row r="272" spans="2:19" ht="12.75">
      <c r="B272"/>
      <c r="C272"/>
      <c r="I272" s="74"/>
      <c r="J272" s="196"/>
      <c r="K272" s="74"/>
    </row>
    <row r="273" spans="2:11" ht="13.5" thickBot="1">
      <c r="B273"/>
      <c r="C273"/>
      <c r="I273" s="74"/>
      <c r="J273" s="208">
        <f>SUM(J269:J272)</f>
        <v>-27818</v>
      </c>
      <c r="K273" s="74"/>
    </row>
    <row r="274" spans="2:11" ht="13.5" thickTop="1">
      <c r="B274"/>
      <c r="C274"/>
      <c r="I274" s="207"/>
      <c r="J274" s="197"/>
      <c r="K274" s="207"/>
    </row>
    <row r="275" spans="2:11" ht="12.75">
      <c r="B275"/>
      <c r="C275"/>
      <c r="J275" s="209"/>
    </row>
    <row r="276" spans="2:11" ht="12.75">
      <c r="B276"/>
      <c r="C276"/>
      <c r="J276" s="209"/>
    </row>
    <row r="277" spans="2:11" ht="12.75">
      <c r="B277"/>
      <c r="C277"/>
      <c r="J277" s="209">
        <f>551878-11621</f>
        <v>540257</v>
      </c>
    </row>
    <row r="278" spans="2:11" ht="12.75">
      <c r="B278"/>
      <c r="C278"/>
      <c r="J278" s="209"/>
    </row>
    <row r="279" spans="2:11" ht="12.75">
      <c r="B279"/>
      <c r="C279"/>
      <c r="J279" s="209"/>
    </row>
    <row r="280" spans="2:11" ht="12.75">
      <c r="B280"/>
      <c r="C280"/>
      <c r="J280" s="209"/>
    </row>
    <row r="281" spans="2:11" ht="12.75">
      <c r="B281"/>
      <c r="C281"/>
      <c r="J281" s="209"/>
    </row>
    <row r="282" spans="2:11" ht="12.75">
      <c r="B282"/>
      <c r="C282"/>
      <c r="J282" s="209"/>
    </row>
    <row r="283" spans="2:11" ht="12.75">
      <c r="B283"/>
      <c r="C283"/>
      <c r="J283" s="209"/>
    </row>
    <row r="284" spans="2:11" ht="12.75">
      <c r="B284" s="210"/>
      <c r="C284" s="210"/>
      <c r="J284" s="209"/>
    </row>
    <row r="285" spans="2:11" ht="12.75">
      <c r="B285" s="210"/>
      <c r="C285" s="210"/>
      <c r="J285" s="209"/>
    </row>
    <row r="286" spans="2:11" ht="12.75">
      <c r="B286"/>
      <c r="C286"/>
      <c r="J286" s="209"/>
    </row>
    <row r="287" spans="2:11" ht="12.75">
      <c r="B287"/>
      <c r="C287"/>
      <c r="J287" s="209"/>
    </row>
    <row r="288" spans="2:11">
      <c r="J288" s="209"/>
    </row>
    <row r="289" spans="10:10">
      <c r="J289" s="209"/>
    </row>
    <row r="290" spans="10:10">
      <c r="J290" s="209"/>
    </row>
    <row r="291" spans="10:10">
      <c r="J291" s="209"/>
    </row>
    <row r="292" spans="10:10">
      <c r="J292" s="209"/>
    </row>
    <row r="293" spans="10:10">
      <c r="J293" s="209"/>
    </row>
    <row r="294" spans="10:10">
      <c r="J294" s="209"/>
    </row>
    <row r="295" spans="10:10">
      <c r="J295" s="209"/>
    </row>
    <row r="296" spans="10:10">
      <c r="J296" s="209"/>
    </row>
    <row r="297" spans="10:10">
      <c r="J297" s="209"/>
    </row>
    <row r="298" spans="10:10">
      <c r="J298" s="209"/>
    </row>
    <row r="299" spans="10:10">
      <c r="J299" s="209"/>
    </row>
    <row r="300" spans="10:10">
      <c r="J300" s="209"/>
    </row>
    <row r="301" spans="10:10">
      <c r="J301" s="209"/>
    </row>
    <row r="302" spans="10:10">
      <c r="J302" s="209"/>
    </row>
    <row r="303" spans="10:10">
      <c r="J303" s="209"/>
    </row>
    <row r="304" spans="10:10">
      <c r="J304" s="209"/>
    </row>
    <row r="305" spans="10:10">
      <c r="J305" s="209"/>
    </row>
    <row r="306" spans="10:10">
      <c r="J306" s="209"/>
    </row>
    <row r="307" spans="10:10">
      <c r="J307" s="209"/>
    </row>
    <row r="308" spans="10:10">
      <c r="J308" s="209"/>
    </row>
    <row r="309" spans="10:10">
      <c r="J309" s="209"/>
    </row>
    <row r="310" spans="10:10">
      <c r="J310" s="209"/>
    </row>
    <row r="311" spans="10:10">
      <c r="J311" s="209"/>
    </row>
    <row r="312" spans="10:10">
      <c r="J312" s="209"/>
    </row>
    <row r="313" spans="10:10">
      <c r="J313" s="209"/>
    </row>
    <row r="314" spans="10:10">
      <c r="J314" s="209"/>
    </row>
    <row r="315" spans="10:10">
      <c r="J315" s="209"/>
    </row>
    <row r="316" spans="10:10">
      <c r="J316" s="209"/>
    </row>
    <row r="317" spans="10:10">
      <c r="J317" s="209"/>
    </row>
    <row r="318" spans="10:10">
      <c r="J318" s="209"/>
    </row>
    <row r="319" spans="10:10">
      <c r="J319" s="209"/>
    </row>
    <row r="320" spans="10:10">
      <c r="J320" s="209"/>
    </row>
    <row r="321" spans="10:10">
      <c r="J321" s="209"/>
    </row>
    <row r="322" spans="10:10">
      <c r="J322" s="209"/>
    </row>
    <row r="323" spans="10:10">
      <c r="J323" s="209"/>
    </row>
    <row r="324" spans="10:10">
      <c r="J324" s="209"/>
    </row>
    <row r="325" spans="10:10">
      <c r="J325" s="209"/>
    </row>
    <row r="326" spans="10:10">
      <c r="J326" s="209"/>
    </row>
    <row r="327" spans="10:10">
      <c r="J327" s="209"/>
    </row>
    <row r="328" spans="10:10">
      <c r="J328" s="209"/>
    </row>
    <row r="329" spans="10:10">
      <c r="J329" s="209"/>
    </row>
    <row r="330" spans="10:10">
      <c r="J330" s="209"/>
    </row>
    <row r="331" spans="10:10">
      <c r="J331" s="209"/>
    </row>
    <row r="332" spans="10:10">
      <c r="J332" s="209"/>
    </row>
    <row r="333" spans="10:10">
      <c r="J333" s="209"/>
    </row>
    <row r="334" spans="10:10">
      <c r="J334" s="209"/>
    </row>
    <row r="335" spans="10:10">
      <c r="J335" s="209"/>
    </row>
    <row r="336" spans="10:10">
      <c r="J336" s="209"/>
    </row>
    <row r="337" spans="10:10">
      <c r="J337" s="209"/>
    </row>
    <row r="338" spans="10:10">
      <c r="J338" s="209"/>
    </row>
    <row r="339" spans="10:10">
      <c r="J339" s="209"/>
    </row>
    <row r="340" spans="10:10">
      <c r="J340" s="209"/>
    </row>
    <row r="341" spans="10:10">
      <c r="J341" s="209"/>
    </row>
    <row r="342" spans="10:10">
      <c r="J342" s="209"/>
    </row>
    <row r="343" spans="10:10">
      <c r="J343" s="209"/>
    </row>
    <row r="344" spans="10:10">
      <c r="J344" s="209"/>
    </row>
    <row r="345" spans="10:10">
      <c r="J345" s="209"/>
    </row>
    <row r="346" spans="10:10">
      <c r="J346" s="209"/>
    </row>
    <row r="347" spans="10:10">
      <c r="J347" s="209"/>
    </row>
    <row r="348" spans="10:10">
      <c r="J348" s="209"/>
    </row>
    <row r="349" spans="10:10">
      <c r="J349" s="209"/>
    </row>
    <row r="350" spans="10:10">
      <c r="J350" s="209"/>
    </row>
    <row r="351" spans="10:10">
      <c r="J351" s="209"/>
    </row>
    <row r="352" spans="10:10">
      <c r="J352" s="209"/>
    </row>
    <row r="353" spans="10:10">
      <c r="J353" s="209"/>
    </row>
    <row r="354" spans="10:10">
      <c r="J354" s="209"/>
    </row>
    <row r="355" spans="10:10">
      <c r="J355" s="209"/>
    </row>
    <row r="356" spans="10:10">
      <c r="J356" s="209"/>
    </row>
    <row r="357" spans="10:10">
      <c r="J357" s="209"/>
    </row>
    <row r="358" spans="10:10">
      <c r="J358" s="209"/>
    </row>
    <row r="359" spans="10:10">
      <c r="J359" s="209"/>
    </row>
    <row r="360" spans="10:10">
      <c r="J360" s="209"/>
    </row>
    <row r="361" spans="10:10">
      <c r="J361" s="209"/>
    </row>
    <row r="362" spans="10:10">
      <c r="J362" s="209"/>
    </row>
    <row r="363" spans="10:10">
      <c r="J363" s="209"/>
    </row>
    <row r="364" spans="10:10">
      <c r="J364" s="209"/>
    </row>
    <row r="365" spans="10:10">
      <c r="J365" s="209"/>
    </row>
    <row r="366" spans="10:10">
      <c r="J366" s="209"/>
    </row>
    <row r="367" spans="10:10">
      <c r="J367" s="209"/>
    </row>
    <row r="368" spans="10:10">
      <c r="J368" s="209"/>
    </row>
    <row r="369" spans="10:10">
      <c r="J369" s="209"/>
    </row>
    <row r="370" spans="10:10">
      <c r="J370" s="209"/>
    </row>
    <row r="371" spans="10:10">
      <c r="J371" s="209"/>
    </row>
    <row r="372" spans="10:10">
      <c r="J372" s="209"/>
    </row>
    <row r="373" spans="10:10">
      <c r="J373" s="209"/>
    </row>
    <row r="374" spans="10:10">
      <c r="J374" s="209"/>
    </row>
    <row r="375" spans="10:10">
      <c r="J375" s="209"/>
    </row>
    <row r="376" spans="10:10">
      <c r="J376" s="209"/>
    </row>
    <row r="377" spans="10:10">
      <c r="J377" s="209"/>
    </row>
  </sheetData>
  <mergeCells count="7">
    <mergeCell ref="A116:C116"/>
    <mergeCell ref="K6:L6"/>
    <mergeCell ref="I31:J31"/>
    <mergeCell ref="I36:J36"/>
    <mergeCell ref="I43:J43"/>
    <mergeCell ref="I116:K116"/>
    <mergeCell ref="A31:D31"/>
  </mergeCells>
  <printOptions horizontalCentered="1" verticalCentered="1"/>
  <pageMargins left="0.25" right="0.25" top="0.75" bottom="0.25" header="0" footer="0.25"/>
  <pageSetup scale="73" orientation="portrait" horizontalDpi="4294967292" r:id="rId1"/>
  <headerFooter alignWithMargins="0">
    <oddFooter>&amp;L&amp;8Tx Desk Logistics - Daren Farmer&amp;R&amp;8&amp;D
&amp;T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J396"/>
  <sheetViews>
    <sheetView showGridLines="0" topLeftCell="A203" zoomScale="80" workbookViewId="0">
      <selection activeCell="G13" sqref="G13"/>
    </sheetView>
  </sheetViews>
  <sheetFormatPr defaultRowHeight="12"/>
  <cols>
    <col min="1" max="2" width="12.140625" style="12" customWidth="1"/>
    <col min="3" max="3" width="11.28515625" style="12" customWidth="1"/>
    <col min="4" max="4" width="11.85546875" style="12" customWidth="1"/>
    <col min="5" max="5" width="11.5703125" style="12" customWidth="1"/>
    <col min="6" max="6" width="11.7109375" style="12" customWidth="1"/>
    <col min="7" max="7" width="11.85546875" style="12" customWidth="1"/>
    <col min="8" max="8" width="11.7109375" style="12" customWidth="1"/>
    <col min="9" max="9" width="11.85546875" style="12" customWidth="1"/>
    <col min="10" max="10" width="8.7109375" style="12" customWidth="1"/>
    <col min="11" max="11" width="11.85546875" style="12" customWidth="1"/>
    <col min="12" max="12" width="9.140625" style="12"/>
    <col min="13" max="13" width="8.5703125" style="12" bestFit="1" customWidth="1"/>
    <col min="14" max="14" width="9.140625" style="12"/>
    <col min="15" max="15" width="5.5703125" style="12" customWidth="1"/>
    <col min="16" max="16384" width="9.140625" style="12"/>
  </cols>
  <sheetData>
    <row r="1" spans="1:16" s="7" customFormat="1" ht="16.5" thickBot="1">
      <c r="A1" s="1" t="s">
        <v>374</v>
      </c>
      <c r="B1" s="2"/>
      <c r="C1" s="3"/>
      <c r="D1" s="4"/>
      <c r="E1" s="2"/>
      <c r="F1" s="2"/>
      <c r="G1" s="2"/>
      <c r="H1" s="5"/>
      <c r="I1" s="6"/>
    </row>
    <row r="2" spans="1:16" ht="12.75">
      <c r="A2" s="8"/>
      <c r="B2" s="9"/>
      <c r="C2" s="9"/>
      <c r="D2" s="10"/>
      <c r="E2" s="10"/>
      <c r="F2" s="10"/>
      <c r="G2" s="9"/>
      <c r="H2" s="11"/>
    </row>
    <row r="3" spans="1:16" ht="13.5" thickBot="1">
      <c r="A3" s="13"/>
      <c r="B3" s="14"/>
      <c r="C3" s="15"/>
      <c r="D3" s="10"/>
      <c r="E3" s="15"/>
      <c r="F3" s="15"/>
      <c r="G3" s="15"/>
      <c r="H3" s="11"/>
    </row>
    <row r="4" spans="1:16" ht="12.75">
      <c r="A4" s="16"/>
      <c r="B4" s="9"/>
      <c r="C4" s="9"/>
      <c r="D4" s="17" t="s">
        <v>367</v>
      </c>
      <c r="E4" s="18"/>
      <c r="F4" s="18"/>
      <c r="G4" s="19"/>
      <c r="H4" s="20"/>
      <c r="L4"/>
    </row>
    <row r="5" spans="1:16" ht="13.5" thickBot="1">
      <c r="A5" s="21"/>
      <c r="B5" s="22"/>
      <c r="C5" s="22"/>
      <c r="D5" s="233" t="s">
        <v>328</v>
      </c>
      <c r="E5" s="23" t="s">
        <v>371</v>
      </c>
      <c r="F5" s="23" t="str">
        <f>D4</f>
        <v>Feb</v>
      </c>
      <c r="G5" s="24" t="str">
        <f>+F5</f>
        <v>Feb</v>
      </c>
      <c r="H5" s="25" t="str">
        <f>+F5</f>
        <v>Feb</v>
      </c>
      <c r="L5"/>
    </row>
    <row r="6" spans="1:16" ht="13.5" thickBot="1">
      <c r="A6" s="21"/>
      <c r="B6" s="22"/>
      <c r="C6" s="22"/>
      <c r="D6" s="26" t="s">
        <v>1</v>
      </c>
      <c r="E6" s="309" t="s">
        <v>328</v>
      </c>
      <c r="F6" s="27">
        <v>99</v>
      </c>
      <c r="G6" s="28" t="s">
        <v>2</v>
      </c>
      <c r="H6" s="29" t="s">
        <v>3</v>
      </c>
      <c r="I6" s="30"/>
      <c r="K6" s="424" t="s">
        <v>4</v>
      </c>
      <c r="L6" s="425"/>
    </row>
    <row r="7" spans="1:16" ht="12.75">
      <c r="A7" s="31" t="s">
        <v>5</v>
      </c>
      <c r="B7" s="22"/>
      <c r="D7" s="32">
        <f>C213+C233</f>
        <v>443.71600000000007</v>
      </c>
      <c r="E7" s="219">
        <f>736.504-E11-E12</f>
        <v>514.48599999999999</v>
      </c>
      <c r="F7" s="32">
        <v>541.20000000000005</v>
      </c>
      <c r="G7" s="220">
        <f>D7*1.1</f>
        <v>488.08760000000012</v>
      </c>
      <c r="H7" s="221">
        <f>D7*0.9</f>
        <v>399.34440000000006</v>
      </c>
      <c r="I7" s="33"/>
      <c r="K7" s="34" t="s">
        <v>6</v>
      </c>
      <c r="L7" s="35">
        <f>C140</f>
        <v>16.5</v>
      </c>
      <c r="N7"/>
      <c r="O7"/>
    </row>
    <row r="8" spans="1:16" ht="12.75">
      <c r="A8" s="31" t="s">
        <v>380</v>
      </c>
      <c r="B8" s="22"/>
      <c r="C8" s="36"/>
      <c r="D8" s="318">
        <f>70+70</f>
        <v>140</v>
      </c>
      <c r="E8" s="219">
        <f>71.396+94.42</f>
        <v>165.816</v>
      </c>
      <c r="F8" s="37">
        <f>39.366+43.281</f>
        <v>82.646999999999991</v>
      </c>
      <c r="G8" s="222">
        <f>73+105</f>
        <v>178</v>
      </c>
      <c r="H8" s="221">
        <f>65.7+60</f>
        <v>125.7</v>
      </c>
      <c r="I8" s="30"/>
      <c r="K8" s="38" t="s">
        <v>7</v>
      </c>
      <c r="L8" s="39">
        <f>C141+C217</f>
        <v>0</v>
      </c>
      <c r="N8"/>
      <c r="O8"/>
    </row>
    <row r="9" spans="1:16" ht="12.75">
      <c r="A9" s="31" t="s">
        <v>8</v>
      </c>
      <c r="B9" s="22"/>
      <c r="C9" s="10"/>
      <c r="D9" s="318">
        <v>15</v>
      </c>
      <c r="E9" s="219">
        <v>36.81</v>
      </c>
      <c r="F9" s="37">
        <v>20.407</v>
      </c>
      <c r="G9" s="222">
        <v>60</v>
      </c>
      <c r="H9" s="221">
        <v>20</v>
      </c>
      <c r="I9" s="30"/>
      <c r="K9" s="38" t="s">
        <v>9</v>
      </c>
      <c r="L9" s="263">
        <f>C147+C219</f>
        <v>18</v>
      </c>
      <c r="N9"/>
      <c r="O9"/>
    </row>
    <row r="10" spans="1:16" ht="12.75">
      <c r="A10" s="31" t="s">
        <v>10</v>
      </c>
      <c r="B10" s="22"/>
      <c r="C10" s="22"/>
      <c r="D10" s="318">
        <v>34.118000000000002</v>
      </c>
      <c r="E10" s="219">
        <v>33.024999999999999</v>
      </c>
      <c r="F10" s="37">
        <v>77</v>
      </c>
      <c r="G10" s="222">
        <v>0</v>
      </c>
      <c r="H10" s="221">
        <v>0</v>
      </c>
      <c r="I10" s="40"/>
      <c r="K10" s="38" t="s">
        <v>11</v>
      </c>
      <c r="L10" s="39">
        <f>C149+C220</f>
        <v>0</v>
      </c>
      <c r="N10"/>
      <c r="O10"/>
    </row>
    <row r="11" spans="1:16" ht="12.75">
      <c r="A11" s="31" t="s">
        <v>330</v>
      </c>
      <c r="B11" s="22"/>
      <c r="C11" s="22"/>
      <c r="D11" s="318">
        <f>87.241+15+0.4</f>
        <v>102.64100000000001</v>
      </c>
      <c r="E11" s="219">
        <v>126.13</v>
      </c>
      <c r="F11" s="37">
        <v>114.28</v>
      </c>
      <c r="G11" s="222">
        <v>145</v>
      </c>
      <c r="H11" s="221">
        <v>90</v>
      </c>
      <c r="I11" s="30"/>
      <c r="K11" s="38" t="s">
        <v>12</v>
      </c>
      <c r="L11" s="39">
        <f>C156+C221</f>
        <v>0</v>
      </c>
      <c r="N11"/>
      <c r="O11"/>
    </row>
    <row r="12" spans="1:16" ht="12.75">
      <c r="A12" s="31" t="s">
        <v>13</v>
      </c>
      <c r="B12" s="22"/>
      <c r="C12" s="22"/>
      <c r="D12" s="318">
        <v>95</v>
      </c>
      <c r="E12" s="219">
        <v>95.888000000000005</v>
      </c>
      <c r="F12" s="37">
        <v>106.53</v>
      </c>
      <c r="G12" s="222">
        <f>90*1.05</f>
        <v>94.5</v>
      </c>
      <c r="H12" s="221">
        <f>90*0.95</f>
        <v>85.5</v>
      </c>
      <c r="I12" s="30"/>
      <c r="K12" s="38" t="s">
        <v>14</v>
      </c>
      <c r="L12" s="39">
        <f>C166+C224</f>
        <v>65</v>
      </c>
      <c r="N12"/>
      <c r="O12"/>
    </row>
    <row r="13" spans="1:16" ht="12.75">
      <c r="A13" s="31" t="s">
        <v>15</v>
      </c>
      <c r="B13" s="22"/>
      <c r="C13" s="22"/>
      <c r="D13" s="318">
        <v>55</v>
      </c>
      <c r="E13" s="219">
        <v>55</v>
      </c>
      <c r="F13" s="37">
        <v>53.493000000000002</v>
      </c>
      <c r="G13" s="222">
        <v>180</v>
      </c>
      <c r="H13" s="221">
        <v>0</v>
      </c>
      <c r="I13" s="30"/>
      <c r="J13"/>
      <c r="K13" s="38" t="s">
        <v>16</v>
      </c>
      <c r="L13" s="39">
        <f>C165+C223</f>
        <v>33</v>
      </c>
      <c r="N13"/>
      <c r="O13"/>
    </row>
    <row r="14" spans="1:16" ht="12.75">
      <c r="A14" s="31" t="s">
        <v>17</v>
      </c>
      <c r="B14" s="22"/>
      <c r="C14" s="22"/>
      <c r="D14" s="37">
        <f>B94</f>
        <v>11.058</v>
      </c>
      <c r="E14" s="219">
        <v>10.558</v>
      </c>
      <c r="F14" s="37">
        <v>6.7</v>
      </c>
      <c r="G14" s="222">
        <f>D14*1.05</f>
        <v>11.610900000000001</v>
      </c>
      <c r="H14" s="221">
        <f>D14*0.95</f>
        <v>10.505099999999999</v>
      </c>
      <c r="I14" s="30"/>
      <c r="K14" s="38" t="s">
        <v>18</v>
      </c>
      <c r="L14" s="39">
        <f>C169+C225</f>
        <v>30</v>
      </c>
      <c r="N14"/>
      <c r="O14"/>
    </row>
    <row r="15" spans="1:16" ht="12.75">
      <c r="A15" s="31" t="s">
        <v>373</v>
      </c>
      <c r="B15" s="22"/>
      <c r="C15" s="22"/>
      <c r="D15" s="37">
        <f>SUM(D16:D18)</f>
        <v>215</v>
      </c>
      <c r="E15" s="219">
        <f>SUM(E16:E18)</f>
        <v>201</v>
      </c>
      <c r="F15" s="37">
        <f>SUM(F16:F18)</f>
        <v>141</v>
      </c>
      <c r="G15" s="222">
        <v>1174</v>
      </c>
      <c r="H15" s="221">
        <v>0</v>
      </c>
      <c r="I15" s="30"/>
      <c r="K15" s="38" t="s">
        <v>20</v>
      </c>
      <c r="L15" s="39">
        <f>C181+C227</f>
        <v>20</v>
      </c>
      <c r="N15"/>
      <c r="O15"/>
    </row>
    <row r="16" spans="1:16" ht="12.75">
      <c r="A16" s="31" t="s">
        <v>368</v>
      </c>
      <c r="B16" s="41"/>
      <c r="C16" s="22"/>
      <c r="D16" s="213">
        <v>150</v>
      </c>
      <c r="E16" s="219">
        <f>127+5</f>
        <v>132</v>
      </c>
      <c r="F16" s="37">
        <v>75</v>
      </c>
      <c r="G16" s="222"/>
      <c r="H16" s="221"/>
      <c r="I16" s="30"/>
      <c r="K16" s="38" t="s">
        <v>22</v>
      </c>
      <c r="L16" s="39">
        <f>C137</f>
        <v>0</v>
      </c>
      <c r="N16"/>
      <c r="O16"/>
      <c r="P16"/>
    </row>
    <row r="17" spans="1:36" ht="12.75">
      <c r="A17" s="31" t="s">
        <v>369</v>
      </c>
      <c r="B17" s="41"/>
      <c r="C17" s="22"/>
      <c r="D17" s="213">
        <v>10</v>
      </c>
      <c r="E17" s="219">
        <v>10</v>
      </c>
      <c r="F17" s="37">
        <v>8</v>
      </c>
      <c r="G17" s="222"/>
      <c r="H17" s="221"/>
      <c r="I17" s="30"/>
      <c r="K17" s="38" t="s">
        <v>24</v>
      </c>
      <c r="L17" s="39">
        <f>C199+C229</f>
        <v>40</v>
      </c>
      <c r="N17"/>
      <c r="O17"/>
      <c r="P17"/>
    </row>
    <row r="18" spans="1:36" ht="12.75">
      <c r="A18" s="31" t="s">
        <v>370</v>
      </c>
      <c r="B18" s="41"/>
      <c r="C18" s="22"/>
      <c r="D18" s="213">
        <v>55</v>
      </c>
      <c r="E18" s="219">
        <v>59</v>
      </c>
      <c r="F18" s="37">
        <v>58</v>
      </c>
      <c r="G18" s="222"/>
      <c r="H18" s="221"/>
      <c r="I18" s="30"/>
      <c r="K18" s="38" t="s">
        <v>26</v>
      </c>
      <c r="L18" s="39">
        <f>C200</f>
        <v>19</v>
      </c>
      <c r="N18"/>
      <c r="O18"/>
      <c r="P18"/>
    </row>
    <row r="19" spans="1:36" ht="13.5" thickBot="1">
      <c r="A19" s="31" t="s">
        <v>21</v>
      </c>
      <c r="B19" s="36"/>
      <c r="C19" s="36"/>
      <c r="D19" s="37">
        <f>F95-B94</f>
        <v>233</v>
      </c>
      <c r="E19" s="219">
        <f>Jan!D16</f>
        <v>257.21000000000004</v>
      </c>
      <c r="F19" s="37">
        <v>0</v>
      </c>
      <c r="G19" s="222">
        <v>0</v>
      </c>
      <c r="H19" s="221">
        <v>0</v>
      </c>
      <c r="I19" s="42"/>
      <c r="K19" s="47" t="s">
        <v>28</v>
      </c>
      <c r="L19" s="48">
        <f>C204+C232</f>
        <v>49</v>
      </c>
      <c r="N19"/>
      <c r="O19"/>
    </row>
    <row r="20" spans="1:36" ht="12.75">
      <c r="A20" s="31" t="s">
        <v>23</v>
      </c>
      <c r="B20" s="22"/>
      <c r="C20" s="22"/>
      <c r="D20" s="43">
        <f>SUM(D7:D19)-D15</f>
        <v>1344.5330000000001</v>
      </c>
      <c r="E20" s="43">
        <f>SUM(E7:E19)-E15</f>
        <v>1495.9230000000002</v>
      </c>
      <c r="F20" s="43">
        <f>SUM(F7:F19)-F15</f>
        <v>1143.2570000000001</v>
      </c>
      <c r="G20" s="44">
        <f>SUM(G7:G19)</f>
        <v>2331.1985</v>
      </c>
      <c r="H20" s="231">
        <f>SUM(H7:H19)</f>
        <v>731.04950000000008</v>
      </c>
      <c r="I20" s="33"/>
      <c r="L20"/>
      <c r="N20"/>
      <c r="O20" s="45"/>
    </row>
    <row r="21" spans="1:36" ht="12.75">
      <c r="A21" s="31" t="s">
        <v>25</v>
      </c>
      <c r="B21" s="22"/>
      <c r="C21" s="22"/>
      <c r="D21" s="46">
        <f>D32</f>
        <v>0</v>
      </c>
      <c r="E21" s="224">
        <v>-64.516129032258064</v>
      </c>
      <c r="F21" s="225">
        <v>0</v>
      </c>
      <c r="G21" s="226">
        <v>0</v>
      </c>
      <c r="H21" s="227">
        <v>0</v>
      </c>
      <c r="I21" s="30"/>
      <c r="L21"/>
      <c r="N21" s="45"/>
      <c r="O21"/>
    </row>
    <row r="22" spans="1:36" ht="12.75">
      <c r="A22" s="31" t="s">
        <v>27</v>
      </c>
      <c r="B22" s="22"/>
      <c r="C22" s="22"/>
      <c r="D22" s="37">
        <v>2.5</v>
      </c>
      <c r="E22" s="37">
        <v>2.5</v>
      </c>
      <c r="F22" s="37">
        <v>2.5</v>
      </c>
      <c r="G22" s="228">
        <v>0</v>
      </c>
      <c r="H22" s="227">
        <v>0</v>
      </c>
      <c r="I22" s="30"/>
      <c r="L22"/>
      <c r="N22"/>
    </row>
    <row r="23" spans="1:36" ht="12.75">
      <c r="A23" s="49"/>
      <c r="B23" s="22"/>
      <c r="C23" s="50" t="s">
        <v>29</v>
      </c>
      <c r="D23" s="314">
        <f>D22+D21+D20</f>
        <v>1347.0330000000001</v>
      </c>
      <c r="E23" s="44">
        <f>E22+E21+E20</f>
        <v>1433.9068709677422</v>
      </c>
      <c r="F23" s="44">
        <f>F22+F21+F20</f>
        <v>1145.7570000000001</v>
      </c>
      <c r="G23" s="44">
        <f>G22+G21+G20</f>
        <v>2331.1985</v>
      </c>
      <c r="H23" s="232">
        <f>H22+H21+H20</f>
        <v>731.04950000000008</v>
      </c>
      <c r="I23" s="30"/>
      <c r="L23"/>
    </row>
    <row r="24" spans="1:36" ht="12.75">
      <c r="A24" s="31" t="s">
        <v>30</v>
      </c>
      <c r="B24" s="22"/>
      <c r="C24" s="22"/>
      <c r="D24" s="46">
        <f>D44</f>
        <v>1257.8919999999998</v>
      </c>
      <c r="E24" s="312">
        <f>Jan!D21</f>
        <v>1168.8259999999998</v>
      </c>
      <c r="F24" s="312">
        <v>1660</v>
      </c>
      <c r="G24" s="313">
        <f>D24</f>
        <v>1257.8919999999998</v>
      </c>
      <c r="H24" s="311">
        <f>D24</f>
        <v>1257.8919999999998</v>
      </c>
      <c r="I24" s="30"/>
      <c r="L24"/>
    </row>
    <row r="25" spans="1:36" ht="12.75">
      <c r="A25" s="315" t="s">
        <v>334</v>
      </c>
      <c r="B25" s="22"/>
      <c r="C25" s="22"/>
      <c r="D25" s="46">
        <v>44.4</v>
      </c>
      <c r="E25" s="37">
        <v>54</v>
      </c>
      <c r="F25" s="37"/>
      <c r="G25" s="225"/>
      <c r="H25" s="227"/>
      <c r="I25" s="30"/>
      <c r="L25"/>
    </row>
    <row r="26" spans="1:36" ht="13.5" thickBot="1">
      <c r="A26" s="51"/>
      <c r="B26" s="52"/>
      <c r="C26" s="53" t="s">
        <v>31</v>
      </c>
      <c r="D26" s="54">
        <f>D24+D25-D23</f>
        <v>-44.741000000000213</v>
      </c>
      <c r="E26" s="54">
        <f>E24-E23+E25</f>
        <v>-211.08087096774238</v>
      </c>
      <c r="F26" s="54">
        <f>F24-F23</f>
        <v>514.24299999999994</v>
      </c>
      <c r="G26" s="54">
        <f>+G23-G24</f>
        <v>1073.3065000000001</v>
      </c>
      <c r="H26" s="54">
        <f>+(H23-H24)</f>
        <v>-526.84249999999975</v>
      </c>
      <c r="I26" s="33"/>
      <c r="L26"/>
    </row>
    <row r="27" spans="1:36" ht="4.5" customHeight="1">
      <c r="A27" s="55"/>
      <c r="B27" s="22"/>
      <c r="C27" s="56"/>
      <c r="D27" s="57"/>
      <c r="E27" s="58"/>
      <c r="F27" s="58"/>
      <c r="G27" s="59"/>
      <c r="H27" s="59"/>
      <c r="I27" s="33"/>
      <c r="K27" s="65"/>
      <c r="L27" s="66"/>
    </row>
    <row r="28" spans="1:36" ht="12.75">
      <c r="A28" s="49"/>
      <c r="C28" s="60" t="s">
        <v>32</v>
      </c>
      <c r="D28" s="238">
        <v>0</v>
      </c>
      <c r="E28" s="58"/>
      <c r="F28" s="58"/>
      <c r="G28" s="58"/>
      <c r="H28" s="58"/>
      <c r="I28" s="33"/>
      <c r="L28"/>
    </row>
    <row r="29" spans="1:36" s="67" customFormat="1" ht="13.5" customHeight="1" thickBot="1">
      <c r="A29" s="61"/>
      <c r="B29" s="62"/>
      <c r="C29" s="63" t="s">
        <v>33</v>
      </c>
      <c r="D29" s="64">
        <f>D26+D28</f>
        <v>-44.741000000000213</v>
      </c>
      <c r="E29" s="58"/>
      <c r="F29" s="58"/>
      <c r="G29" s="58"/>
      <c r="H29" s="58"/>
      <c r="I29" s="33"/>
      <c r="J29" s="65"/>
      <c r="K29" s="12"/>
      <c r="L2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</row>
    <row r="30" spans="1:36" ht="8.25" customHeight="1" thickBot="1">
      <c r="A30" s="68"/>
      <c r="B30" s="69"/>
      <c r="C30" s="70"/>
      <c r="D30" s="71"/>
      <c r="E30" s="10"/>
      <c r="F30" s="10"/>
      <c r="G30" s="72"/>
      <c r="H30" s="73"/>
      <c r="I30" s="74"/>
      <c r="K30"/>
    </row>
    <row r="31" spans="1:36" ht="13.5" thickBot="1">
      <c r="A31" s="429" t="s">
        <v>389</v>
      </c>
      <c r="B31" s="430"/>
      <c r="C31" s="430"/>
      <c r="D31" s="431"/>
      <c r="E31" s="75" t="s">
        <v>35</v>
      </c>
      <c r="F31" s="76"/>
      <c r="G31" s="77"/>
      <c r="H31" s="78"/>
      <c r="I31" s="426" t="s">
        <v>36</v>
      </c>
      <c r="J31" s="427"/>
      <c r="K31" s="96"/>
      <c r="L31" s="96"/>
    </row>
    <row r="32" spans="1:36" ht="13.5" thickBot="1">
      <c r="A32" s="31" t="s">
        <v>37</v>
      </c>
      <c r="B32" s="72"/>
      <c r="C32" s="72"/>
      <c r="D32" s="282">
        <v>0</v>
      </c>
      <c r="E32" s="79" t="s">
        <v>38</v>
      </c>
      <c r="F32" s="80"/>
      <c r="G32" s="81" t="s">
        <v>39</v>
      </c>
      <c r="H32" s="82"/>
      <c r="I32" s="83" t="s">
        <v>40</v>
      </c>
      <c r="J32" s="84" t="s">
        <v>41</v>
      </c>
      <c r="K32" s="99"/>
      <c r="L32" s="99"/>
    </row>
    <row r="33" spans="1:18" ht="13.5" thickBot="1">
      <c r="A33" s="85" t="s">
        <v>42</v>
      </c>
      <c r="B33" s="86">
        <f>-386.673*29</f>
        <v>-11213.517</v>
      </c>
      <c r="C33" s="87" t="s">
        <v>43</v>
      </c>
      <c r="D33" s="88"/>
      <c r="E33" s="283" t="s">
        <v>67</v>
      </c>
      <c r="F33" s="284">
        <v>5</v>
      </c>
      <c r="G33" s="90" t="s">
        <v>378</v>
      </c>
      <c r="H33" s="91">
        <v>0.8</v>
      </c>
      <c r="I33" s="239">
        <f>57.5+5</f>
        <v>62.5</v>
      </c>
      <c r="J33" s="240">
        <f>60+5+10+15+10</f>
        <v>100</v>
      </c>
      <c r="K33" s="74"/>
      <c r="L33" s="74"/>
    </row>
    <row r="34" spans="1:18" ht="13.5" thickBot="1">
      <c r="A34" s="85" t="s">
        <v>44</v>
      </c>
      <c r="B34" s="92">
        <v>0</v>
      </c>
      <c r="C34" s="22"/>
      <c r="D34" s="93"/>
      <c r="E34" s="90" t="s">
        <v>264</v>
      </c>
      <c r="F34" s="91">
        <v>0.2</v>
      </c>
      <c r="G34" s="90" t="s">
        <v>379</v>
      </c>
      <c r="H34" s="91">
        <v>4</v>
      </c>
      <c r="I34" s="307" t="s">
        <v>45</v>
      </c>
      <c r="J34" s="95">
        <f>+I33-J33</f>
        <v>-37.5</v>
      </c>
      <c r="K34"/>
      <c r="L34"/>
    </row>
    <row r="35" spans="1:18" ht="13.5" thickBot="1">
      <c r="A35" s="97"/>
      <c r="B35" s="52"/>
      <c r="C35" s="52"/>
      <c r="D35" s="98"/>
      <c r="E35" s="283" t="s">
        <v>377</v>
      </c>
      <c r="F35" s="284">
        <v>4</v>
      </c>
      <c r="G35" s="90" t="s">
        <v>236</v>
      </c>
      <c r="H35" s="91">
        <v>1</v>
      </c>
      <c r="I35"/>
      <c r="J35"/>
      <c r="K35"/>
      <c r="L35"/>
    </row>
    <row r="36" spans="1:18" ht="13.5" thickBot="1">
      <c r="A36" s="100"/>
      <c r="B36" s="101"/>
      <c r="C36" s="101"/>
      <c r="D36" s="102"/>
      <c r="E36" s="283"/>
      <c r="F36" s="284"/>
      <c r="G36" s="90"/>
      <c r="H36" s="91"/>
      <c r="I36" s="426" t="s">
        <v>46</v>
      </c>
      <c r="J36" s="428"/>
      <c r="K36" s="112"/>
      <c r="L36"/>
    </row>
    <row r="37" spans="1:18" ht="13.5" thickBot="1">
      <c r="A37" s="103" t="s">
        <v>47</v>
      </c>
      <c r="B37" s="104"/>
      <c r="C37" s="104"/>
      <c r="D37" s="105"/>
      <c r="E37" s="89"/>
      <c r="F37" s="218"/>
      <c r="G37" s="106"/>
      <c r="H37" s="107"/>
      <c r="I37" s="83" t="s">
        <v>48</v>
      </c>
      <c r="J37" s="84" t="s">
        <v>49</v>
      </c>
      <c r="K37" s="112"/>
      <c r="L37"/>
    </row>
    <row r="38" spans="1:18" ht="13.5" thickBot="1">
      <c r="A38" s="31"/>
      <c r="B38" s="22"/>
      <c r="C38" s="22"/>
      <c r="D38" s="108"/>
      <c r="E38" s="89"/>
      <c r="F38" s="218"/>
      <c r="G38" s="106"/>
      <c r="H38" s="107"/>
      <c r="I38" s="305">
        <v>0</v>
      </c>
      <c r="J38" s="241">
        <f>10-30+10</f>
        <v>-10</v>
      </c>
      <c r="K38" s="112"/>
      <c r="L38"/>
    </row>
    <row r="39" spans="1:18" ht="13.5" thickBot="1">
      <c r="A39" s="31" t="s">
        <v>50</v>
      </c>
      <c r="B39" s="22"/>
      <c r="C39" s="22"/>
      <c r="D39" s="110">
        <f>K218/1000</f>
        <v>89.093000000000004</v>
      </c>
      <c r="E39" s="89"/>
      <c r="F39" s="218"/>
      <c r="G39" s="106"/>
      <c r="H39" s="107"/>
      <c r="I39" s="111" t="s">
        <v>51</v>
      </c>
      <c r="J39" s="84" t="s">
        <v>52</v>
      </c>
      <c r="K39"/>
      <c r="L39"/>
    </row>
    <row r="40" spans="1:18" ht="13.5" thickBot="1">
      <c r="A40" s="31" t="s">
        <v>53</v>
      </c>
      <c r="B40" s="22"/>
      <c r="C40" s="22"/>
      <c r="D40" s="108">
        <f>L95</f>
        <v>485.995</v>
      </c>
      <c r="E40" s="89"/>
      <c r="F40" s="218"/>
      <c r="G40" s="113"/>
      <c r="H40" s="114"/>
      <c r="I40" s="242">
        <v>40</v>
      </c>
      <c r="J40" s="306">
        <v>0</v>
      </c>
      <c r="K40"/>
      <c r="L40"/>
    </row>
    <row r="41" spans="1:18" ht="13.5" thickBot="1">
      <c r="A41" s="31" t="s">
        <v>54</v>
      </c>
      <c r="B41" s="22"/>
      <c r="C41" s="22"/>
      <c r="D41" s="328">
        <v>40</v>
      </c>
      <c r="E41" s="89"/>
      <c r="F41" s="218"/>
      <c r="G41" s="113"/>
      <c r="H41" s="114"/>
      <c r="I41" s="308" t="s">
        <v>55</v>
      </c>
      <c r="J41" s="95">
        <f>J34+I38+J38+I40+J40</f>
        <v>-7.5</v>
      </c>
      <c r="K41"/>
      <c r="L41"/>
    </row>
    <row r="42" spans="1:18" ht="13.5" thickBot="1">
      <c r="A42" s="31" t="s">
        <v>56</v>
      </c>
      <c r="B42" s="22"/>
      <c r="C42" s="22"/>
      <c r="D42" s="117">
        <v>642.80399999999997</v>
      </c>
      <c r="E42" s="89"/>
      <c r="F42" s="218"/>
      <c r="G42" s="10"/>
      <c r="H42" s="11"/>
      <c r="K42"/>
      <c r="L42"/>
    </row>
    <row r="43" spans="1:18" ht="13.5" thickBot="1">
      <c r="A43" s="31"/>
      <c r="B43" s="22"/>
      <c r="C43" s="22"/>
      <c r="D43" s="108"/>
      <c r="E43" s="89"/>
      <c r="F43" s="218"/>
      <c r="G43" s="10"/>
      <c r="H43" s="11"/>
      <c r="I43" s="426" t="s">
        <v>57</v>
      </c>
      <c r="J43" s="427"/>
      <c r="K43"/>
      <c r="L43"/>
    </row>
    <row r="44" spans="1:18" ht="13.5" thickBot="1">
      <c r="A44" s="51"/>
      <c r="B44" s="118" t="s">
        <v>58</v>
      </c>
      <c r="C44" s="119" t="str">
        <f>+F5</f>
        <v>Feb</v>
      </c>
      <c r="D44" s="120">
        <f>SUM(D39:D42)</f>
        <v>1257.8919999999998</v>
      </c>
      <c r="E44" s="121" t="s">
        <v>59</v>
      </c>
      <c r="F44" s="122">
        <f>SUM(F33:F42)</f>
        <v>9.1999999999999993</v>
      </c>
      <c r="G44" s="121" t="s">
        <v>59</v>
      </c>
      <c r="H44" s="123">
        <f>SUM(H33:H43)</f>
        <v>5.8</v>
      </c>
      <c r="I44"/>
      <c r="J44" s="95">
        <v>15</v>
      </c>
      <c r="K44"/>
      <c r="L44"/>
    </row>
    <row r="45" spans="1:18" ht="12.75" thickBot="1"/>
    <row r="46" spans="1:18" ht="12.75" thickBot="1">
      <c r="A46" s="124" t="s">
        <v>60</v>
      </c>
      <c r="B46" s="125"/>
      <c r="C46" s="125"/>
      <c r="D46" s="125"/>
      <c r="E46" s="126"/>
      <c r="F46" s="127"/>
      <c r="G46" s="124" t="s">
        <v>61</v>
      </c>
      <c r="H46" s="125"/>
      <c r="I46" s="125"/>
      <c r="J46" s="125"/>
      <c r="K46" s="125"/>
      <c r="L46" s="128"/>
      <c r="P46" s="12" t="s">
        <v>62</v>
      </c>
    </row>
    <row r="47" spans="1:18">
      <c r="A47" s="129" t="s">
        <v>63</v>
      </c>
      <c r="B47" s="130"/>
      <c r="C47" s="131" t="s">
        <v>64</v>
      </c>
      <c r="D47" s="130"/>
      <c r="E47" s="131" t="s">
        <v>65</v>
      </c>
      <c r="F47" s="132"/>
      <c r="G47" s="133"/>
      <c r="H47" s="130"/>
      <c r="I47" s="131" t="s">
        <v>64</v>
      </c>
      <c r="J47" s="130"/>
      <c r="K47" s="131" t="s">
        <v>65</v>
      </c>
      <c r="L47" s="132"/>
      <c r="P47" s="12" t="s">
        <v>66</v>
      </c>
      <c r="Q47" s="12">
        <v>6789</v>
      </c>
      <c r="R47" s="12">
        <v>8000</v>
      </c>
    </row>
    <row r="48" spans="1:18">
      <c r="A48" s="134" t="s">
        <v>67</v>
      </c>
      <c r="B48" s="320">
        <v>0.2</v>
      </c>
      <c r="C48" s="136" t="s">
        <v>317</v>
      </c>
      <c r="D48" s="320">
        <v>10</v>
      </c>
      <c r="E48" s="215" t="s">
        <v>394</v>
      </c>
      <c r="F48" s="135">
        <v>15</v>
      </c>
      <c r="G48" s="138"/>
      <c r="H48" s="139"/>
      <c r="I48" s="136" t="s">
        <v>68</v>
      </c>
      <c r="J48" s="324">
        <v>40</v>
      </c>
      <c r="K48" s="136" t="s">
        <v>364</v>
      </c>
      <c r="L48" s="321">
        <v>6.024</v>
      </c>
    </row>
    <row r="49" spans="1:12">
      <c r="A49" s="134" t="s">
        <v>69</v>
      </c>
      <c r="B49" s="320">
        <v>0.21199999999999999</v>
      </c>
      <c r="C49" s="136" t="s">
        <v>11</v>
      </c>
      <c r="D49" s="320">
        <v>5</v>
      </c>
      <c r="E49" s="136" t="s">
        <v>375</v>
      </c>
      <c r="F49" s="321">
        <v>5</v>
      </c>
      <c r="G49" s="138"/>
      <c r="H49" s="139"/>
      <c r="I49" s="141" t="s">
        <v>71</v>
      </c>
      <c r="J49" s="325">
        <v>20</v>
      </c>
      <c r="K49" s="136" t="s">
        <v>395</v>
      </c>
      <c r="L49" s="321">
        <v>1.2</v>
      </c>
    </row>
    <row r="50" spans="1:12">
      <c r="A50" s="134" t="s">
        <v>72</v>
      </c>
      <c r="B50" s="320">
        <v>4.8000000000000001E-2</v>
      </c>
      <c r="C50" s="136" t="s">
        <v>73</v>
      </c>
      <c r="D50" s="320">
        <v>40</v>
      </c>
      <c r="E50" s="136" t="s">
        <v>345</v>
      </c>
      <c r="F50" s="321">
        <v>15</v>
      </c>
      <c r="G50" s="138"/>
      <c r="H50" s="139"/>
      <c r="I50" s="141" t="s">
        <v>75</v>
      </c>
      <c r="J50" s="320">
        <v>20</v>
      </c>
      <c r="K50" s="136" t="s">
        <v>396</v>
      </c>
      <c r="L50" s="321">
        <v>2</v>
      </c>
    </row>
    <row r="51" spans="1:12">
      <c r="A51" s="134" t="s">
        <v>76</v>
      </c>
      <c r="B51" s="320">
        <v>0.45</v>
      </c>
      <c r="C51" s="136" t="s">
        <v>348</v>
      </c>
      <c r="D51" s="320">
        <v>10</v>
      </c>
      <c r="E51" s="136" t="s">
        <v>73</v>
      </c>
      <c r="F51" s="321">
        <v>5</v>
      </c>
      <c r="G51" s="138"/>
      <c r="H51" s="139"/>
      <c r="I51" s="141" t="s">
        <v>78</v>
      </c>
      <c r="J51" s="320">
        <v>20</v>
      </c>
      <c r="K51" s="136" t="s">
        <v>97</v>
      </c>
      <c r="L51" s="321">
        <v>10</v>
      </c>
    </row>
    <row r="52" spans="1:12">
      <c r="A52" s="134" t="s">
        <v>79</v>
      </c>
      <c r="B52" s="320">
        <v>4.8000000000000001E-2</v>
      </c>
      <c r="C52" s="136" t="s">
        <v>80</v>
      </c>
      <c r="D52" s="320">
        <v>20</v>
      </c>
      <c r="E52" s="136" t="s">
        <v>399</v>
      </c>
      <c r="F52" s="321">
        <v>10</v>
      </c>
      <c r="G52" s="138"/>
      <c r="H52" s="139"/>
      <c r="I52" s="141" t="s">
        <v>82</v>
      </c>
      <c r="J52" s="320">
        <v>3.879</v>
      </c>
      <c r="K52" s="136" t="s">
        <v>388</v>
      </c>
      <c r="L52" s="321">
        <v>10</v>
      </c>
    </row>
    <row r="53" spans="1:12">
      <c r="A53" s="134" t="s">
        <v>83</v>
      </c>
      <c r="B53" s="320">
        <v>0.5</v>
      </c>
      <c r="C53" s="136" t="s">
        <v>85</v>
      </c>
      <c r="D53" s="320">
        <v>6</v>
      </c>
      <c r="E53" s="136" t="s">
        <v>381</v>
      </c>
      <c r="F53" s="321">
        <v>5</v>
      </c>
      <c r="G53" s="138"/>
      <c r="H53" s="139"/>
      <c r="I53" s="141" t="s">
        <v>87</v>
      </c>
      <c r="J53" s="320">
        <v>32.286999999999999</v>
      </c>
      <c r="K53" s="136" t="s">
        <v>412</v>
      </c>
      <c r="L53" s="321">
        <v>10</v>
      </c>
    </row>
    <row r="54" spans="1:12">
      <c r="A54" s="134" t="s">
        <v>85</v>
      </c>
      <c r="B54" s="317">
        <v>9.6</v>
      </c>
      <c r="C54" s="136" t="s">
        <v>89</v>
      </c>
      <c r="D54" s="320">
        <v>2</v>
      </c>
      <c r="E54" s="136" t="s">
        <v>80</v>
      </c>
      <c r="F54" s="321">
        <v>10</v>
      </c>
      <c r="G54" s="138"/>
      <c r="H54" s="139"/>
      <c r="I54" s="141" t="s">
        <v>90</v>
      </c>
      <c r="J54" s="320">
        <v>15</v>
      </c>
      <c r="K54" s="136" t="s">
        <v>403</v>
      </c>
      <c r="L54" s="321">
        <v>15</v>
      </c>
    </row>
    <row r="55" spans="1:12">
      <c r="A55" s="134"/>
      <c r="B55" s="135"/>
      <c r="C55" s="136"/>
      <c r="D55" s="135"/>
      <c r="E55" s="136" t="s">
        <v>400</v>
      </c>
      <c r="F55" s="140">
        <v>0</v>
      </c>
      <c r="G55" s="138"/>
      <c r="H55" s="139"/>
      <c r="I55" s="141" t="s">
        <v>91</v>
      </c>
      <c r="J55" s="320">
        <v>2</v>
      </c>
      <c r="K55" s="136" t="s">
        <v>417</v>
      </c>
      <c r="L55" s="321">
        <v>5</v>
      </c>
    </row>
    <row r="56" spans="1:12">
      <c r="A56" s="134"/>
      <c r="B56" s="135"/>
      <c r="C56" s="136"/>
      <c r="D56" s="135"/>
      <c r="E56" s="136" t="s">
        <v>95</v>
      </c>
      <c r="F56" s="321">
        <v>10</v>
      </c>
      <c r="G56" s="138"/>
      <c r="H56" s="139"/>
      <c r="I56" s="141" t="s">
        <v>93</v>
      </c>
      <c r="J56" s="320">
        <v>30</v>
      </c>
      <c r="K56" s="136" t="s">
        <v>404</v>
      </c>
      <c r="L56" s="321">
        <v>0.42</v>
      </c>
    </row>
    <row r="57" spans="1:12">
      <c r="A57" s="138"/>
      <c r="B57" s="139"/>
      <c r="C57" s="136"/>
      <c r="D57" s="135"/>
      <c r="E57" s="136" t="s">
        <v>406</v>
      </c>
      <c r="F57" s="321">
        <v>5</v>
      </c>
      <c r="G57" s="138"/>
      <c r="H57" s="139"/>
      <c r="I57" s="141" t="s">
        <v>94</v>
      </c>
      <c r="J57" s="320">
        <v>5</v>
      </c>
      <c r="K57" s="136" t="s">
        <v>397</v>
      </c>
      <c r="L57" s="321">
        <v>10</v>
      </c>
    </row>
    <row r="58" spans="1:12">
      <c r="A58" s="138"/>
      <c r="B58" s="139"/>
      <c r="C58" s="136"/>
      <c r="D58" s="135"/>
      <c r="E58" s="136" t="s">
        <v>409</v>
      </c>
      <c r="F58" s="321">
        <v>5</v>
      </c>
      <c r="G58" s="138"/>
      <c r="H58" s="139"/>
      <c r="I58" s="141" t="s">
        <v>95</v>
      </c>
      <c r="J58" s="320">
        <v>20</v>
      </c>
      <c r="K58" s="136" t="s">
        <v>413</v>
      </c>
      <c r="L58" s="321">
        <v>10</v>
      </c>
    </row>
    <row r="59" spans="1:12">
      <c r="A59" s="138"/>
      <c r="B59" s="139"/>
      <c r="C59" s="136"/>
      <c r="D59" s="135"/>
      <c r="E59" s="136" t="s">
        <v>410</v>
      </c>
      <c r="F59" s="320">
        <v>2</v>
      </c>
      <c r="G59" s="138"/>
      <c r="H59" s="139"/>
      <c r="I59" s="141"/>
      <c r="J59" s="135"/>
      <c r="K59" s="136" t="s">
        <v>407</v>
      </c>
      <c r="L59" s="321">
        <v>10</v>
      </c>
    </row>
    <row r="60" spans="1:12">
      <c r="A60" s="138"/>
      <c r="B60" s="139"/>
      <c r="C60" s="136"/>
      <c r="D60" s="135"/>
      <c r="E60" s="136"/>
      <c r="F60" s="137"/>
      <c r="G60" s="138"/>
      <c r="H60" s="139"/>
      <c r="I60" s="141"/>
      <c r="J60" s="135"/>
      <c r="K60" s="136" t="s">
        <v>408</v>
      </c>
      <c r="L60" s="321">
        <v>15</v>
      </c>
    </row>
    <row r="61" spans="1:12">
      <c r="A61" s="138"/>
      <c r="B61" s="139"/>
      <c r="C61" s="136"/>
      <c r="D61" s="135"/>
      <c r="E61" s="136" t="s">
        <v>405</v>
      </c>
      <c r="F61" s="330">
        <v>6</v>
      </c>
      <c r="G61" s="138"/>
      <c r="H61" s="139"/>
      <c r="I61" s="141"/>
      <c r="J61" s="135"/>
      <c r="K61" s="136" t="s">
        <v>411</v>
      </c>
      <c r="L61" s="321">
        <v>10</v>
      </c>
    </row>
    <row r="62" spans="1:12">
      <c r="A62" s="138"/>
      <c r="B62" s="139"/>
      <c r="C62" s="136"/>
      <c r="D62" s="135"/>
      <c r="E62" s="136"/>
      <c r="F62" s="137"/>
      <c r="G62" s="138"/>
      <c r="H62" s="139"/>
      <c r="I62" s="141"/>
      <c r="J62" s="135"/>
      <c r="K62" s="136" t="s">
        <v>86</v>
      </c>
      <c r="L62" s="321">
        <v>10</v>
      </c>
    </row>
    <row r="63" spans="1:12">
      <c r="A63" s="138"/>
      <c r="B63" s="139"/>
      <c r="C63" s="136"/>
      <c r="D63" s="135"/>
      <c r="E63" s="136"/>
      <c r="F63" s="137"/>
      <c r="G63" s="138"/>
      <c r="H63" s="139"/>
      <c r="I63" s="141"/>
      <c r="J63" s="135"/>
      <c r="K63" s="136" t="s">
        <v>86</v>
      </c>
      <c r="L63" s="321">
        <v>5</v>
      </c>
    </row>
    <row r="64" spans="1:12">
      <c r="A64" s="138"/>
      <c r="B64" s="139"/>
      <c r="C64" s="136"/>
      <c r="D64" s="135"/>
      <c r="E64" s="136" t="s">
        <v>416</v>
      </c>
      <c r="F64" s="330">
        <v>5</v>
      </c>
      <c r="G64" s="138"/>
      <c r="H64" s="139"/>
      <c r="I64" s="141"/>
      <c r="J64" s="135"/>
      <c r="K64" s="136" t="s">
        <v>335</v>
      </c>
      <c r="L64" s="321">
        <v>10</v>
      </c>
    </row>
    <row r="65" spans="1:12" hidden="1">
      <c r="A65" s="138"/>
      <c r="B65" s="139"/>
      <c r="C65" s="136"/>
      <c r="D65" s="135"/>
      <c r="E65" s="136"/>
      <c r="F65" s="142"/>
      <c r="G65" s="138"/>
      <c r="H65" s="139"/>
      <c r="I65" s="141"/>
      <c r="J65" s="135"/>
      <c r="K65" s="136"/>
      <c r="L65" s="321"/>
    </row>
    <row r="66" spans="1:12" hidden="1">
      <c r="A66" s="138"/>
      <c r="B66" s="139"/>
      <c r="C66" s="136"/>
      <c r="D66" s="135"/>
      <c r="E66" s="136"/>
      <c r="F66" s="142"/>
      <c r="G66" s="138"/>
      <c r="H66" s="139"/>
      <c r="I66" s="141"/>
      <c r="J66" s="135"/>
      <c r="K66" s="136"/>
      <c r="L66" s="321"/>
    </row>
    <row r="67" spans="1:12">
      <c r="A67" s="138"/>
      <c r="B67" s="139"/>
      <c r="C67" s="136"/>
      <c r="D67" s="135"/>
      <c r="E67" s="136"/>
      <c r="F67" s="142"/>
      <c r="G67" s="138"/>
      <c r="H67" s="139"/>
      <c r="I67" s="141"/>
      <c r="J67" s="135"/>
      <c r="K67" s="136" t="s">
        <v>335</v>
      </c>
      <c r="L67" s="321">
        <v>27</v>
      </c>
    </row>
    <row r="68" spans="1:12">
      <c r="A68" s="138"/>
      <c r="B68" s="139"/>
      <c r="C68" s="136"/>
      <c r="D68" s="135"/>
      <c r="E68" s="136"/>
      <c r="F68" s="142"/>
      <c r="G68" s="138"/>
      <c r="H68" s="139"/>
      <c r="I68" s="141"/>
      <c r="J68" s="135"/>
      <c r="K68" s="136" t="s">
        <v>350</v>
      </c>
      <c r="L68" s="321">
        <v>5</v>
      </c>
    </row>
    <row r="69" spans="1:12">
      <c r="A69" s="138"/>
      <c r="B69" s="139"/>
      <c r="C69" s="136"/>
      <c r="D69" s="135"/>
      <c r="E69" s="136"/>
      <c r="F69" s="142"/>
      <c r="G69" s="138"/>
      <c r="H69" s="139"/>
      <c r="I69" s="141"/>
      <c r="J69" s="135"/>
      <c r="K69" s="136" t="s">
        <v>102</v>
      </c>
      <c r="L69" s="321">
        <v>5</v>
      </c>
    </row>
    <row r="70" spans="1:12">
      <c r="A70" s="138"/>
      <c r="B70" s="139"/>
      <c r="C70" s="136"/>
      <c r="D70" s="135"/>
      <c r="E70" s="136"/>
      <c r="F70" s="142"/>
      <c r="G70" s="138"/>
      <c r="H70" s="139"/>
      <c r="I70" s="141"/>
      <c r="J70" s="135"/>
      <c r="K70" s="136" t="s">
        <v>102</v>
      </c>
      <c r="L70" s="321">
        <v>5</v>
      </c>
    </row>
    <row r="71" spans="1:12">
      <c r="A71" s="138"/>
      <c r="B71" s="139"/>
      <c r="C71" s="136"/>
      <c r="D71" s="135"/>
      <c r="E71" s="136"/>
      <c r="F71" s="142"/>
      <c r="G71" s="138"/>
      <c r="H71" s="139"/>
      <c r="I71" s="141"/>
      <c r="J71" s="135"/>
      <c r="K71" s="136" t="s">
        <v>398</v>
      </c>
      <c r="L71" s="321">
        <v>5</v>
      </c>
    </row>
    <row r="72" spans="1:12">
      <c r="A72" s="143"/>
      <c r="B72" s="144"/>
      <c r="C72" s="136"/>
      <c r="D72" s="135"/>
      <c r="E72" s="136"/>
      <c r="F72" s="137"/>
      <c r="G72" s="138"/>
      <c r="H72" s="139"/>
      <c r="I72" s="141"/>
      <c r="J72" s="135"/>
      <c r="K72" s="136" t="s">
        <v>254</v>
      </c>
      <c r="L72" s="321">
        <v>5</v>
      </c>
    </row>
    <row r="73" spans="1:12">
      <c r="A73" s="143"/>
      <c r="B73" s="144"/>
      <c r="C73" s="136"/>
      <c r="D73" s="135"/>
      <c r="E73" s="136"/>
      <c r="F73" s="137"/>
      <c r="G73" s="138"/>
      <c r="H73" s="139"/>
      <c r="I73" s="136"/>
      <c r="J73" s="135"/>
      <c r="K73" s="136" t="s">
        <v>254</v>
      </c>
      <c r="L73" s="321">
        <v>0.26</v>
      </c>
    </row>
    <row r="74" spans="1:12">
      <c r="A74" s="143"/>
      <c r="B74" s="144"/>
      <c r="C74" s="136"/>
      <c r="D74" s="135"/>
      <c r="E74" s="136"/>
      <c r="F74" s="137"/>
      <c r="G74" s="138"/>
      <c r="H74" s="139"/>
      <c r="I74" s="136"/>
      <c r="J74" s="135"/>
      <c r="K74" s="136" t="s">
        <v>95</v>
      </c>
      <c r="L74" s="321">
        <v>5</v>
      </c>
    </row>
    <row r="75" spans="1:12">
      <c r="A75" s="143"/>
      <c r="B75" s="144"/>
      <c r="C75" s="136"/>
      <c r="D75" s="135"/>
      <c r="E75" s="136"/>
      <c r="F75" s="137"/>
      <c r="G75" s="138"/>
      <c r="H75" s="139"/>
      <c r="I75" s="136"/>
      <c r="J75" s="135"/>
      <c r="K75" s="136" t="s">
        <v>95</v>
      </c>
      <c r="L75" s="321">
        <v>5</v>
      </c>
    </row>
    <row r="76" spans="1:12">
      <c r="A76" s="143"/>
      <c r="B76" s="144"/>
      <c r="C76" s="146" t="s">
        <v>98</v>
      </c>
      <c r="D76" s="147"/>
      <c r="E76" s="148"/>
      <c r="F76" s="149"/>
      <c r="G76" s="138"/>
      <c r="H76" s="139"/>
      <c r="I76" s="146" t="s">
        <v>98</v>
      </c>
      <c r="J76" s="150"/>
      <c r="K76" s="216"/>
      <c r="L76" s="217"/>
    </row>
    <row r="77" spans="1:12">
      <c r="A77" s="143"/>
      <c r="B77" s="144"/>
      <c r="C77" s="136" t="s">
        <v>99</v>
      </c>
      <c r="D77" s="320">
        <v>18</v>
      </c>
      <c r="E77" s="136" t="s">
        <v>418</v>
      </c>
      <c r="F77" s="321">
        <v>10</v>
      </c>
      <c r="G77" s="151"/>
      <c r="H77" s="139"/>
      <c r="I77" s="136" t="s">
        <v>324</v>
      </c>
      <c r="J77" s="320">
        <v>5</v>
      </c>
      <c r="K77" s="136" t="s">
        <v>344</v>
      </c>
      <c r="L77" s="321">
        <v>5</v>
      </c>
    </row>
    <row r="78" spans="1:12">
      <c r="A78" s="143"/>
      <c r="B78" s="144"/>
      <c r="C78" s="136" t="s">
        <v>101</v>
      </c>
      <c r="D78" s="320">
        <v>10</v>
      </c>
      <c r="E78" s="136"/>
      <c r="F78" s="140"/>
      <c r="G78" s="138"/>
      <c r="H78" s="139"/>
      <c r="I78" s="136" t="s">
        <v>100</v>
      </c>
      <c r="J78" s="320">
        <v>8</v>
      </c>
      <c r="K78" s="136" t="s">
        <v>78</v>
      </c>
      <c r="L78" s="321">
        <v>6.2750000000000004</v>
      </c>
    </row>
    <row r="79" spans="1:12">
      <c r="A79" s="143"/>
      <c r="B79" s="144"/>
      <c r="C79" s="136" t="s">
        <v>414</v>
      </c>
      <c r="D79" s="320">
        <v>4</v>
      </c>
      <c r="E79" s="136"/>
      <c r="F79" s="140"/>
      <c r="G79" s="138"/>
      <c r="H79" s="139"/>
      <c r="I79" s="136"/>
      <c r="J79" s="135"/>
      <c r="K79" s="136" t="s">
        <v>78</v>
      </c>
      <c r="L79" s="321">
        <v>3.5</v>
      </c>
    </row>
    <row r="80" spans="1:12">
      <c r="A80" s="143"/>
      <c r="B80" s="144"/>
      <c r="C80" s="136"/>
      <c r="D80" s="135"/>
      <c r="E80" s="136"/>
      <c r="F80" s="140"/>
      <c r="G80" s="138"/>
      <c r="H80" s="139"/>
      <c r="I80" s="136" t="s">
        <v>81</v>
      </c>
      <c r="J80" s="320">
        <v>5</v>
      </c>
      <c r="K80" s="136" t="s">
        <v>149</v>
      </c>
      <c r="L80" s="321">
        <v>14.8</v>
      </c>
    </row>
    <row r="81" spans="1:12" hidden="1">
      <c r="A81" s="143"/>
      <c r="B81" s="144"/>
      <c r="C81" s="145"/>
      <c r="D81" s="144"/>
      <c r="E81" s="136"/>
      <c r="F81" s="140"/>
      <c r="G81" s="138"/>
      <c r="H81" s="139"/>
      <c r="I81" s="151"/>
      <c r="J81" s="139"/>
      <c r="K81" s="136"/>
      <c r="L81" s="140"/>
    </row>
    <row r="82" spans="1:12" hidden="1">
      <c r="A82" s="143"/>
      <c r="B82" s="144"/>
      <c r="C82" s="145"/>
      <c r="D82" s="144"/>
      <c r="E82" s="136"/>
      <c r="F82" s="140"/>
      <c r="G82" s="138"/>
      <c r="H82" s="139"/>
      <c r="I82" s="151"/>
      <c r="J82" s="139"/>
      <c r="K82" s="136"/>
      <c r="L82" s="140"/>
    </row>
    <row r="83" spans="1:12" hidden="1">
      <c r="A83" s="143"/>
      <c r="B83" s="144"/>
      <c r="C83" s="145"/>
      <c r="D83" s="144"/>
      <c r="E83" s="136"/>
      <c r="F83" s="140"/>
      <c r="G83" s="138"/>
      <c r="H83" s="139"/>
      <c r="I83" s="151"/>
      <c r="J83" s="139"/>
      <c r="K83" s="136"/>
      <c r="L83" s="140"/>
    </row>
    <row r="84" spans="1:12" hidden="1">
      <c r="A84" s="143"/>
      <c r="B84" s="144"/>
      <c r="C84" s="145"/>
      <c r="D84" s="144"/>
      <c r="E84" s="136"/>
      <c r="F84" s="140"/>
      <c r="G84" s="138"/>
      <c r="H84" s="139"/>
      <c r="I84" s="151"/>
      <c r="J84" s="139"/>
      <c r="K84" s="136"/>
      <c r="L84" s="140"/>
    </row>
    <row r="85" spans="1:12" hidden="1">
      <c r="A85" s="143"/>
      <c r="B85" s="144"/>
      <c r="C85" s="145"/>
      <c r="D85" s="144"/>
      <c r="E85" s="136"/>
      <c r="F85" s="140"/>
      <c r="G85" s="138"/>
      <c r="H85" s="139"/>
      <c r="I85" s="151"/>
      <c r="J85" s="139"/>
      <c r="K85" s="136"/>
      <c r="L85" s="140"/>
    </row>
    <row r="86" spans="1:12" hidden="1">
      <c r="A86" s="143"/>
      <c r="B86" s="144"/>
      <c r="C86" s="145"/>
      <c r="D86" s="144"/>
      <c r="E86" s="136"/>
      <c r="F86" s="140"/>
      <c r="G86" s="138"/>
      <c r="H86" s="139"/>
      <c r="I86" s="151"/>
      <c r="J86" s="139"/>
      <c r="K86" s="136"/>
      <c r="L86" s="140"/>
    </row>
    <row r="87" spans="1:12">
      <c r="A87" s="143"/>
      <c r="B87" s="144"/>
      <c r="C87" s="145"/>
      <c r="D87" s="144"/>
      <c r="E87" s="136"/>
      <c r="F87" s="140"/>
      <c r="G87" s="138"/>
      <c r="H87" s="139"/>
      <c r="I87" s="151"/>
      <c r="J87" s="139"/>
      <c r="K87" s="136" t="s">
        <v>387</v>
      </c>
      <c r="L87" s="321">
        <v>1.25</v>
      </c>
    </row>
    <row r="88" spans="1:12">
      <c r="A88" s="143"/>
      <c r="B88" s="144"/>
      <c r="C88" s="145"/>
      <c r="D88" s="144"/>
      <c r="E88" s="136"/>
      <c r="F88" s="140"/>
      <c r="G88" s="138"/>
      <c r="H88" s="139"/>
      <c r="I88" s="151"/>
      <c r="J88" s="139"/>
      <c r="K88" s="136" t="s">
        <v>95</v>
      </c>
      <c r="L88" s="321">
        <v>10</v>
      </c>
    </row>
    <row r="89" spans="1:12">
      <c r="A89" s="143"/>
      <c r="B89" s="144"/>
      <c r="C89" s="145"/>
      <c r="D89" s="144"/>
      <c r="E89" s="136"/>
      <c r="F89" s="140"/>
      <c r="G89" s="138"/>
      <c r="H89" s="139"/>
      <c r="I89" s="151"/>
      <c r="J89" s="139"/>
      <c r="K89" s="136" t="s">
        <v>412</v>
      </c>
      <c r="L89" s="321">
        <v>6</v>
      </c>
    </row>
    <row r="90" spans="1:12">
      <c r="A90" s="143"/>
      <c r="B90" s="144"/>
      <c r="C90" s="145"/>
      <c r="D90" s="144"/>
      <c r="E90" s="136"/>
      <c r="F90" s="140"/>
      <c r="G90" s="138"/>
      <c r="H90" s="139"/>
      <c r="I90" s="151"/>
      <c r="J90" s="139"/>
      <c r="K90" s="136" t="s">
        <v>404</v>
      </c>
      <c r="L90" s="321">
        <v>1</v>
      </c>
    </row>
    <row r="91" spans="1:12">
      <c r="A91" s="143"/>
      <c r="B91" s="144"/>
      <c r="C91" s="145"/>
      <c r="D91" s="144"/>
      <c r="E91" s="136"/>
      <c r="F91" s="140"/>
      <c r="G91" s="138"/>
      <c r="H91" s="139"/>
      <c r="I91" s="151"/>
      <c r="J91" s="139"/>
      <c r="K91" s="136" t="s">
        <v>404</v>
      </c>
      <c r="L91" s="321">
        <v>2.6</v>
      </c>
    </row>
    <row r="92" spans="1:12">
      <c r="A92" s="143"/>
      <c r="B92" s="144"/>
      <c r="C92" s="145"/>
      <c r="D92" s="144"/>
      <c r="E92" s="136"/>
      <c r="F92" s="140"/>
      <c r="G92" s="138"/>
      <c r="H92" s="139"/>
      <c r="I92" s="151"/>
      <c r="J92" s="139"/>
      <c r="K92" s="136"/>
      <c r="L92" s="140"/>
    </row>
    <row r="93" spans="1:12">
      <c r="A93" s="152"/>
      <c r="B93" s="153"/>
      <c r="C93" s="154"/>
      <c r="D93" s="153"/>
      <c r="E93" s="155"/>
      <c r="F93" s="156"/>
      <c r="G93" s="152"/>
      <c r="H93" s="153"/>
      <c r="I93" s="154"/>
      <c r="J93" s="153"/>
      <c r="K93" s="252" t="s">
        <v>344</v>
      </c>
      <c r="L93" s="326">
        <v>7.5</v>
      </c>
    </row>
    <row r="94" spans="1:12">
      <c r="A94" s="157" t="s">
        <v>103</v>
      </c>
      <c r="B94" s="158">
        <f>SUM(B47:B93)</f>
        <v>11.058</v>
      </c>
      <c r="C94" s="159" t="s">
        <v>103</v>
      </c>
      <c r="D94" s="158">
        <f>SUM(D47:D93)</f>
        <v>125</v>
      </c>
      <c r="E94" s="159" t="s">
        <v>103</v>
      </c>
      <c r="F94" s="160">
        <f>SUM(F47:F93)</f>
        <v>108</v>
      </c>
      <c r="G94" s="157"/>
      <c r="H94" s="158"/>
      <c r="I94" s="159" t="s">
        <v>103</v>
      </c>
      <c r="J94" s="161">
        <f>SUM(J47:J93)</f>
        <v>226.166</v>
      </c>
      <c r="K94" s="159" t="s">
        <v>103</v>
      </c>
      <c r="L94" s="162">
        <f>SUM(L47:L93)</f>
        <v>259.82900000000001</v>
      </c>
    </row>
    <row r="95" spans="1:12" ht="12.75" thickBot="1">
      <c r="A95" s="163"/>
      <c r="B95" s="164"/>
      <c r="C95" s="165"/>
      <c r="D95" s="164"/>
      <c r="E95" s="166" t="s">
        <v>104</v>
      </c>
      <c r="F95" s="167">
        <f>+B94+F94+D94</f>
        <v>244.05799999999999</v>
      </c>
      <c r="G95" s="163"/>
      <c r="H95" s="164"/>
      <c r="I95" s="165"/>
      <c r="J95" s="164"/>
      <c r="K95" s="166" t="s">
        <v>104</v>
      </c>
      <c r="L95" s="167">
        <f>J94+L94</f>
        <v>485.995</v>
      </c>
    </row>
    <row r="96" spans="1:12" ht="12.75">
      <c r="G96" s="168"/>
      <c r="H96"/>
    </row>
    <row r="97" spans="1:15" ht="12.75">
      <c r="A97" s="12" t="s">
        <v>390</v>
      </c>
      <c r="G97" s="12" t="s">
        <v>393</v>
      </c>
      <c r="H97"/>
    </row>
    <row r="98" spans="1:15" ht="12.75">
      <c r="A98" s="12" t="s">
        <v>391</v>
      </c>
      <c r="G98" s="310" t="s">
        <v>392</v>
      </c>
      <c r="H98"/>
    </row>
    <row r="99" spans="1:15" ht="12.75" hidden="1">
      <c r="E99"/>
      <c r="G99" s="12" t="s">
        <v>105</v>
      </c>
      <c r="H99"/>
    </row>
    <row r="100" spans="1:15" ht="24" hidden="1">
      <c r="A100" s="169" t="s">
        <v>106</v>
      </c>
      <c r="B100" s="169" t="s">
        <v>107</v>
      </c>
      <c r="C100" s="169" t="s">
        <v>108</v>
      </c>
      <c r="D100" s="169" t="s">
        <v>109</v>
      </c>
      <c r="E100" s="169" t="s">
        <v>110</v>
      </c>
      <c r="F100" s="169" t="s">
        <v>111</v>
      </c>
      <c r="G100" s="12">
        <v>1.65</v>
      </c>
      <c r="H100"/>
    </row>
    <row r="101" spans="1:15" ht="12.75" hidden="1">
      <c r="A101" t="s">
        <v>112</v>
      </c>
      <c r="B101" t="s">
        <v>113</v>
      </c>
      <c r="C101">
        <v>10</v>
      </c>
      <c r="D101">
        <v>95</v>
      </c>
      <c r="E101">
        <v>0.09</v>
      </c>
      <c r="F101">
        <f>+$G$100*(E101/100)</f>
        <v>1.4849999999999998E-3</v>
      </c>
      <c r="G101"/>
      <c r="H101"/>
      <c r="I101"/>
      <c r="J101"/>
      <c r="K101"/>
      <c r="L101"/>
      <c r="M101"/>
      <c r="N101"/>
      <c r="O101"/>
    </row>
    <row r="102" spans="1:15" ht="12.75" hidden="1">
      <c r="A102"/>
      <c r="B102" t="s">
        <v>114</v>
      </c>
      <c r="C102">
        <v>42</v>
      </c>
      <c r="D102">
        <v>65</v>
      </c>
      <c r="E102">
        <v>0.27</v>
      </c>
      <c r="F102">
        <f>+$G$100*(E102/100)</f>
        <v>4.4549999999999998E-3</v>
      </c>
      <c r="G102"/>
      <c r="H102"/>
      <c r="I102"/>
      <c r="J102"/>
      <c r="K102"/>
      <c r="L102"/>
      <c r="M102"/>
      <c r="N102"/>
      <c r="O102"/>
    </row>
    <row r="103" spans="1:15" ht="12.75" hidden="1">
      <c r="A103"/>
      <c r="B103" t="s">
        <v>115</v>
      </c>
      <c r="C103">
        <v>89</v>
      </c>
      <c r="D103">
        <v>43.87</v>
      </c>
      <c r="E103">
        <v>0.39</v>
      </c>
      <c r="F103">
        <f>+$G$100*(E103/100)</f>
        <v>6.4349999999999997E-3</v>
      </c>
      <c r="G103"/>
      <c r="H103"/>
      <c r="I103"/>
      <c r="J103"/>
      <c r="K103"/>
      <c r="L103"/>
      <c r="M103"/>
      <c r="N103"/>
      <c r="O103"/>
    </row>
    <row r="104" spans="1:15" ht="12.75" hidden="1">
      <c r="A104"/>
      <c r="B104" t="s">
        <v>116</v>
      </c>
      <c r="C104">
        <v>2.44</v>
      </c>
      <c r="D104">
        <v>1.05</v>
      </c>
      <c r="E104">
        <v>0.03</v>
      </c>
      <c r="F104">
        <f>+$G$100*(E104/100)</f>
        <v>4.9499999999999989E-4</v>
      </c>
      <c r="G104"/>
      <c r="H104"/>
      <c r="I104"/>
      <c r="J104"/>
      <c r="K104"/>
      <c r="L104"/>
      <c r="M104"/>
      <c r="N104"/>
      <c r="O104"/>
    </row>
    <row r="105" spans="1:15" ht="12.75" hidden="1">
      <c r="A105"/>
      <c r="B105"/>
      <c r="C105"/>
      <c r="D105"/>
      <c r="E105" s="170" t="s">
        <v>104</v>
      </c>
      <c r="F105">
        <f>SUM(F101:F104)</f>
        <v>1.2869999999999999E-2</v>
      </c>
      <c r="G105"/>
      <c r="H105"/>
      <c r="I105"/>
      <c r="J105"/>
      <c r="K105"/>
      <c r="L105"/>
      <c r="M105"/>
      <c r="N105"/>
      <c r="O105"/>
    </row>
    <row r="106" spans="1:15" ht="12.75" hidden="1">
      <c r="A106"/>
      <c r="B106"/>
      <c r="C106"/>
      <c r="D106"/>
      <c r="E106" s="170"/>
      <c r="F106"/>
      <c r="G106"/>
      <c r="H106"/>
      <c r="I106"/>
      <c r="J106"/>
      <c r="K106"/>
      <c r="L106"/>
      <c r="M106"/>
      <c r="N106"/>
      <c r="O106"/>
    </row>
    <row r="107" spans="1:15" ht="12.75" hidden="1">
      <c r="A107" t="s">
        <v>117</v>
      </c>
      <c r="B107" t="s">
        <v>118</v>
      </c>
      <c r="C107" s="171">
        <v>0.27</v>
      </c>
      <c r="D107" s="171">
        <v>96.33</v>
      </c>
      <c r="E107" s="171">
        <v>0.26</v>
      </c>
      <c r="F107" s="171">
        <f>+$G$100*(E107/100)</f>
        <v>4.2899999999999995E-3</v>
      </c>
      <c r="G107"/>
      <c r="H107"/>
      <c r="I107"/>
      <c r="J107"/>
      <c r="K107"/>
      <c r="L107"/>
      <c r="M107"/>
      <c r="N107"/>
      <c r="O107"/>
    </row>
    <row r="108" spans="1:15" ht="12.75" hidden="1">
      <c r="A108"/>
      <c r="B108" t="s">
        <v>119</v>
      </c>
      <c r="C108" s="171">
        <v>0.36</v>
      </c>
      <c r="D108" s="171">
        <v>85.77</v>
      </c>
      <c r="E108" s="171">
        <v>0.31</v>
      </c>
      <c r="F108" s="171">
        <f>+$G$100*(E108/100)</f>
        <v>5.1149999999999998E-3</v>
      </c>
      <c r="G108"/>
      <c r="H108"/>
      <c r="I108"/>
      <c r="J108"/>
      <c r="K108"/>
      <c r="L108"/>
      <c r="M108"/>
      <c r="N108"/>
      <c r="O108"/>
    </row>
    <row r="109" spans="1:15" ht="12.75" hidden="1">
      <c r="A109"/>
      <c r="B109" t="s">
        <v>120</v>
      </c>
      <c r="C109" s="171">
        <v>0.8</v>
      </c>
      <c r="D109" s="171">
        <v>9.94</v>
      </c>
      <c r="E109" s="171">
        <v>0.08</v>
      </c>
      <c r="F109" s="171">
        <f>+$G$100*(E109/100)</f>
        <v>1.32E-3</v>
      </c>
      <c r="G109"/>
      <c r="H109"/>
      <c r="I109"/>
      <c r="J109"/>
      <c r="K109"/>
      <c r="L109"/>
      <c r="M109"/>
      <c r="N109"/>
      <c r="O109"/>
    </row>
    <row r="110" spans="1:15" ht="12.75" hidden="1">
      <c r="A110"/>
      <c r="B110" t="s">
        <v>121</v>
      </c>
      <c r="C110" s="171">
        <v>1.1399999999999999</v>
      </c>
      <c r="D110" s="171">
        <v>6.21</v>
      </c>
      <c r="E110" s="171">
        <v>7.0000000000000007E-2</v>
      </c>
      <c r="F110" s="171">
        <f>+$G$100*(E110/100)</f>
        <v>1.1550000000000002E-3</v>
      </c>
      <c r="G110"/>
      <c r="H110"/>
      <c r="I110"/>
      <c r="J110"/>
      <c r="K110"/>
      <c r="L110"/>
      <c r="M110"/>
      <c r="N110"/>
      <c r="O110"/>
    </row>
    <row r="111" spans="1:15" ht="12.75" hidden="1">
      <c r="A111"/>
      <c r="B111"/>
      <c r="C111" s="171"/>
      <c r="D111" s="171"/>
      <c r="E111" s="172" t="s">
        <v>122</v>
      </c>
      <c r="F111" s="171">
        <f>SUM(F108:F110)</f>
        <v>7.5899999999999995E-3</v>
      </c>
      <c r="G111"/>
      <c r="H111"/>
      <c r="I111"/>
      <c r="J111"/>
      <c r="K111"/>
      <c r="L111"/>
      <c r="M111"/>
      <c r="N111"/>
      <c r="O111"/>
    </row>
    <row r="112" spans="1:15" ht="12.75" hidden="1">
      <c r="A112"/>
      <c r="B112"/>
      <c r="C112" s="171"/>
      <c r="D112" s="171"/>
      <c r="E112" s="172" t="s">
        <v>123</v>
      </c>
      <c r="F112" s="171">
        <f>SUM(F107:F110)</f>
        <v>1.188E-2</v>
      </c>
      <c r="G112"/>
      <c r="H112"/>
      <c r="I112"/>
      <c r="J112"/>
      <c r="K112"/>
      <c r="L112"/>
      <c r="M112"/>
      <c r="N112"/>
      <c r="O112"/>
    </row>
    <row r="113" spans="1:15" ht="12.75" hidden="1">
      <c r="A113"/>
      <c r="B113"/>
      <c r="C113" s="171"/>
      <c r="D113" s="171"/>
      <c r="E113" s="171"/>
      <c r="F113" s="171"/>
      <c r="G113"/>
      <c r="H113"/>
      <c r="I113"/>
      <c r="J113"/>
      <c r="K113"/>
      <c r="L113"/>
      <c r="M113"/>
      <c r="N113"/>
      <c r="O113"/>
    </row>
    <row r="114" spans="1:15" ht="12.75" hidden="1">
      <c r="A114" t="s">
        <v>124</v>
      </c>
      <c r="B114" t="s">
        <v>124</v>
      </c>
      <c r="C114" s="171">
        <v>0.62</v>
      </c>
      <c r="D114" s="171">
        <v>94.29</v>
      </c>
      <c r="E114" s="171">
        <v>0.57999999999999996</v>
      </c>
      <c r="F114" s="171">
        <f>+$G$100*(E114/100)</f>
        <v>9.5699999999999986E-3</v>
      </c>
      <c r="G114"/>
      <c r="H114"/>
      <c r="I114"/>
      <c r="J114"/>
      <c r="K114"/>
      <c r="L114"/>
      <c r="M114"/>
      <c r="N114"/>
      <c r="O114"/>
    </row>
    <row r="115" spans="1:15" ht="12.75" hidden="1">
      <c r="A115"/>
      <c r="B115"/>
      <c r="C115" s="171"/>
      <c r="D115" s="171"/>
      <c r="E115" s="171"/>
      <c r="F115" s="171"/>
      <c r="G115"/>
      <c r="H115"/>
      <c r="I115"/>
      <c r="J115"/>
      <c r="K115"/>
      <c r="L115"/>
      <c r="M115"/>
      <c r="N115"/>
      <c r="O115"/>
    </row>
    <row r="116" spans="1:15" ht="12.75" hidden="1">
      <c r="A116" t="s">
        <v>125</v>
      </c>
      <c r="B116" t="s">
        <v>126</v>
      </c>
      <c r="C116" s="171">
        <v>0.85</v>
      </c>
      <c r="D116" s="171">
        <v>100</v>
      </c>
      <c r="E116" s="171">
        <v>0.85</v>
      </c>
      <c r="F116" s="171">
        <f>+$G$100*(E116/100)</f>
        <v>1.4025000000000001E-2</v>
      </c>
      <c r="G116"/>
      <c r="H116"/>
      <c r="I116"/>
      <c r="J116"/>
      <c r="K116"/>
      <c r="L116"/>
      <c r="M116"/>
      <c r="N116"/>
      <c r="O116"/>
    </row>
    <row r="117" spans="1:15" ht="12.75" hidden="1">
      <c r="A117"/>
      <c r="B117"/>
      <c r="C117" s="171"/>
      <c r="D117" s="171"/>
      <c r="E117" s="171"/>
      <c r="F117" s="171"/>
      <c r="G117"/>
      <c r="H117"/>
      <c r="I117"/>
      <c r="J117"/>
      <c r="K117"/>
      <c r="L117"/>
      <c r="M117"/>
      <c r="N117"/>
      <c r="O117"/>
    </row>
    <row r="118" spans="1:15" ht="12.75" hidden="1">
      <c r="A118" t="s">
        <v>127</v>
      </c>
      <c r="B118" t="s">
        <v>128</v>
      </c>
      <c r="C118" s="171" t="s">
        <v>129</v>
      </c>
      <c r="D118" s="171"/>
      <c r="E118" s="171">
        <v>0.35460000000000003</v>
      </c>
      <c r="F118" s="171">
        <f>+$G$100*(E118/100)</f>
        <v>5.8509E-3</v>
      </c>
      <c r="G118"/>
      <c r="H118"/>
      <c r="I118"/>
      <c r="J118"/>
      <c r="K118"/>
      <c r="L118"/>
      <c r="M118"/>
      <c r="N118"/>
      <c r="O118"/>
    </row>
    <row r="119" spans="1:15" ht="12.75" hidden="1">
      <c r="A119"/>
      <c r="B119" t="s">
        <v>130</v>
      </c>
      <c r="C119" s="171" t="s">
        <v>131</v>
      </c>
      <c r="D119" s="171"/>
      <c r="E119" s="171">
        <v>0.55700000000000005</v>
      </c>
      <c r="F119" s="171">
        <f>+$G$100*(E119/100)</f>
        <v>9.1905000000000008E-3</v>
      </c>
      <c r="G119"/>
      <c r="H119"/>
      <c r="I119"/>
    </row>
    <row r="120" spans="1:15" ht="12.75" hidden="1">
      <c r="A120"/>
      <c r="B120" t="s">
        <v>132</v>
      </c>
      <c r="C120" s="171" t="s">
        <v>133</v>
      </c>
      <c r="D120" s="171"/>
      <c r="E120" s="171">
        <v>0.628</v>
      </c>
      <c r="F120" s="171">
        <f>+$G$100*(E120/100)</f>
        <v>1.0362E-2</v>
      </c>
      <c r="G120"/>
      <c r="H120"/>
      <c r="I120"/>
    </row>
    <row r="121" spans="1:15" ht="12.75" hidden="1">
      <c r="A121"/>
      <c r="B121"/>
      <c r="C121" s="171"/>
      <c r="D121" s="171"/>
      <c r="E121" s="171"/>
      <c r="F121" s="171"/>
      <c r="G121"/>
      <c r="H121"/>
      <c r="I121"/>
    </row>
    <row r="122" spans="1:15" ht="12.75" hidden="1">
      <c r="A122" t="s">
        <v>134</v>
      </c>
      <c r="B122" t="s">
        <v>135</v>
      </c>
      <c r="C122" s="171" t="s">
        <v>136</v>
      </c>
      <c r="D122" s="171"/>
      <c r="E122" s="171">
        <v>0.309</v>
      </c>
      <c r="F122" s="171">
        <f>+$G$100*(E122/100)</f>
        <v>5.0984999999999997E-3</v>
      </c>
      <c r="G122"/>
      <c r="H122"/>
      <c r="I122"/>
    </row>
    <row r="123" spans="1:15" ht="12.75" hidden="1">
      <c r="A123"/>
      <c r="B123"/>
      <c r="C123" s="171"/>
      <c r="D123" s="171"/>
      <c r="E123" s="171"/>
      <c r="F123" s="171"/>
      <c r="G123"/>
      <c r="H123"/>
      <c r="I123"/>
    </row>
    <row r="124" spans="1:15" ht="12.75" hidden="1">
      <c r="A124" t="s">
        <v>137</v>
      </c>
      <c r="B124" t="s">
        <v>138</v>
      </c>
      <c r="C124" s="171" t="s">
        <v>139</v>
      </c>
      <c r="D124" s="171"/>
      <c r="E124" s="171">
        <v>0.37480000000000002</v>
      </c>
      <c r="F124" s="171">
        <f>+$G$100*(E124/100)</f>
        <v>6.1841999999999999E-3</v>
      </c>
      <c r="G124"/>
      <c r="H124"/>
      <c r="I124"/>
    </row>
    <row r="125" spans="1:15" ht="12.75" hidden="1">
      <c r="A125"/>
      <c r="B125"/>
      <c r="C125"/>
      <c r="D125"/>
      <c r="E125"/>
      <c r="F125"/>
      <c r="G125"/>
      <c r="H125"/>
      <c r="I125"/>
    </row>
    <row r="126" spans="1:15" ht="12.75">
      <c r="B126"/>
      <c r="C126"/>
      <c r="D126"/>
      <c r="E126"/>
      <c r="F126"/>
      <c r="G126"/>
      <c r="H126"/>
      <c r="I126"/>
    </row>
    <row r="127" spans="1:15" ht="12.75">
      <c r="A127"/>
      <c r="B127"/>
      <c r="C127"/>
      <c r="D127"/>
      <c r="E127"/>
      <c r="F127"/>
      <c r="G127"/>
      <c r="H127"/>
      <c r="I127"/>
    </row>
    <row r="128" spans="1:15" ht="12.75">
      <c r="A128"/>
      <c r="B128"/>
      <c r="C128"/>
      <c r="D128"/>
      <c r="E128"/>
      <c r="F128"/>
      <c r="G128"/>
      <c r="H128"/>
      <c r="I128"/>
    </row>
    <row r="129" spans="1:15" ht="12.75">
      <c r="A129"/>
      <c r="B129"/>
      <c r="C129"/>
      <c r="D129"/>
      <c r="E129"/>
      <c r="F129"/>
      <c r="G129"/>
      <c r="H129"/>
      <c r="I129"/>
    </row>
    <row r="130" spans="1:15" ht="12.75">
      <c r="A130" s="421" t="s">
        <v>140</v>
      </c>
      <c r="B130" s="422"/>
      <c r="C130" s="423"/>
      <c r="D130"/>
      <c r="E130" s="173" t="s">
        <v>141</v>
      </c>
      <c r="F130"/>
      <c r="G130" s="174"/>
      <c r="H130"/>
      <c r="I130" s="302" t="s">
        <v>47</v>
      </c>
      <c r="J130" s="303"/>
      <c r="K130" s="304"/>
      <c r="N130" s="12" t="s">
        <v>142</v>
      </c>
    </row>
    <row r="131" spans="1:15" ht="12.75">
      <c r="A131" s="178" t="s">
        <v>143</v>
      </c>
      <c r="B131" s="176" t="s">
        <v>144</v>
      </c>
      <c r="C131" s="323">
        <v>0.63</v>
      </c>
      <c r="D131" s="65"/>
      <c r="E131" s="176">
        <v>0.83299999999999996</v>
      </c>
      <c r="F131" s="66">
        <f>C131-E131</f>
        <v>-0.20299999999999996</v>
      </c>
      <c r="G131" s="178">
        <v>0.83299999999999996</v>
      </c>
      <c r="H131" s="66"/>
      <c r="I131" s="178" t="s">
        <v>145</v>
      </c>
      <c r="J131" s="65"/>
      <c r="K131" s="177">
        <v>0</v>
      </c>
      <c r="L131" s="65">
        <v>882</v>
      </c>
      <c r="N131" s="12" t="s">
        <v>146</v>
      </c>
      <c r="O131" s="12">
        <v>1024</v>
      </c>
    </row>
    <row r="132" spans="1:15" ht="12.75">
      <c r="A132" s="65"/>
      <c r="B132" s="176" t="s">
        <v>147</v>
      </c>
      <c r="C132" s="323">
        <v>1E-3</v>
      </c>
      <c r="D132" s="65"/>
      <c r="E132" s="66">
        <v>1E-3</v>
      </c>
      <c r="F132" s="66">
        <f>C132-E132</f>
        <v>0</v>
      </c>
      <c r="G132" s="178">
        <v>1E-3</v>
      </c>
      <c r="H132" s="66"/>
      <c r="I132" s="178" t="s">
        <v>148</v>
      </c>
      <c r="J132" s="65">
        <v>6688</v>
      </c>
      <c r="K132" s="316">
        <v>17</v>
      </c>
      <c r="L132" s="65"/>
      <c r="N132" s="12" t="s">
        <v>149</v>
      </c>
      <c r="O132" s="12">
        <v>1500</v>
      </c>
    </row>
    <row r="133" spans="1:15" ht="12.75">
      <c r="A133" s="65"/>
      <c r="B133" s="176" t="s">
        <v>150</v>
      </c>
      <c r="C133" s="323">
        <v>0.5</v>
      </c>
      <c r="D133" s="65"/>
      <c r="E133" s="66">
        <v>0.5</v>
      </c>
      <c r="F133" s="66">
        <f>C133-E133</f>
        <v>0</v>
      </c>
      <c r="G133" s="178">
        <v>0.5</v>
      </c>
      <c r="H133" s="66"/>
      <c r="I133" s="178" t="s">
        <v>68</v>
      </c>
      <c r="J133" s="65">
        <v>6888</v>
      </c>
      <c r="K133" s="322">
        <v>5687</v>
      </c>
      <c r="L133" s="65"/>
      <c r="N133" s="12" t="s">
        <v>151</v>
      </c>
      <c r="O133" s="12">
        <v>219</v>
      </c>
    </row>
    <row r="134" spans="1:15" ht="12.75">
      <c r="A134" s="65"/>
      <c r="B134" s="176" t="s">
        <v>152</v>
      </c>
      <c r="C134" s="323">
        <v>10</v>
      </c>
      <c r="D134" s="65">
        <v>2</v>
      </c>
      <c r="E134" s="66">
        <v>10</v>
      </c>
      <c r="F134" s="66">
        <f>C134-E134</f>
        <v>0</v>
      </c>
      <c r="G134" s="178">
        <v>12</v>
      </c>
      <c r="H134" s="66"/>
      <c r="I134" s="178"/>
      <c r="J134" s="65"/>
      <c r="K134" s="177"/>
      <c r="L134" s="65"/>
      <c r="N134" s="12" t="s">
        <v>153</v>
      </c>
      <c r="O134" s="12">
        <v>1000</v>
      </c>
    </row>
    <row r="135" spans="1:15" ht="12.75">
      <c r="A135" s="178" t="s">
        <v>154</v>
      </c>
      <c r="B135" s="176" t="s">
        <v>155</v>
      </c>
      <c r="C135" s="323">
        <v>3.6</v>
      </c>
      <c r="D135" s="65"/>
      <c r="E135" s="66">
        <v>3.6</v>
      </c>
      <c r="F135" s="66">
        <f>C135-E135</f>
        <v>0</v>
      </c>
      <c r="G135" s="178">
        <v>3.6</v>
      </c>
      <c r="H135" s="66"/>
      <c r="I135" s="178" t="s">
        <v>156</v>
      </c>
      <c r="J135" s="65">
        <v>900338</v>
      </c>
      <c r="K135" s="322">
        <v>749</v>
      </c>
      <c r="L135" s="65"/>
      <c r="N135" s="12" t="s">
        <v>157</v>
      </c>
      <c r="O135" s="12">
        <v>90</v>
      </c>
    </row>
    <row r="136" spans="1:15" ht="12.75">
      <c r="A136" s="178"/>
      <c r="B136" s="176"/>
      <c r="C136" s="176"/>
      <c r="D136" s="65"/>
      <c r="E136" s="66"/>
      <c r="F136" s="66"/>
      <c r="G136" s="178"/>
      <c r="H136" s="66"/>
      <c r="I136" s="178"/>
      <c r="J136" s="65"/>
      <c r="K136" s="179"/>
      <c r="L136" s="65"/>
    </row>
    <row r="137" spans="1:15" ht="12.75">
      <c r="A137" s="65"/>
      <c r="B137" s="176" t="s">
        <v>22</v>
      </c>
      <c r="C137" s="178">
        <v>0</v>
      </c>
      <c r="D137" s="65" t="s">
        <v>158</v>
      </c>
      <c r="E137" s="66">
        <v>0</v>
      </c>
      <c r="F137" s="66">
        <f>C137-E137</f>
        <v>0</v>
      </c>
      <c r="G137" s="178">
        <v>0</v>
      </c>
      <c r="H137" s="66"/>
      <c r="I137" s="178" t="s">
        <v>386</v>
      </c>
      <c r="J137" s="65">
        <v>3405</v>
      </c>
      <c r="K137" s="322">
        <v>2429</v>
      </c>
      <c r="L137" s="65"/>
      <c r="N137" s="12" t="s">
        <v>80</v>
      </c>
    </row>
    <row r="138" spans="1:15" ht="12.75">
      <c r="A138" s="65"/>
      <c r="B138" s="176" t="s">
        <v>160</v>
      </c>
      <c r="C138" s="323">
        <v>2.4</v>
      </c>
      <c r="D138" s="65"/>
      <c r="E138" s="66">
        <v>2.4</v>
      </c>
      <c r="F138" s="66">
        <f>C138-E138</f>
        <v>0</v>
      </c>
      <c r="G138" s="178">
        <v>2.4</v>
      </c>
      <c r="H138" s="66"/>
      <c r="I138" s="178" t="s">
        <v>161</v>
      </c>
      <c r="J138" s="65"/>
      <c r="K138" s="179">
        <v>0</v>
      </c>
      <c r="L138" s="65">
        <v>660</v>
      </c>
    </row>
    <row r="139" spans="1:15" ht="12.75">
      <c r="A139" s="178" t="s">
        <v>162</v>
      </c>
      <c r="B139" s="176" t="s">
        <v>163</v>
      </c>
      <c r="C139" s="323">
        <v>0.8</v>
      </c>
      <c r="D139" s="66"/>
      <c r="E139" s="66">
        <v>0.8</v>
      </c>
      <c r="F139" s="66">
        <f>C139-E139</f>
        <v>0</v>
      </c>
      <c r="G139" s="178">
        <v>0.8</v>
      </c>
      <c r="H139" s="66"/>
      <c r="I139" s="178" t="s">
        <v>365</v>
      </c>
      <c r="J139" s="65">
        <v>5333</v>
      </c>
      <c r="K139" s="322">
        <v>250</v>
      </c>
      <c r="L139" s="65" t="s">
        <v>366</v>
      </c>
    </row>
    <row r="140" spans="1:15" ht="12.75">
      <c r="A140" s="66"/>
      <c r="B140" s="176" t="s">
        <v>6</v>
      </c>
      <c r="C140" s="323">
        <v>16.5</v>
      </c>
      <c r="D140" s="66"/>
      <c r="E140" s="66">
        <v>16.940999999999999</v>
      </c>
      <c r="F140" s="66">
        <f>C140-E140</f>
        <v>-0.44099999999999895</v>
      </c>
      <c r="G140" s="178">
        <v>16.5</v>
      </c>
      <c r="H140" s="178"/>
      <c r="I140" s="177" t="s">
        <v>164</v>
      </c>
      <c r="J140" s="65">
        <v>6835</v>
      </c>
      <c r="K140" s="322">
        <v>24</v>
      </c>
      <c r="L140" s="65"/>
    </row>
    <row r="141" spans="1:15" ht="12.75">
      <c r="A141" s="66"/>
      <c r="B141" s="176" t="s">
        <v>7</v>
      </c>
      <c r="C141" s="178">
        <v>0</v>
      </c>
      <c r="D141" s="66" t="s">
        <v>65</v>
      </c>
      <c r="E141" s="66">
        <v>0</v>
      </c>
      <c r="F141" s="66">
        <f>C141-E141</f>
        <v>0</v>
      </c>
      <c r="G141" s="178">
        <v>20</v>
      </c>
      <c r="H141" s="66"/>
      <c r="I141" s="177" t="s">
        <v>165</v>
      </c>
      <c r="J141" s="65">
        <v>4286</v>
      </c>
      <c r="K141" s="322">
        <v>39</v>
      </c>
      <c r="L141" s="65"/>
    </row>
    <row r="142" spans="1:15" ht="12.75">
      <c r="A142" s="66"/>
      <c r="B142" s="176"/>
      <c r="C142" s="178"/>
      <c r="D142" s="66"/>
      <c r="E142" s="66"/>
      <c r="F142" s="66"/>
      <c r="G142" s="178"/>
      <c r="H142" s="66"/>
      <c r="I142" s="177" t="s">
        <v>166</v>
      </c>
      <c r="J142" s="65">
        <v>9676</v>
      </c>
      <c r="K142" s="301">
        <v>0</v>
      </c>
      <c r="L142" s="235" t="s">
        <v>331</v>
      </c>
    </row>
    <row r="143" spans="1:15" ht="12.75">
      <c r="A143" s="66"/>
      <c r="B143" s="176" t="s">
        <v>167</v>
      </c>
      <c r="C143" s="323">
        <v>2.5000000000000001E-2</v>
      </c>
      <c r="D143" s="66"/>
      <c r="E143" s="66">
        <v>2.5000000000000001E-2</v>
      </c>
      <c r="F143" s="66">
        <f>C143-E143</f>
        <v>0</v>
      </c>
      <c r="G143" s="178">
        <v>2.5000000000000001E-2</v>
      </c>
      <c r="H143" s="66"/>
      <c r="I143" s="177" t="s">
        <v>401</v>
      </c>
      <c r="J143" s="65">
        <v>6480</v>
      </c>
      <c r="K143" s="322">
        <v>1</v>
      </c>
      <c r="L143" s="235"/>
    </row>
    <row r="144" spans="1:15" ht="12.75">
      <c r="A144" s="66"/>
      <c r="B144" s="176" t="s">
        <v>169</v>
      </c>
      <c r="C144" s="178">
        <v>0</v>
      </c>
      <c r="D144" s="66"/>
      <c r="E144" s="66">
        <v>1.3</v>
      </c>
      <c r="F144" s="66">
        <f>C144-E144</f>
        <v>-1.3</v>
      </c>
      <c r="G144" s="178">
        <v>1.3</v>
      </c>
      <c r="H144" s="66"/>
      <c r="I144" s="177" t="s">
        <v>342</v>
      </c>
      <c r="J144" s="65">
        <v>6551</v>
      </c>
      <c r="K144" s="322">
        <v>100</v>
      </c>
      <c r="L144" s="65"/>
    </row>
    <row r="145" spans="1:12" ht="12.75">
      <c r="A145" s="66"/>
      <c r="B145" s="176" t="s">
        <v>171</v>
      </c>
      <c r="C145" s="323">
        <v>7</v>
      </c>
      <c r="D145" s="66">
        <v>8</v>
      </c>
      <c r="E145" s="66">
        <v>7.407</v>
      </c>
      <c r="F145" s="66">
        <f>C145-E145</f>
        <v>-0.40700000000000003</v>
      </c>
      <c r="G145" s="178">
        <v>8</v>
      </c>
      <c r="H145" s="66"/>
      <c r="I145" s="177" t="s">
        <v>168</v>
      </c>
      <c r="J145" s="65">
        <v>6373</v>
      </c>
      <c r="K145" s="322">
        <v>1</v>
      </c>
      <c r="L145" s="65"/>
    </row>
    <row r="146" spans="1:12" ht="12.75">
      <c r="A146" s="66"/>
      <c r="B146" s="176"/>
      <c r="C146" s="176"/>
      <c r="D146" s="66"/>
      <c r="E146" s="66"/>
      <c r="F146" s="66"/>
      <c r="G146" s="178"/>
      <c r="H146" s="66"/>
      <c r="I146" s="177" t="s">
        <v>402</v>
      </c>
      <c r="J146" s="65">
        <v>4056</v>
      </c>
      <c r="K146" s="322">
        <v>514</v>
      </c>
      <c r="L146" s="65"/>
    </row>
    <row r="147" spans="1:12" ht="12.75">
      <c r="A147" s="66"/>
      <c r="B147" s="176" t="s">
        <v>173</v>
      </c>
      <c r="C147" s="327">
        <v>18</v>
      </c>
      <c r="D147" s="66" t="s">
        <v>415</v>
      </c>
      <c r="E147" s="66">
        <v>20</v>
      </c>
      <c r="F147" s="66">
        <f t="shared" ref="F147:F153" si="0">C147-E147</f>
        <v>-2</v>
      </c>
      <c r="G147" s="178">
        <v>22.5</v>
      </c>
      <c r="H147" s="65"/>
      <c r="I147" s="177" t="s">
        <v>402</v>
      </c>
      <c r="J147" s="65">
        <v>6855</v>
      </c>
      <c r="K147" s="322">
        <v>3</v>
      </c>
      <c r="L147" s="65"/>
    </row>
    <row r="148" spans="1:12" ht="12.75">
      <c r="A148" s="66"/>
      <c r="B148" s="176" t="s">
        <v>175</v>
      </c>
      <c r="C148" s="323">
        <v>3.85</v>
      </c>
      <c r="D148" s="66"/>
      <c r="E148" s="66">
        <v>3.85</v>
      </c>
      <c r="F148" s="66">
        <f t="shared" si="0"/>
        <v>0</v>
      </c>
      <c r="G148" s="178">
        <v>3.85</v>
      </c>
      <c r="H148" s="65"/>
      <c r="I148" s="177" t="s">
        <v>170</v>
      </c>
      <c r="J148" s="65">
        <v>4132</v>
      </c>
      <c r="K148" s="322">
        <v>154</v>
      </c>
      <c r="L148" s="65">
        <v>11</v>
      </c>
    </row>
    <row r="149" spans="1:12" ht="12.75">
      <c r="A149" s="66"/>
      <c r="B149" s="176" t="s">
        <v>11</v>
      </c>
      <c r="C149" s="176">
        <v>0</v>
      </c>
      <c r="D149" s="66"/>
      <c r="E149" s="66">
        <v>0</v>
      </c>
      <c r="F149" s="66">
        <f t="shared" si="0"/>
        <v>0</v>
      </c>
      <c r="G149" s="178">
        <v>62</v>
      </c>
      <c r="H149" s="65"/>
      <c r="I149" s="177" t="s">
        <v>172</v>
      </c>
      <c r="J149" s="65">
        <v>4120</v>
      </c>
      <c r="K149" s="322">
        <v>821</v>
      </c>
      <c r="L149" s="65"/>
    </row>
    <row r="150" spans="1:12" ht="12.75">
      <c r="A150" s="66"/>
      <c r="B150" s="176" t="s">
        <v>178</v>
      </c>
      <c r="C150" s="323">
        <v>2.5000000000000001E-2</v>
      </c>
      <c r="D150" s="66"/>
      <c r="E150" s="66">
        <v>2.5000000000000001E-2</v>
      </c>
      <c r="F150" s="66">
        <f t="shared" si="0"/>
        <v>0</v>
      </c>
      <c r="G150" s="178">
        <v>2.5000000000000001E-2</v>
      </c>
      <c r="H150" s="65"/>
      <c r="I150" s="177" t="s">
        <v>78</v>
      </c>
      <c r="J150" s="65">
        <v>639</v>
      </c>
      <c r="K150" s="322">
        <v>500</v>
      </c>
      <c r="L150" s="65"/>
    </row>
    <row r="151" spans="1:12" ht="12.75">
      <c r="A151" s="66"/>
      <c r="B151" s="176" t="s">
        <v>180</v>
      </c>
      <c r="C151" s="323">
        <v>0.05</v>
      </c>
      <c r="D151" s="66"/>
      <c r="E151" s="66">
        <v>0.05</v>
      </c>
      <c r="F151" s="66">
        <f t="shared" si="0"/>
        <v>0</v>
      </c>
      <c r="G151" s="178">
        <v>0.05</v>
      </c>
      <c r="H151" s="65"/>
      <c r="I151" s="177" t="s">
        <v>343</v>
      </c>
      <c r="J151" s="65">
        <v>6840</v>
      </c>
      <c r="K151" s="322">
        <v>1317</v>
      </c>
      <c r="L151" s="65"/>
    </row>
    <row r="152" spans="1:12" ht="12.75">
      <c r="A152" s="66"/>
      <c r="B152" s="176" t="s">
        <v>181</v>
      </c>
      <c r="C152" s="323">
        <v>13</v>
      </c>
      <c r="D152" s="66">
        <v>11</v>
      </c>
      <c r="E152" s="66">
        <v>4.665</v>
      </c>
      <c r="F152" s="66">
        <f t="shared" si="0"/>
        <v>8.3350000000000009</v>
      </c>
      <c r="G152" s="178">
        <v>6</v>
      </c>
      <c r="H152" s="65"/>
      <c r="I152" s="177"/>
      <c r="J152" s="65"/>
      <c r="K152" s="177"/>
      <c r="L152" s="65"/>
    </row>
    <row r="153" spans="1:12" ht="12.75">
      <c r="A153" s="66"/>
      <c r="B153" s="176" t="s">
        <v>183</v>
      </c>
      <c r="C153" s="323">
        <v>0.41899999999999998</v>
      </c>
      <c r="D153" s="65"/>
      <c r="E153" s="66">
        <v>0.41899999999999998</v>
      </c>
      <c r="F153" s="66">
        <f t="shared" si="0"/>
        <v>0</v>
      </c>
      <c r="G153" s="178">
        <v>0.41899999999999998</v>
      </c>
      <c r="H153" s="65"/>
      <c r="I153" s="177" t="s">
        <v>176</v>
      </c>
      <c r="J153" s="65">
        <v>6519</v>
      </c>
      <c r="K153" s="322">
        <v>2</v>
      </c>
      <c r="L153" s="65"/>
    </row>
    <row r="154" spans="1:12" ht="12.75">
      <c r="A154" s="66"/>
      <c r="B154" s="176"/>
      <c r="C154" s="176"/>
      <c r="D154" s="65"/>
      <c r="E154" s="66"/>
      <c r="F154" s="66"/>
      <c r="G154" s="178"/>
      <c r="H154" s="65"/>
      <c r="I154" s="177" t="s">
        <v>177</v>
      </c>
      <c r="J154" s="65">
        <v>5502</v>
      </c>
      <c r="K154" s="322">
        <v>37</v>
      </c>
      <c r="L154" s="65"/>
    </row>
    <row r="155" spans="1:12" ht="12.75">
      <c r="A155" s="65"/>
      <c r="B155" s="176" t="s">
        <v>186</v>
      </c>
      <c r="C155" s="323">
        <v>5</v>
      </c>
      <c r="D155" s="65"/>
      <c r="E155" s="66">
        <v>5</v>
      </c>
      <c r="F155" s="66">
        <f t="shared" ref="F155:F169" si="1">C155-E155</f>
        <v>0</v>
      </c>
      <c r="G155" s="178">
        <v>5</v>
      </c>
      <c r="H155" s="65"/>
      <c r="I155" s="177" t="s">
        <v>179</v>
      </c>
      <c r="J155" s="65">
        <v>6789</v>
      </c>
      <c r="K155" s="322">
        <v>12500</v>
      </c>
      <c r="L155" s="65"/>
    </row>
    <row r="156" spans="1:12" ht="12.75">
      <c r="A156" s="65"/>
      <c r="B156" s="176" t="s">
        <v>187</v>
      </c>
      <c r="C156" s="178">
        <v>0</v>
      </c>
      <c r="D156" s="65"/>
      <c r="E156" s="66">
        <v>0</v>
      </c>
      <c r="F156" s="66">
        <f t="shared" si="1"/>
        <v>0</v>
      </c>
      <c r="G156" s="178">
        <v>20</v>
      </c>
      <c r="H156" s="65"/>
      <c r="I156" s="177" t="s">
        <v>354</v>
      </c>
      <c r="J156" s="211">
        <v>6545</v>
      </c>
      <c r="K156" s="322">
        <v>68</v>
      </c>
      <c r="L156" s="65"/>
    </row>
    <row r="157" spans="1:12" ht="12.75">
      <c r="A157" s="65"/>
      <c r="B157" s="176" t="s">
        <v>189</v>
      </c>
      <c r="C157" s="323">
        <v>10</v>
      </c>
      <c r="D157" s="65"/>
      <c r="E157" s="66">
        <v>9.5619999999999994</v>
      </c>
      <c r="F157" s="66">
        <f t="shared" si="1"/>
        <v>0.43800000000000061</v>
      </c>
      <c r="G157" s="178">
        <v>10</v>
      </c>
      <c r="H157" s="65"/>
      <c r="I157" s="177" t="s">
        <v>354</v>
      </c>
      <c r="J157" s="211">
        <v>275</v>
      </c>
      <c r="K157" s="322">
        <v>82</v>
      </c>
      <c r="L157" s="65" t="s">
        <v>185</v>
      </c>
    </row>
    <row r="158" spans="1:12" ht="12.75">
      <c r="A158" s="65"/>
      <c r="B158" s="176" t="s">
        <v>191</v>
      </c>
      <c r="C158" s="323">
        <v>0.1</v>
      </c>
      <c r="D158" s="65"/>
      <c r="E158" s="66">
        <v>0.1</v>
      </c>
      <c r="F158" s="66">
        <f t="shared" si="1"/>
        <v>0</v>
      </c>
      <c r="G158" s="178">
        <v>0.1</v>
      </c>
      <c r="H158" s="65"/>
      <c r="I158" s="177" t="s">
        <v>355</v>
      </c>
      <c r="J158" s="211">
        <v>9812</v>
      </c>
      <c r="K158" s="322">
        <v>471</v>
      </c>
      <c r="L158" s="65"/>
    </row>
    <row r="159" spans="1:12" ht="12.75">
      <c r="A159" s="65"/>
      <c r="B159" s="176" t="s">
        <v>327</v>
      </c>
      <c r="C159" s="323">
        <v>2</v>
      </c>
      <c r="D159" s="65"/>
      <c r="E159" s="66">
        <v>2</v>
      </c>
      <c r="F159" s="66">
        <f t="shared" si="1"/>
        <v>0</v>
      </c>
      <c r="G159" s="178">
        <v>2</v>
      </c>
      <c r="H159" s="65"/>
      <c r="I159" s="177" t="s">
        <v>356</v>
      </c>
      <c r="J159" s="211">
        <v>6387</v>
      </c>
      <c r="K159" s="322">
        <v>400</v>
      </c>
      <c r="L159" s="65"/>
    </row>
    <row r="160" spans="1:12" ht="12.75">
      <c r="A160" s="65"/>
      <c r="B160" s="176" t="s">
        <v>196</v>
      </c>
      <c r="C160" s="323">
        <v>0.02</v>
      </c>
      <c r="D160" s="65"/>
      <c r="E160" s="66">
        <v>0.02</v>
      </c>
      <c r="F160" s="66">
        <f t="shared" si="1"/>
        <v>0</v>
      </c>
      <c r="G160" s="178">
        <v>0.02</v>
      </c>
      <c r="H160" s="65"/>
      <c r="I160" s="177" t="s">
        <v>356</v>
      </c>
      <c r="J160" s="211">
        <v>6347</v>
      </c>
      <c r="K160" s="322">
        <v>186</v>
      </c>
      <c r="L160" s="65"/>
    </row>
    <row r="161" spans="1:12" ht="12.75">
      <c r="A161" s="65"/>
      <c r="B161" s="176"/>
      <c r="C161" s="178"/>
      <c r="D161" s="65"/>
      <c r="E161" s="66">
        <v>0</v>
      </c>
      <c r="F161" s="66">
        <f t="shared" si="1"/>
        <v>0</v>
      </c>
      <c r="G161" s="178">
        <v>10</v>
      </c>
      <c r="H161" s="65"/>
      <c r="I161" s="177" t="s">
        <v>356</v>
      </c>
      <c r="J161" s="211">
        <v>5892</v>
      </c>
      <c r="K161" s="322">
        <v>105</v>
      </c>
      <c r="L161" s="65"/>
    </row>
    <row r="162" spans="1:12" ht="12.75">
      <c r="A162" s="65"/>
      <c r="B162" s="176" t="s">
        <v>198</v>
      </c>
      <c r="C162" s="323">
        <v>0.55600000000000005</v>
      </c>
      <c r="D162" s="65"/>
      <c r="E162" s="66">
        <v>0.5</v>
      </c>
      <c r="F162" s="66">
        <f t="shared" si="1"/>
        <v>5.600000000000005E-2</v>
      </c>
      <c r="G162" s="178">
        <v>0.70499999999999996</v>
      </c>
      <c r="H162" s="65"/>
      <c r="I162" s="177" t="s">
        <v>356</v>
      </c>
      <c r="J162" s="211">
        <v>6757</v>
      </c>
      <c r="K162" s="322">
        <v>194</v>
      </c>
      <c r="L162" s="65"/>
    </row>
    <row r="163" spans="1:12" ht="12.75">
      <c r="A163" s="65"/>
      <c r="B163" s="176" t="s">
        <v>201</v>
      </c>
      <c r="C163" s="323">
        <v>10</v>
      </c>
      <c r="D163" s="65"/>
      <c r="E163" s="66">
        <v>10.922000000000001</v>
      </c>
      <c r="F163" s="66">
        <f t="shared" si="1"/>
        <v>-0.9220000000000006</v>
      </c>
      <c r="G163" s="178">
        <v>8.5</v>
      </c>
      <c r="H163" s="65"/>
      <c r="I163" s="177" t="s">
        <v>182</v>
      </c>
      <c r="J163" s="65">
        <v>6598</v>
      </c>
      <c r="K163" s="322">
        <v>235</v>
      </c>
      <c r="L163" s="65"/>
    </row>
    <row r="164" spans="1:12" ht="12.75">
      <c r="A164" s="65"/>
      <c r="B164" s="176" t="s">
        <v>203</v>
      </c>
      <c r="C164" s="323">
        <v>2</v>
      </c>
      <c r="D164" s="65"/>
      <c r="E164" s="66">
        <v>2</v>
      </c>
      <c r="F164" s="66">
        <f t="shared" si="1"/>
        <v>0</v>
      </c>
      <c r="G164" s="178">
        <v>0</v>
      </c>
      <c r="H164" s="65"/>
      <c r="I164" s="177" t="s">
        <v>184</v>
      </c>
      <c r="J164" s="65">
        <v>6392</v>
      </c>
      <c r="K164" s="322">
        <v>65</v>
      </c>
      <c r="L164" s="65">
        <v>1287</v>
      </c>
    </row>
    <row r="165" spans="1:12" ht="12.75">
      <c r="A165" s="65"/>
      <c r="B165" s="176" t="s">
        <v>16</v>
      </c>
      <c r="C165" s="323">
        <v>33</v>
      </c>
      <c r="D165" s="65"/>
      <c r="E165" s="66">
        <v>42.670999999999999</v>
      </c>
      <c r="F165" s="66">
        <f t="shared" si="1"/>
        <v>-9.6709999999999994</v>
      </c>
      <c r="G165" s="178">
        <v>30</v>
      </c>
      <c r="H165" s="65"/>
      <c r="I165" s="177" t="s">
        <v>297</v>
      </c>
      <c r="J165" s="65">
        <v>440</v>
      </c>
      <c r="K165" s="322">
        <v>444</v>
      </c>
      <c r="L165" s="65">
        <v>4770</v>
      </c>
    </row>
    <row r="166" spans="1:12" ht="12.75">
      <c r="A166" s="65"/>
      <c r="B166" s="319" t="s">
        <v>14</v>
      </c>
      <c r="C166" s="323">
        <v>65</v>
      </c>
      <c r="D166" s="65">
        <v>65</v>
      </c>
      <c r="E166" s="66">
        <v>63.606999999999999</v>
      </c>
      <c r="F166" s="66">
        <f t="shared" si="1"/>
        <v>1.3930000000000007</v>
      </c>
      <c r="G166" s="178">
        <v>65</v>
      </c>
      <c r="H166" s="65"/>
      <c r="I166" s="177" t="s">
        <v>149</v>
      </c>
      <c r="J166" s="65">
        <v>6173</v>
      </c>
      <c r="K166" s="301">
        <v>975</v>
      </c>
      <c r="L166" s="65"/>
    </row>
    <row r="167" spans="1:12" ht="12.75">
      <c r="A167" s="65"/>
      <c r="B167" s="176" t="s">
        <v>208</v>
      </c>
      <c r="C167" s="323">
        <v>0.18</v>
      </c>
      <c r="D167" s="65"/>
      <c r="E167" s="66">
        <v>0.18</v>
      </c>
      <c r="F167" s="66">
        <f t="shared" si="1"/>
        <v>0</v>
      </c>
      <c r="G167" s="178">
        <v>0.18</v>
      </c>
      <c r="H167" s="65"/>
      <c r="I167" s="177" t="s">
        <v>188</v>
      </c>
      <c r="J167" s="65"/>
      <c r="K167" s="177">
        <v>0</v>
      </c>
      <c r="L167" s="65"/>
    </row>
    <row r="168" spans="1:12" ht="12.75">
      <c r="A168" s="65"/>
      <c r="B168" s="180" t="s">
        <v>210</v>
      </c>
      <c r="C168" s="329">
        <v>2.5</v>
      </c>
      <c r="D168" s="65"/>
      <c r="E168" s="66">
        <v>0</v>
      </c>
      <c r="F168" s="66">
        <f t="shared" si="1"/>
        <v>2.5</v>
      </c>
      <c r="G168" s="178">
        <v>1.9910000000000001</v>
      </c>
      <c r="H168" s="65"/>
      <c r="I168" s="177" t="s">
        <v>190</v>
      </c>
      <c r="J168" s="65">
        <v>4132</v>
      </c>
      <c r="K168" s="322">
        <v>7500</v>
      </c>
      <c r="L168" s="65"/>
    </row>
    <row r="169" spans="1:12" ht="12.75">
      <c r="A169" s="65"/>
      <c r="B169" s="176" t="s">
        <v>18</v>
      </c>
      <c r="C169" s="323">
        <v>30</v>
      </c>
      <c r="D169" s="65"/>
      <c r="E169" s="66">
        <v>26.359000000000002</v>
      </c>
      <c r="F169" s="66">
        <f t="shared" si="1"/>
        <v>3.6409999999999982</v>
      </c>
      <c r="G169" s="178">
        <v>45</v>
      </c>
      <c r="H169" s="65"/>
      <c r="I169" s="177" t="s">
        <v>192</v>
      </c>
      <c r="J169" s="211" t="s">
        <v>193</v>
      </c>
      <c r="K169" s="322">
        <v>3506</v>
      </c>
      <c r="L169" s="65"/>
    </row>
    <row r="170" spans="1:12" ht="12.75">
      <c r="A170" s="65"/>
      <c r="B170" s="176"/>
      <c r="C170" s="176"/>
      <c r="D170" s="65"/>
      <c r="E170" s="66"/>
      <c r="F170" s="66"/>
      <c r="G170" s="178"/>
      <c r="H170" s="65"/>
      <c r="I170" s="177" t="s">
        <v>195</v>
      </c>
      <c r="J170" s="65">
        <v>3405</v>
      </c>
      <c r="K170" s="177">
        <v>0</v>
      </c>
      <c r="L170" s="65"/>
    </row>
    <row r="171" spans="1:12" ht="12.75">
      <c r="A171" s="65"/>
      <c r="B171" s="176" t="s">
        <v>214</v>
      </c>
      <c r="C171" s="176">
        <v>0</v>
      </c>
      <c r="D171" s="65"/>
      <c r="E171" s="66">
        <v>6.1420000000000003</v>
      </c>
      <c r="F171" s="66">
        <f t="shared" ref="F171:F188" si="2">C171-E171</f>
        <v>-6.1420000000000003</v>
      </c>
      <c r="G171" s="178">
        <v>6</v>
      </c>
      <c r="H171" s="65"/>
      <c r="I171" s="177" t="s">
        <v>197</v>
      </c>
      <c r="J171" s="65">
        <v>6353</v>
      </c>
      <c r="K171" s="322">
        <v>4000</v>
      </c>
      <c r="L171" s="65" t="s">
        <v>185</v>
      </c>
    </row>
    <row r="172" spans="1:12" ht="12.75">
      <c r="A172" s="65"/>
      <c r="B172" s="176" t="s">
        <v>216</v>
      </c>
      <c r="C172" s="300">
        <v>4.1719999999999997</v>
      </c>
      <c r="D172" s="235" t="s">
        <v>376</v>
      </c>
      <c r="E172" s="66">
        <v>11.156000000000001</v>
      </c>
      <c r="F172" s="66">
        <f t="shared" si="2"/>
        <v>-6.9840000000000009</v>
      </c>
      <c r="G172" s="178">
        <v>11.5</v>
      </c>
      <c r="H172" s="65"/>
      <c r="I172" s="177" t="s">
        <v>199</v>
      </c>
      <c r="J172" s="65">
        <v>6899</v>
      </c>
      <c r="K172" s="322">
        <v>1</v>
      </c>
      <c r="L172" s="65"/>
    </row>
    <row r="173" spans="1:12" ht="12.75">
      <c r="A173" s="65"/>
      <c r="B173" s="176" t="s">
        <v>218</v>
      </c>
      <c r="C173" s="323">
        <v>0.5</v>
      </c>
      <c r="D173" s="65"/>
      <c r="E173" s="66">
        <v>0.5</v>
      </c>
      <c r="F173" s="66">
        <f t="shared" si="2"/>
        <v>0</v>
      </c>
      <c r="G173" s="178">
        <v>0.3</v>
      </c>
      <c r="H173" s="65"/>
      <c r="I173" s="177"/>
      <c r="J173" s="65"/>
      <c r="K173" s="179"/>
      <c r="L173" s="65"/>
    </row>
    <row r="174" spans="1:12" ht="12.75">
      <c r="A174" s="65"/>
      <c r="B174" s="176" t="s">
        <v>220</v>
      </c>
      <c r="C174" s="323">
        <v>0.215</v>
      </c>
      <c r="D174" s="65"/>
      <c r="E174" s="66">
        <v>0.215</v>
      </c>
      <c r="F174" s="66">
        <f t="shared" si="2"/>
        <v>0</v>
      </c>
      <c r="G174" s="178">
        <v>0.215</v>
      </c>
      <c r="H174" s="65"/>
      <c r="I174" s="177" t="s">
        <v>357</v>
      </c>
      <c r="J174" s="258" t="s">
        <v>358</v>
      </c>
      <c r="K174" s="322">
        <v>20</v>
      </c>
      <c r="L174" s="65">
        <v>2000</v>
      </c>
    </row>
    <row r="175" spans="1:12" ht="12.75">
      <c r="A175" s="65"/>
      <c r="B175" s="176" t="s">
        <v>222</v>
      </c>
      <c r="C175" s="323">
        <v>0.8</v>
      </c>
      <c r="D175" s="65"/>
      <c r="E175" s="66">
        <v>0.9</v>
      </c>
      <c r="F175" s="66">
        <f t="shared" si="2"/>
        <v>-9.9999999999999978E-2</v>
      </c>
      <c r="G175" s="178">
        <v>0.9</v>
      </c>
      <c r="H175" s="65"/>
      <c r="I175" s="177" t="s">
        <v>202</v>
      </c>
      <c r="J175" s="65">
        <v>7491</v>
      </c>
      <c r="K175" s="322">
        <v>1000</v>
      </c>
      <c r="L175" s="65"/>
    </row>
    <row r="176" spans="1:12" ht="12.75">
      <c r="A176" s="65"/>
      <c r="B176" s="176" t="s">
        <v>88</v>
      </c>
      <c r="C176" s="178">
        <v>0</v>
      </c>
      <c r="D176" s="65"/>
      <c r="E176" s="66">
        <v>0</v>
      </c>
      <c r="F176" s="66">
        <f t="shared" si="2"/>
        <v>0</v>
      </c>
      <c r="G176" s="178">
        <v>0.08</v>
      </c>
      <c r="H176" s="65"/>
      <c r="I176" s="177" t="s">
        <v>359</v>
      </c>
      <c r="J176" s="65">
        <v>6173</v>
      </c>
      <c r="K176" s="236">
        <v>0</v>
      </c>
      <c r="L176" s="65"/>
    </row>
    <row r="177" spans="1:12" ht="12.75">
      <c r="A177" s="65"/>
      <c r="B177" s="176" t="s">
        <v>225</v>
      </c>
      <c r="C177" s="176">
        <v>0</v>
      </c>
      <c r="D177" s="65"/>
      <c r="E177" s="66">
        <v>0</v>
      </c>
      <c r="F177" s="66">
        <f t="shared" si="2"/>
        <v>0</v>
      </c>
      <c r="G177" s="178">
        <v>0</v>
      </c>
      <c r="H177" s="65"/>
      <c r="I177" s="177" t="s">
        <v>204</v>
      </c>
      <c r="J177" s="65">
        <v>6210</v>
      </c>
      <c r="K177" s="322">
        <v>7500</v>
      </c>
      <c r="L177" s="65">
        <v>7307</v>
      </c>
    </row>
    <row r="178" spans="1:12" ht="12.75">
      <c r="A178" s="65"/>
      <c r="B178" s="176" t="s">
        <v>227</v>
      </c>
      <c r="C178" s="323">
        <v>1</v>
      </c>
      <c r="D178" s="65"/>
      <c r="E178" s="66">
        <v>1</v>
      </c>
      <c r="F178" s="66">
        <f t="shared" si="2"/>
        <v>0</v>
      </c>
      <c r="G178" s="178">
        <v>1.5</v>
      </c>
      <c r="H178" s="65"/>
      <c r="I178" s="177" t="s">
        <v>205</v>
      </c>
      <c r="J178" s="65">
        <v>5097</v>
      </c>
      <c r="K178" s="179">
        <v>0</v>
      </c>
      <c r="L178" s="65"/>
    </row>
    <row r="179" spans="1:12" ht="12.75">
      <c r="A179" s="65"/>
      <c r="B179" s="176" t="s">
        <v>229</v>
      </c>
      <c r="C179" s="323">
        <v>1.5</v>
      </c>
      <c r="D179" s="65"/>
      <c r="E179" s="66">
        <v>1.5</v>
      </c>
      <c r="F179" s="66">
        <f t="shared" si="2"/>
        <v>0</v>
      </c>
      <c r="G179" s="178">
        <v>1</v>
      </c>
      <c r="H179" s="65"/>
      <c r="I179" s="177" t="s">
        <v>206</v>
      </c>
      <c r="J179" s="212" t="s">
        <v>382</v>
      </c>
      <c r="K179" s="322">
        <v>60</v>
      </c>
      <c r="L179" s="65"/>
    </row>
    <row r="180" spans="1:12" ht="12.75">
      <c r="A180" s="65"/>
      <c r="B180" s="176" t="s">
        <v>231</v>
      </c>
      <c r="C180" s="323">
        <v>1.4</v>
      </c>
      <c r="D180" s="65"/>
      <c r="E180" s="66">
        <v>1.4</v>
      </c>
      <c r="F180" s="66">
        <f t="shared" si="2"/>
        <v>0</v>
      </c>
      <c r="G180" s="178">
        <v>1.5</v>
      </c>
      <c r="H180" s="65"/>
      <c r="I180" s="177" t="s">
        <v>209</v>
      </c>
      <c r="J180" s="258" t="s">
        <v>358</v>
      </c>
      <c r="K180" s="322">
        <v>800</v>
      </c>
      <c r="L180" s="65"/>
    </row>
    <row r="181" spans="1:12" ht="12.75">
      <c r="A181" s="65"/>
      <c r="B181" s="176" t="s">
        <v>233</v>
      </c>
      <c r="C181" s="323">
        <v>20</v>
      </c>
      <c r="D181" s="177"/>
      <c r="E181" s="66">
        <v>25.216999999999999</v>
      </c>
      <c r="F181" s="66">
        <f t="shared" si="2"/>
        <v>-5.2169999999999987</v>
      </c>
      <c r="G181" s="178">
        <v>1.4</v>
      </c>
      <c r="H181" s="65"/>
      <c r="I181" s="177"/>
      <c r="J181" s="212"/>
      <c r="K181" s="179"/>
      <c r="L181" s="65"/>
    </row>
    <row r="182" spans="1:12" ht="12.75">
      <c r="A182" s="65"/>
      <c r="B182" s="176" t="s">
        <v>235</v>
      </c>
      <c r="C182" s="323">
        <v>5.46</v>
      </c>
      <c r="D182" s="65"/>
      <c r="E182" s="66">
        <v>5.9749999999999996</v>
      </c>
      <c r="F182" s="66">
        <f t="shared" si="2"/>
        <v>-0.51499999999999968</v>
      </c>
      <c r="G182" s="178">
        <v>25</v>
      </c>
      <c r="H182" s="65"/>
      <c r="I182" s="177" t="s">
        <v>213</v>
      </c>
      <c r="J182" s="65">
        <v>5310</v>
      </c>
      <c r="K182" s="322">
        <v>138</v>
      </c>
      <c r="L182" s="65"/>
    </row>
    <row r="183" spans="1:12" ht="12.75">
      <c r="A183" s="65"/>
      <c r="B183" s="176" t="s">
        <v>237</v>
      </c>
      <c r="C183" s="323">
        <v>15</v>
      </c>
      <c r="D183" s="65"/>
      <c r="E183" s="66">
        <v>10</v>
      </c>
      <c r="F183" s="66">
        <f t="shared" si="2"/>
        <v>5</v>
      </c>
      <c r="G183" s="178">
        <v>5.9749999999999996</v>
      </c>
      <c r="H183" s="65"/>
      <c r="I183" s="177"/>
      <c r="J183" s="65"/>
      <c r="K183" s="301"/>
      <c r="L183" s="65"/>
    </row>
    <row r="184" spans="1:12" ht="12.75">
      <c r="A184" s="65"/>
      <c r="B184" s="176" t="s">
        <v>239</v>
      </c>
      <c r="C184" s="323">
        <v>0.05</v>
      </c>
      <c r="D184" s="65"/>
      <c r="E184" s="66">
        <v>0.05</v>
      </c>
      <c r="F184" s="66">
        <f t="shared" si="2"/>
        <v>0</v>
      </c>
      <c r="G184" s="178">
        <v>10</v>
      </c>
      <c r="H184" s="65"/>
      <c r="I184" s="177" t="s">
        <v>333</v>
      </c>
      <c r="J184" s="212" t="s">
        <v>383</v>
      </c>
      <c r="K184" s="322">
        <v>120</v>
      </c>
      <c r="L184" s="65"/>
    </row>
    <row r="185" spans="1:12" ht="12.75">
      <c r="A185" s="65"/>
      <c r="B185" s="176" t="s">
        <v>241</v>
      </c>
      <c r="C185" s="323">
        <v>0.6</v>
      </c>
      <c r="D185" s="65"/>
      <c r="E185" s="66">
        <v>0.71299999999999997</v>
      </c>
      <c r="F185" s="66">
        <f t="shared" si="2"/>
        <v>-0.11299999999999999</v>
      </c>
      <c r="G185" s="178">
        <v>0.05</v>
      </c>
      <c r="H185" s="65"/>
      <c r="I185" s="177" t="s">
        <v>333</v>
      </c>
      <c r="J185" s="65">
        <v>6534</v>
      </c>
      <c r="K185" s="322">
        <v>2038</v>
      </c>
      <c r="L185" s="65"/>
    </row>
    <row r="186" spans="1:12" ht="12.75">
      <c r="A186" s="65"/>
      <c r="B186" s="176" t="s">
        <v>243</v>
      </c>
      <c r="C186" s="323">
        <v>0.24</v>
      </c>
      <c r="D186" s="65"/>
      <c r="E186" s="66">
        <v>1.2</v>
      </c>
      <c r="F186" s="66">
        <f t="shared" si="2"/>
        <v>-0.96</v>
      </c>
      <c r="G186" s="178">
        <v>0.71299999999999997</v>
      </c>
      <c r="H186" s="65"/>
      <c r="I186" s="177" t="s">
        <v>219</v>
      </c>
      <c r="J186" s="65">
        <v>6614</v>
      </c>
      <c r="K186" s="179">
        <v>0</v>
      </c>
      <c r="L186" s="65"/>
    </row>
    <row r="187" spans="1:12" ht="12.75">
      <c r="A187" s="65"/>
      <c r="B187" s="176" t="s">
        <v>92</v>
      </c>
      <c r="C187" s="331">
        <v>5</v>
      </c>
      <c r="D187" s="65"/>
      <c r="E187" s="66">
        <v>0</v>
      </c>
      <c r="F187" s="66">
        <f t="shared" si="2"/>
        <v>5</v>
      </c>
      <c r="G187" s="178">
        <v>1.2</v>
      </c>
      <c r="H187" s="65"/>
      <c r="I187" s="177" t="s">
        <v>221</v>
      </c>
      <c r="J187" s="65">
        <v>6542</v>
      </c>
      <c r="K187" s="301">
        <v>1</v>
      </c>
      <c r="L187" s="65"/>
    </row>
    <row r="188" spans="1:12" ht="12.75">
      <c r="A188" s="65"/>
      <c r="B188" s="176" t="s">
        <v>86</v>
      </c>
      <c r="C188" s="323">
        <v>10</v>
      </c>
      <c r="D188" s="65"/>
      <c r="E188" s="66">
        <v>10</v>
      </c>
      <c r="F188" s="66">
        <f t="shared" si="2"/>
        <v>0</v>
      </c>
      <c r="G188" s="178">
        <v>5</v>
      </c>
      <c r="H188" s="65"/>
      <c r="I188" s="177" t="s">
        <v>223</v>
      </c>
      <c r="J188" s="65">
        <v>5310</v>
      </c>
      <c r="K188" s="322">
        <v>184</v>
      </c>
      <c r="L188" s="65"/>
    </row>
    <row r="189" spans="1:12" ht="12.75">
      <c r="A189" s="65"/>
      <c r="B189" s="176"/>
      <c r="C189" s="176"/>
      <c r="D189" s="65"/>
      <c r="E189" s="66"/>
      <c r="F189" s="66"/>
      <c r="G189" s="178"/>
      <c r="H189" s="65"/>
      <c r="I189" s="177" t="s">
        <v>224</v>
      </c>
      <c r="J189" s="65">
        <v>5310</v>
      </c>
      <c r="K189" s="322">
        <v>1200</v>
      </c>
      <c r="L189" s="65"/>
    </row>
    <row r="190" spans="1:12" ht="12.75">
      <c r="A190" s="65"/>
      <c r="B190" s="176" t="s">
        <v>246</v>
      </c>
      <c r="C190" s="323">
        <v>0.45</v>
      </c>
      <c r="D190" s="65"/>
      <c r="E190" s="66">
        <v>0.45</v>
      </c>
      <c r="F190" s="66">
        <f>C190-E190</f>
        <v>0</v>
      </c>
      <c r="G190" s="178">
        <v>10</v>
      </c>
      <c r="H190" s="65"/>
      <c r="I190" s="177" t="s">
        <v>226</v>
      </c>
      <c r="J190" s="65"/>
      <c r="K190" s="177">
        <v>0</v>
      </c>
      <c r="L190" s="65"/>
    </row>
    <row r="191" spans="1:12" ht="12.75">
      <c r="A191" s="65"/>
      <c r="B191" s="66" t="s">
        <v>248</v>
      </c>
      <c r="C191" s="66">
        <v>0</v>
      </c>
      <c r="D191" s="65"/>
      <c r="E191" s="66">
        <v>0</v>
      </c>
      <c r="F191" s="66">
        <f>C191-E191</f>
        <v>0</v>
      </c>
      <c r="G191" s="178">
        <v>0.45</v>
      </c>
      <c r="H191" s="65"/>
      <c r="I191" s="177" t="s">
        <v>228</v>
      </c>
      <c r="J191" s="65"/>
      <c r="K191" s="177">
        <v>0</v>
      </c>
      <c r="L191" s="65"/>
    </row>
    <row r="192" spans="1:12" ht="12.75">
      <c r="A192" s="65"/>
      <c r="B192" s="176" t="s">
        <v>251</v>
      </c>
      <c r="C192" s="323">
        <v>20</v>
      </c>
      <c r="D192" s="65"/>
      <c r="E192" s="66">
        <v>20</v>
      </c>
      <c r="F192" s="66">
        <f>C192-E192</f>
        <v>0</v>
      </c>
      <c r="G192" s="178">
        <v>19</v>
      </c>
      <c r="H192" s="65"/>
      <c r="I192" s="177" t="s">
        <v>230</v>
      </c>
      <c r="J192" s="65"/>
      <c r="K192" s="177">
        <v>0</v>
      </c>
      <c r="L192" s="65"/>
    </row>
    <row r="193" spans="1:12" ht="12.75">
      <c r="A193" s="65"/>
      <c r="B193" s="176" t="s">
        <v>253</v>
      </c>
      <c r="C193" s="323">
        <v>1.5</v>
      </c>
      <c r="D193" s="65"/>
      <c r="E193" s="66">
        <v>1.5</v>
      </c>
      <c r="F193" s="66">
        <f>C193-E193</f>
        <v>0</v>
      </c>
      <c r="G193" s="178">
        <v>10</v>
      </c>
      <c r="H193" s="65"/>
      <c r="I193" s="177" t="s">
        <v>232</v>
      </c>
      <c r="J193" s="65"/>
      <c r="K193" s="177">
        <v>0</v>
      </c>
      <c r="L193" s="65"/>
    </row>
    <row r="194" spans="1:12" ht="12.75">
      <c r="A194" s="65"/>
      <c r="B194" s="66" t="s">
        <v>84</v>
      </c>
      <c r="C194" s="332">
        <v>4.5</v>
      </c>
      <c r="D194" s="333"/>
      <c r="E194" s="66">
        <v>0</v>
      </c>
      <c r="F194" s="66">
        <f>C194-E194</f>
        <v>4.5</v>
      </c>
      <c r="G194" s="178">
        <v>1.5</v>
      </c>
      <c r="H194" s="65"/>
      <c r="I194" s="177" t="s">
        <v>234</v>
      </c>
      <c r="J194" s="65"/>
      <c r="K194" s="177">
        <v>0</v>
      </c>
      <c r="L194" s="65"/>
    </row>
    <row r="195" spans="1:12" ht="12.75">
      <c r="A195" s="65"/>
      <c r="B195" s="66"/>
      <c r="C195" s="66"/>
      <c r="D195" s="65"/>
      <c r="E195" s="66"/>
      <c r="F195" s="66"/>
      <c r="G195" s="178"/>
      <c r="H195" s="65"/>
      <c r="I195" s="177" t="s">
        <v>236</v>
      </c>
      <c r="J195" s="65">
        <v>7211</v>
      </c>
      <c r="K195" s="179">
        <v>0</v>
      </c>
      <c r="L195" s="65">
        <v>12500</v>
      </c>
    </row>
    <row r="196" spans="1:12" ht="12.75">
      <c r="A196" s="65"/>
      <c r="B196" s="66"/>
      <c r="C196" s="66"/>
      <c r="D196" s="65"/>
      <c r="E196" s="66"/>
      <c r="F196" s="66"/>
      <c r="G196" s="178"/>
      <c r="H196" s="65"/>
      <c r="I196" s="177" t="s">
        <v>238</v>
      </c>
      <c r="J196" s="65">
        <v>6722</v>
      </c>
      <c r="K196" s="322">
        <v>41</v>
      </c>
      <c r="L196" s="65"/>
    </row>
    <row r="197" spans="1:12" ht="12.75">
      <c r="A197" s="65"/>
      <c r="B197" s="176" t="s">
        <v>256</v>
      </c>
      <c r="C197" s="323">
        <v>4</v>
      </c>
      <c r="D197" s="65"/>
      <c r="E197" s="66">
        <v>4</v>
      </c>
      <c r="F197" s="66">
        <f t="shared" ref="F197:F205" si="3">C197-E197</f>
        <v>0</v>
      </c>
      <c r="G197" s="178">
        <v>4.5</v>
      </c>
      <c r="H197" s="65"/>
      <c r="I197" s="177" t="s">
        <v>240</v>
      </c>
      <c r="J197" s="65"/>
      <c r="K197" s="322">
        <v>630</v>
      </c>
      <c r="L197" s="65"/>
    </row>
    <row r="198" spans="1:12" ht="12.75">
      <c r="A198" s="65"/>
      <c r="B198" s="176" t="s">
        <v>257</v>
      </c>
      <c r="C198" s="323">
        <v>0.08</v>
      </c>
      <c r="D198" s="65"/>
      <c r="E198" s="66">
        <v>6.0999999999999999E-2</v>
      </c>
      <c r="F198" s="66">
        <f t="shared" si="3"/>
        <v>1.9000000000000003E-2</v>
      </c>
      <c r="G198" s="178">
        <v>4</v>
      </c>
      <c r="H198" s="65"/>
      <c r="I198" s="177" t="s">
        <v>242</v>
      </c>
      <c r="J198" s="65">
        <v>4063</v>
      </c>
      <c r="K198" s="322">
        <v>231</v>
      </c>
      <c r="L198" s="65"/>
    </row>
    <row r="199" spans="1:12" ht="12.75">
      <c r="A199" s="65"/>
      <c r="B199" s="176" t="s">
        <v>258</v>
      </c>
      <c r="C199" s="323">
        <v>40</v>
      </c>
      <c r="D199" s="65"/>
      <c r="E199" s="66">
        <v>41.424999999999997</v>
      </c>
      <c r="F199" s="180">
        <f t="shared" si="3"/>
        <v>-1.4249999999999972</v>
      </c>
      <c r="G199" s="178">
        <v>6.0999999999999999E-2</v>
      </c>
      <c r="H199" s="65"/>
      <c r="I199" s="177" t="s">
        <v>94</v>
      </c>
      <c r="J199" s="65">
        <v>3405</v>
      </c>
      <c r="K199" s="322">
        <v>2591</v>
      </c>
      <c r="L199" s="65"/>
    </row>
    <row r="200" spans="1:12" ht="12.75">
      <c r="A200" s="65"/>
      <c r="B200" s="176" t="s">
        <v>26</v>
      </c>
      <c r="C200" s="323">
        <v>19</v>
      </c>
      <c r="D200" s="65"/>
      <c r="E200" s="66">
        <v>18.899000000000001</v>
      </c>
      <c r="F200" s="66">
        <f t="shared" si="3"/>
        <v>0.10099999999999909</v>
      </c>
      <c r="G200" s="178">
        <v>40</v>
      </c>
      <c r="H200" s="65"/>
      <c r="I200" s="177" t="s">
        <v>52</v>
      </c>
      <c r="J200" s="65" t="s">
        <v>385</v>
      </c>
      <c r="K200" s="322">
        <v>7000</v>
      </c>
      <c r="L200" s="65"/>
    </row>
    <row r="201" spans="1:12" ht="12.75">
      <c r="A201" s="65"/>
      <c r="B201" s="176" t="s">
        <v>261</v>
      </c>
      <c r="C201" s="323">
        <v>1</v>
      </c>
      <c r="D201" s="65"/>
      <c r="E201" s="66">
        <v>1</v>
      </c>
      <c r="F201" s="66">
        <f t="shared" si="3"/>
        <v>0</v>
      </c>
      <c r="G201" s="178">
        <v>20</v>
      </c>
      <c r="H201" s="65"/>
      <c r="I201" s="177" t="s">
        <v>362</v>
      </c>
      <c r="J201" s="65">
        <v>9643</v>
      </c>
      <c r="K201" s="322">
        <v>4300</v>
      </c>
      <c r="L201" s="65"/>
    </row>
    <row r="202" spans="1:12" ht="12.75">
      <c r="A202" s="65"/>
      <c r="B202" s="176" t="s">
        <v>152</v>
      </c>
      <c r="C202" s="176">
        <v>0</v>
      </c>
      <c r="D202" s="65"/>
      <c r="E202" s="66">
        <v>0</v>
      </c>
      <c r="F202" s="66">
        <f t="shared" si="3"/>
        <v>0</v>
      </c>
      <c r="G202" s="178">
        <v>1</v>
      </c>
      <c r="H202" s="65"/>
      <c r="I202" s="177" t="s">
        <v>244</v>
      </c>
      <c r="J202" s="65">
        <v>6788</v>
      </c>
      <c r="K202" s="322">
        <v>250</v>
      </c>
      <c r="L202" s="65">
        <v>863</v>
      </c>
    </row>
    <row r="203" spans="1:12" ht="12.75">
      <c r="A203" s="65"/>
      <c r="B203" s="176" t="s">
        <v>262</v>
      </c>
      <c r="C203" s="323">
        <v>1</v>
      </c>
      <c r="D203" s="65"/>
      <c r="E203" s="66">
        <v>1</v>
      </c>
      <c r="F203" s="66">
        <f t="shared" si="3"/>
        <v>0</v>
      </c>
      <c r="G203" s="178">
        <v>10</v>
      </c>
      <c r="H203" s="65"/>
      <c r="I203" s="177" t="s">
        <v>245</v>
      </c>
      <c r="J203" s="65">
        <v>6683</v>
      </c>
      <c r="K203" s="322">
        <v>2500</v>
      </c>
      <c r="L203" s="65"/>
    </row>
    <row r="204" spans="1:12" ht="12.75">
      <c r="A204" s="65"/>
      <c r="B204" s="176" t="s">
        <v>263</v>
      </c>
      <c r="C204" s="323">
        <v>49</v>
      </c>
      <c r="D204" s="65" t="s">
        <v>415</v>
      </c>
      <c r="E204" s="66">
        <v>67.477999999999994</v>
      </c>
      <c r="F204" s="66">
        <f t="shared" si="3"/>
        <v>-18.477999999999994</v>
      </c>
      <c r="G204" s="178">
        <v>1</v>
      </c>
      <c r="H204" s="65"/>
      <c r="I204" s="177" t="s">
        <v>360</v>
      </c>
      <c r="J204" s="65">
        <v>2185</v>
      </c>
      <c r="K204" s="322">
        <v>35</v>
      </c>
      <c r="L204" s="65"/>
    </row>
    <row r="205" spans="1:12" ht="12.75">
      <c r="A205" s="65"/>
      <c r="B205" s="176" t="s">
        <v>264</v>
      </c>
      <c r="C205" s="300">
        <v>0</v>
      </c>
      <c r="D205" s="65"/>
      <c r="E205" s="66">
        <v>0.2</v>
      </c>
      <c r="F205" s="66">
        <f t="shared" si="3"/>
        <v>-0.2</v>
      </c>
      <c r="G205" s="178">
        <v>65</v>
      </c>
      <c r="H205" s="65"/>
      <c r="I205" s="177"/>
      <c r="J205" s="65"/>
      <c r="K205" s="179"/>
      <c r="L205" s="65"/>
    </row>
    <row r="206" spans="1:12" ht="12.75">
      <c r="A206" s="65"/>
      <c r="B206" s="176" t="s">
        <v>322</v>
      </c>
      <c r="C206" s="323">
        <v>4.2999999999999997E-2</v>
      </c>
      <c r="D206" s="65"/>
      <c r="E206" s="66"/>
      <c r="F206" s="66"/>
      <c r="G206" s="178"/>
      <c r="H206" s="65"/>
      <c r="I206" s="177"/>
      <c r="J206" s="65"/>
      <c r="K206" s="179"/>
      <c r="L206" s="65">
        <v>10</v>
      </c>
    </row>
    <row r="207" spans="1:12" ht="12.75">
      <c r="A207" s="65"/>
      <c r="B207" s="176" t="s">
        <v>265</v>
      </c>
      <c r="C207" s="176">
        <v>0</v>
      </c>
      <c r="D207" s="65"/>
      <c r="E207" s="66">
        <v>4.665</v>
      </c>
      <c r="F207" s="66">
        <f t="shared" ref="F207:F212" si="4">C207-E207</f>
        <v>-4.665</v>
      </c>
      <c r="G207" s="178">
        <v>0.2</v>
      </c>
      <c r="H207" s="65"/>
      <c r="I207" s="177" t="s">
        <v>249</v>
      </c>
      <c r="J207" s="212" t="s">
        <v>384</v>
      </c>
      <c r="K207" s="322">
        <v>8677</v>
      </c>
      <c r="L207" s="65"/>
    </row>
    <row r="208" spans="1:12" ht="12.75">
      <c r="A208" s="65"/>
      <c r="B208" s="176" t="s">
        <v>266</v>
      </c>
      <c r="C208" s="323">
        <v>0.05</v>
      </c>
      <c r="D208" s="65"/>
      <c r="E208" s="66">
        <v>0.05</v>
      </c>
      <c r="F208" s="66">
        <f t="shared" si="4"/>
        <v>0</v>
      </c>
      <c r="G208" s="178">
        <v>4</v>
      </c>
      <c r="H208" s="65"/>
      <c r="I208" s="177" t="s">
        <v>252</v>
      </c>
      <c r="J208" s="65">
        <v>4132</v>
      </c>
      <c r="K208" s="322">
        <v>10</v>
      </c>
      <c r="L208" s="65"/>
    </row>
    <row r="209" spans="1:12" ht="12.75">
      <c r="A209" s="65"/>
      <c r="B209" s="66" t="s">
        <v>178</v>
      </c>
      <c r="C209" s="66">
        <v>0</v>
      </c>
      <c r="D209" s="65"/>
      <c r="E209" s="66">
        <v>0</v>
      </c>
      <c r="F209" s="66">
        <f t="shared" si="4"/>
        <v>0</v>
      </c>
      <c r="G209" s="178">
        <v>0.05</v>
      </c>
      <c r="H209" s="65"/>
      <c r="I209" s="177" t="s">
        <v>254</v>
      </c>
      <c r="J209" s="65">
        <v>2540</v>
      </c>
      <c r="K209" s="179">
        <v>0</v>
      </c>
      <c r="L209" s="65"/>
    </row>
    <row r="210" spans="1:12" ht="12.75">
      <c r="A210" s="65"/>
      <c r="B210" s="176" t="s">
        <v>267</v>
      </c>
      <c r="C210" s="176">
        <v>0</v>
      </c>
      <c r="D210" s="65"/>
      <c r="E210" s="66">
        <v>0</v>
      </c>
      <c r="F210" s="66">
        <f t="shared" si="4"/>
        <v>0</v>
      </c>
      <c r="G210" s="178">
        <v>0</v>
      </c>
      <c r="H210" s="65"/>
      <c r="I210" s="177" t="s">
        <v>255</v>
      </c>
      <c r="J210" s="65">
        <v>3405</v>
      </c>
      <c r="K210" s="322">
        <v>15</v>
      </c>
      <c r="L210" s="65"/>
    </row>
    <row r="211" spans="1:12" ht="12.75">
      <c r="B211" t="s">
        <v>268</v>
      </c>
      <c r="C211" s="66">
        <v>0</v>
      </c>
      <c r="D211" s="65" t="s">
        <v>269</v>
      </c>
      <c r="E211" s="66">
        <v>0</v>
      </c>
      <c r="F211" s="66">
        <f t="shared" si="4"/>
        <v>0</v>
      </c>
      <c r="G211" s="178">
        <v>12.5</v>
      </c>
      <c r="H211" s="65"/>
      <c r="I211" s="177" t="s">
        <v>255</v>
      </c>
      <c r="J211" s="65">
        <v>5801</v>
      </c>
      <c r="K211" s="322">
        <v>1</v>
      </c>
      <c r="L211" s="65"/>
    </row>
    <row r="212" spans="1:12" ht="12.75">
      <c r="B212" t="s">
        <v>270</v>
      </c>
      <c r="C212" s="66">
        <v>0</v>
      </c>
      <c r="D212" s="65"/>
      <c r="E212" s="66">
        <v>0</v>
      </c>
      <c r="F212" s="66">
        <f t="shared" si="4"/>
        <v>0</v>
      </c>
      <c r="G212" s="178">
        <v>0</v>
      </c>
      <c r="H212" s="65"/>
      <c r="I212" s="177" t="s">
        <v>96</v>
      </c>
      <c r="J212" s="65">
        <v>6589</v>
      </c>
      <c r="K212" s="322">
        <v>1100</v>
      </c>
      <c r="L212" s="65"/>
    </row>
    <row r="213" spans="1:12" ht="12.75">
      <c r="B213"/>
      <c r="C213" s="182">
        <f>SUM(C131:C212)</f>
        <v>443.71600000000007</v>
      </c>
      <c r="D213" s="65"/>
      <c r="E213" s="182">
        <f>SUM(E131:E212)</f>
        <v>472.43299999999999</v>
      </c>
      <c r="F213" s="66">
        <f>C212-E212</f>
        <v>0</v>
      </c>
      <c r="G213" s="177"/>
      <c r="H213" s="65"/>
      <c r="I213" s="177"/>
      <c r="J213" s="65"/>
      <c r="K213" s="322"/>
      <c r="L213" s="65"/>
    </row>
    <row r="214" spans="1:12" ht="12.75">
      <c r="B214"/>
      <c r="C214" s="66"/>
      <c r="D214" s="65"/>
      <c r="E214" s="65"/>
      <c r="F214" s="65"/>
      <c r="G214" s="65"/>
      <c r="H214" s="65"/>
      <c r="I214" s="177" t="s">
        <v>259</v>
      </c>
      <c r="J214" s="65">
        <v>106</v>
      </c>
      <c r="K214" s="322">
        <v>1068</v>
      </c>
      <c r="L214" s="65"/>
    </row>
    <row r="215" spans="1:12" ht="12.75">
      <c r="A215" s="183"/>
      <c r="B215"/>
      <c r="C215" s="66"/>
      <c r="D215" s="65"/>
      <c r="E215" s="65"/>
      <c r="F215" s="65"/>
      <c r="G215" s="65"/>
      <c r="H215" s="65"/>
      <c r="I215" s="177"/>
      <c r="J215" s="65"/>
      <c r="K215" s="179"/>
      <c r="L215" s="65" t="s">
        <v>185</v>
      </c>
    </row>
    <row r="216" spans="1:12" ht="12.75">
      <c r="B216"/>
      <c r="C216" s="66"/>
      <c r="D216" s="65"/>
      <c r="E216" s="65"/>
      <c r="F216" s="65"/>
      <c r="G216" s="65"/>
      <c r="H216" s="65"/>
      <c r="I216" s="177" t="s">
        <v>260</v>
      </c>
      <c r="J216" s="65">
        <v>6598</v>
      </c>
      <c r="K216" s="322">
        <v>4206</v>
      </c>
    </row>
    <row r="217" spans="1:12" ht="12.75">
      <c r="B217" s="175" t="s">
        <v>7</v>
      </c>
      <c r="C217" s="176">
        <v>0</v>
      </c>
      <c r="D217" s="65"/>
      <c r="E217" s="65"/>
      <c r="F217" s="65"/>
      <c r="G217" s="65"/>
      <c r="H217" s="65"/>
      <c r="I217" s="66"/>
      <c r="J217" s="65"/>
      <c r="K217" s="179"/>
    </row>
    <row r="218" spans="1:12" ht="12.75">
      <c r="B218" s="175" t="s">
        <v>6</v>
      </c>
      <c r="C218" s="176">
        <v>0</v>
      </c>
      <c r="D218" s="65">
        <v>3</v>
      </c>
      <c r="E218" s="65"/>
      <c r="F218" s="65"/>
      <c r="G218" s="65"/>
      <c r="H218" s="65"/>
      <c r="I218" s="65"/>
      <c r="J218" s="65"/>
      <c r="K218" s="181">
        <f>SUM(K131:K217)</f>
        <v>89093</v>
      </c>
    </row>
    <row r="219" spans="1:12" ht="12.75">
      <c r="B219" s="175" t="s">
        <v>271</v>
      </c>
      <c r="C219" s="176">
        <v>0</v>
      </c>
      <c r="D219" s="65" t="s">
        <v>272</v>
      </c>
      <c r="E219" s="65"/>
      <c r="F219" s="65"/>
      <c r="G219" s="65"/>
      <c r="H219" s="65"/>
      <c r="I219" s="65"/>
      <c r="J219" s="65"/>
      <c r="K219" s="65"/>
    </row>
    <row r="220" spans="1:12" ht="12.75">
      <c r="B220" s="175" t="s">
        <v>11</v>
      </c>
      <c r="C220" s="176">
        <v>0</v>
      </c>
      <c r="D220" s="65"/>
      <c r="E220" s="65"/>
      <c r="F220" s="65">
        <v>5</v>
      </c>
      <c r="G220" s="65"/>
      <c r="H220" s="65"/>
      <c r="I220" s="65"/>
      <c r="J220" s="65"/>
      <c r="K220" s="65"/>
    </row>
    <row r="221" spans="1:12" ht="12.75">
      <c r="B221" s="175" t="s">
        <v>187</v>
      </c>
      <c r="C221" s="176">
        <v>0</v>
      </c>
      <c r="D221" s="65" t="s">
        <v>273</v>
      </c>
      <c r="E221" s="65"/>
      <c r="F221" s="65">
        <v>10</v>
      </c>
      <c r="G221" s="65"/>
      <c r="H221" s="65"/>
      <c r="I221" s="65"/>
      <c r="J221" s="65"/>
      <c r="K221" s="65"/>
    </row>
    <row r="222" spans="1:12" ht="12.75">
      <c r="B222" s="175" t="s">
        <v>201</v>
      </c>
      <c r="C222" s="176">
        <v>0</v>
      </c>
      <c r="D222" s="65"/>
      <c r="E222" s="65"/>
      <c r="F222" s="65"/>
      <c r="G222" s="65"/>
      <c r="H222" s="65"/>
      <c r="I222" s="65"/>
      <c r="J222" s="65"/>
      <c r="K222" s="65"/>
    </row>
    <row r="223" spans="1:12" ht="12.75">
      <c r="B223" s="175" t="s">
        <v>16</v>
      </c>
      <c r="C223" s="176">
        <v>0</v>
      </c>
      <c r="D223" s="65"/>
      <c r="E223" s="65"/>
      <c r="F223" s="65"/>
      <c r="G223" s="65"/>
      <c r="H223" s="65"/>
      <c r="I223" s="65"/>
      <c r="J223" s="65"/>
      <c r="K223" s="65"/>
    </row>
    <row r="224" spans="1:12" ht="12.75">
      <c r="B224" s="175" t="s">
        <v>14</v>
      </c>
      <c r="C224" s="176">
        <v>0</v>
      </c>
      <c r="D224" s="65" t="s">
        <v>272</v>
      </c>
      <c r="E224" s="65"/>
      <c r="F224" s="65">
        <v>5</v>
      </c>
      <c r="G224" s="65"/>
      <c r="H224" s="65"/>
      <c r="I224" s="66"/>
      <c r="J224" s="65"/>
      <c r="K224" s="65"/>
    </row>
    <row r="225" spans="1:19" ht="12.75">
      <c r="A225" s="12" t="s">
        <v>274</v>
      </c>
      <c r="B225" s="175" t="s">
        <v>18</v>
      </c>
      <c r="C225" s="176">
        <v>0</v>
      </c>
      <c r="D225" s="65" t="s">
        <v>272</v>
      </c>
      <c r="E225" s="65"/>
      <c r="F225" s="65">
        <v>15</v>
      </c>
      <c r="G225" s="65"/>
      <c r="H225" s="65"/>
      <c r="I225" s="65"/>
      <c r="J225" s="65"/>
    </row>
    <row r="226" spans="1:19" ht="12.75">
      <c r="B226" t="s">
        <v>216</v>
      </c>
      <c r="C226" s="66">
        <v>0</v>
      </c>
      <c r="D226" s="65" t="s">
        <v>272</v>
      </c>
      <c r="E226" s="65"/>
      <c r="F226" s="65">
        <v>15</v>
      </c>
      <c r="G226" s="65"/>
      <c r="H226" s="65"/>
      <c r="I226" s="65"/>
      <c r="J226" s="65"/>
    </row>
    <row r="227" spans="1:19" ht="12.75">
      <c r="B227" s="175" t="s">
        <v>233</v>
      </c>
      <c r="C227" s="176">
        <v>0</v>
      </c>
      <c r="D227" s="65"/>
      <c r="E227" s="65"/>
      <c r="F227" s="65">
        <v>5</v>
      </c>
      <c r="G227" s="65"/>
      <c r="H227" s="65"/>
      <c r="I227" s="65"/>
      <c r="J227" s="65"/>
    </row>
    <row r="228" spans="1:19" ht="12.75">
      <c r="B228" s="175" t="s">
        <v>275</v>
      </c>
      <c r="C228" s="176">
        <v>0</v>
      </c>
      <c r="D228" s="65" t="s">
        <v>276</v>
      </c>
      <c r="E228" s="65"/>
      <c r="F228" s="65"/>
      <c r="G228" s="65"/>
      <c r="H228" s="65"/>
      <c r="I228" s="65"/>
      <c r="J228" s="65"/>
    </row>
    <row r="229" spans="1:19" ht="12.75">
      <c r="B229" t="s">
        <v>258</v>
      </c>
      <c r="C229" s="178">
        <v>0</v>
      </c>
      <c r="D229" s="65"/>
      <c r="E229" s="65"/>
      <c r="F229" s="65">
        <f>SUM(F220:F228)</f>
        <v>55</v>
      </c>
      <c r="G229" s="65"/>
      <c r="H229" s="65"/>
      <c r="I229" s="65"/>
      <c r="J229" s="65"/>
    </row>
    <row r="230" spans="1:19" ht="12.75">
      <c r="B230" t="s">
        <v>26</v>
      </c>
      <c r="C230" s="178">
        <v>0</v>
      </c>
      <c r="D230" s="65"/>
      <c r="E230" s="65"/>
      <c r="F230" s="65"/>
      <c r="G230" s="65"/>
      <c r="H230" s="65"/>
      <c r="I230" s="65"/>
      <c r="J230" s="65"/>
    </row>
    <row r="231" spans="1:19" ht="12.75">
      <c r="B231" t="s">
        <v>267</v>
      </c>
      <c r="C231" s="178">
        <v>0</v>
      </c>
      <c r="D231" s="65"/>
      <c r="E231" s="65"/>
      <c r="F231" s="65"/>
      <c r="G231" s="65"/>
      <c r="H231" s="65"/>
      <c r="I231" s="65"/>
      <c r="J231" s="65"/>
    </row>
    <row r="232" spans="1:19" ht="12.75">
      <c r="B232" t="s">
        <v>277</v>
      </c>
      <c r="C232" s="178">
        <v>0</v>
      </c>
      <c r="D232" s="65"/>
      <c r="E232" s="65"/>
      <c r="F232" s="65"/>
      <c r="G232" s="65"/>
      <c r="H232" s="65"/>
      <c r="I232" s="65"/>
      <c r="J232" s="65"/>
    </row>
    <row r="233" spans="1:19" ht="12.75">
      <c r="B233" t="s">
        <v>278</v>
      </c>
      <c r="C233" s="184">
        <f>SUM(C217:C232)</f>
        <v>0</v>
      </c>
      <c r="D233" s="65"/>
      <c r="F233" s="65"/>
      <c r="G233" s="65"/>
      <c r="H233" s="65"/>
      <c r="I233" s="65"/>
      <c r="J233" s="65"/>
    </row>
    <row r="234" spans="1:19" ht="12.75">
      <c r="B234" s="45"/>
      <c r="C234" s="45"/>
      <c r="I234" s="65"/>
      <c r="J234" s="65"/>
    </row>
    <row r="235" spans="1:19" ht="12.75">
      <c r="B235"/>
      <c r="C235">
        <f>C213+C233</f>
        <v>443.71600000000007</v>
      </c>
      <c r="I235" s="66"/>
      <c r="J235" s="65"/>
    </row>
    <row r="236" spans="1:19" ht="12.75">
      <c r="B236"/>
      <c r="C236"/>
      <c r="I236" s="66"/>
      <c r="J236" s="65"/>
    </row>
    <row r="237" spans="1:19" ht="12.75">
      <c r="B237"/>
      <c r="C237">
        <f>E213-C235</f>
        <v>28.716999999999928</v>
      </c>
      <c r="G237" s="185" t="s">
        <v>279</v>
      </c>
      <c r="H237" s="186"/>
      <c r="I237" s="65"/>
      <c r="J237" s="65"/>
      <c r="Q237" s="186"/>
      <c r="R237" s="186"/>
      <c r="S237" s="187"/>
    </row>
    <row r="238" spans="1:19" ht="12.75">
      <c r="B238"/>
      <c r="C238"/>
      <c r="G238" s="188"/>
      <c r="H238" s="189" t="s">
        <v>280</v>
      </c>
      <c r="I238" s="65"/>
      <c r="J238" s="65"/>
      <c r="N238" s="186"/>
      <c r="O238" s="186"/>
      <c r="P238" s="186"/>
      <c r="Q238" s="190"/>
      <c r="R238" s="190"/>
      <c r="S238" s="158"/>
    </row>
    <row r="239" spans="1:19">
      <c r="G239" s="191"/>
      <c r="H239" s="74"/>
      <c r="I239" s="65"/>
      <c r="J239" s="65"/>
      <c r="N239" s="190"/>
      <c r="O239" s="190"/>
      <c r="P239" s="190"/>
      <c r="Q239" s="74"/>
      <c r="R239" s="74"/>
      <c r="S239" s="161"/>
    </row>
    <row r="240" spans="1:19">
      <c r="G240" s="191"/>
      <c r="H240" s="74"/>
      <c r="I240" s="65"/>
      <c r="J240" s="65"/>
      <c r="N240" s="74"/>
      <c r="O240" s="74"/>
      <c r="P240" s="74"/>
      <c r="Q240" s="74"/>
      <c r="R240" s="74"/>
      <c r="S240" s="161"/>
    </row>
    <row r="241" spans="2:19" ht="12.75">
      <c r="B241"/>
      <c r="C241" s="195"/>
      <c r="G241" s="191"/>
      <c r="H241" s="74"/>
      <c r="I241" s="65"/>
      <c r="J241" s="65"/>
      <c r="N241" s="74"/>
      <c r="O241" s="74"/>
      <c r="P241" s="74"/>
      <c r="Q241" s="74"/>
      <c r="R241" s="74"/>
      <c r="S241" s="161"/>
    </row>
    <row r="242" spans="2:19" ht="12.75">
      <c r="B242"/>
      <c r="C242" s="195"/>
      <c r="G242" s="191"/>
      <c r="H242" s="74"/>
      <c r="I242" s="65"/>
      <c r="J242" s="65"/>
      <c r="N242" s="74"/>
      <c r="O242" s="74"/>
      <c r="P242" s="74"/>
      <c r="Q242" s="74"/>
      <c r="R242" s="74"/>
      <c r="S242" s="161"/>
    </row>
    <row r="243" spans="2:19" ht="12.75">
      <c r="B243"/>
      <c r="C243" s="195"/>
      <c r="G243" s="191"/>
      <c r="H243" s="74"/>
      <c r="I243" s="65"/>
      <c r="J243" s="65"/>
      <c r="M243" s="186"/>
      <c r="N243" s="74"/>
      <c r="O243" s="74"/>
      <c r="P243" s="74"/>
      <c r="Q243" s="74"/>
      <c r="R243" s="74"/>
      <c r="S243" s="161"/>
    </row>
    <row r="244" spans="2:19" ht="12.75">
      <c r="B244"/>
      <c r="C244" s="195"/>
      <c r="G244" s="191"/>
      <c r="H244" s="74"/>
      <c r="I244" s="65"/>
      <c r="J244" s="65"/>
      <c r="M244" s="190"/>
      <c r="N244" s="74"/>
      <c r="O244" s="74"/>
      <c r="P244" s="74"/>
      <c r="Q244" s="74"/>
      <c r="R244" s="74"/>
      <c r="S244" s="161"/>
    </row>
    <row r="245" spans="2:19" ht="12.75">
      <c r="B245"/>
      <c r="C245" s="195"/>
      <c r="G245" s="191"/>
      <c r="H245" s="74"/>
      <c r="I245" s="65"/>
      <c r="J245" s="65"/>
      <c r="M245" s="74"/>
      <c r="N245" s="74"/>
      <c r="O245" s="74"/>
      <c r="P245" s="74"/>
      <c r="Q245" s="74"/>
      <c r="R245" s="74"/>
      <c r="S245" s="161"/>
    </row>
    <row r="246" spans="2:19" ht="12.75">
      <c r="B246"/>
      <c r="C246" s="195"/>
      <c r="G246" s="191"/>
      <c r="H246" s="74"/>
      <c r="I246" s="65"/>
      <c r="J246" s="65"/>
      <c r="M246" s="74"/>
      <c r="N246" s="74"/>
      <c r="O246" s="74"/>
      <c r="P246" s="74"/>
      <c r="Q246" s="74"/>
      <c r="R246" s="74"/>
      <c r="S246" s="161"/>
    </row>
    <row r="247" spans="2:19" ht="12.75">
      <c r="B247"/>
      <c r="C247" s="195"/>
      <c r="G247" s="191"/>
      <c r="H247" s="74" t="s">
        <v>288</v>
      </c>
      <c r="I247" s="65"/>
      <c r="J247" s="65"/>
      <c r="M247" s="74"/>
      <c r="N247" s="74"/>
      <c r="O247" s="74"/>
      <c r="P247" s="74"/>
      <c r="Q247" s="74"/>
      <c r="R247" s="74"/>
      <c r="S247" s="161"/>
    </row>
    <row r="248" spans="2:19" ht="12.75">
      <c r="B248"/>
      <c r="C248" s="195"/>
      <c r="G248" s="191"/>
      <c r="H248" s="74"/>
      <c r="I248" s="65"/>
      <c r="J248" s="65"/>
      <c r="M248" s="74"/>
      <c r="N248" s="74"/>
      <c r="O248" s="74"/>
      <c r="P248" s="74"/>
      <c r="Q248" s="74"/>
      <c r="R248" s="74"/>
      <c r="S248" s="161"/>
    </row>
    <row r="249" spans="2:19" ht="12.75">
      <c r="B249"/>
      <c r="C249" s="195"/>
      <c r="G249" s="191"/>
      <c r="H249" s="74"/>
      <c r="I249" s="65"/>
      <c r="J249" s="65"/>
      <c r="M249" s="74"/>
      <c r="N249" s="74"/>
      <c r="O249" s="74"/>
      <c r="P249" s="74"/>
      <c r="Q249" s="74"/>
      <c r="R249" s="74"/>
      <c r="S249" s="161"/>
    </row>
    <row r="250" spans="2:19" ht="12.75">
      <c r="B250"/>
      <c r="C250" s="195"/>
      <c r="G250" s="191"/>
      <c r="H250" s="74"/>
      <c r="L250" s="186"/>
      <c r="M250" s="74"/>
      <c r="N250" s="74"/>
      <c r="O250" s="74"/>
      <c r="P250" s="74"/>
      <c r="Q250" s="74"/>
      <c r="R250" s="74"/>
      <c r="S250" s="161"/>
    </row>
    <row r="251" spans="2:19" ht="12.75">
      <c r="B251"/>
      <c r="C251" s="195"/>
      <c r="G251" s="191"/>
      <c r="H251" s="74"/>
      <c r="L251" s="190"/>
      <c r="M251" s="74"/>
      <c r="N251" s="74"/>
      <c r="O251" s="74"/>
      <c r="P251" s="74"/>
      <c r="Q251" s="74"/>
      <c r="R251" s="74"/>
      <c r="S251" s="161"/>
    </row>
    <row r="252" spans="2:19" ht="12.75">
      <c r="B252"/>
      <c r="C252" s="195"/>
      <c r="G252" s="191"/>
      <c r="H252" s="74"/>
      <c r="L252" s="74"/>
      <c r="M252" s="74"/>
      <c r="N252" s="74"/>
      <c r="O252" s="74"/>
      <c r="P252" s="74"/>
      <c r="Q252" s="74"/>
      <c r="R252" s="74"/>
      <c r="S252" s="161"/>
    </row>
    <row r="253" spans="2:19" ht="12.75">
      <c r="B253"/>
      <c r="C253" s="195"/>
      <c r="G253" s="191"/>
      <c r="H253" s="74"/>
      <c r="L253" s="74"/>
      <c r="M253" s="74"/>
      <c r="N253" s="74"/>
      <c r="O253" s="74"/>
      <c r="P253" s="74"/>
      <c r="Q253" s="74"/>
      <c r="R253" s="74"/>
      <c r="S253" s="161"/>
    </row>
    <row r="254" spans="2:19" ht="12.75">
      <c r="B254"/>
      <c r="C254" s="195"/>
      <c r="G254" s="191"/>
      <c r="H254" s="74"/>
      <c r="I254" s="186"/>
      <c r="J254" s="186"/>
      <c r="K254" s="186"/>
      <c r="L254" s="74"/>
      <c r="M254" s="74"/>
      <c r="N254" s="74"/>
      <c r="O254" s="74"/>
      <c r="P254" s="74"/>
      <c r="Q254" s="74"/>
      <c r="R254" s="74"/>
      <c r="S254" s="161"/>
    </row>
    <row r="255" spans="2:19" ht="12.75">
      <c r="B255"/>
      <c r="C255" s="195"/>
      <c r="G255" s="191"/>
      <c r="H255" s="74"/>
      <c r="I255" s="192"/>
      <c r="J255" s="193"/>
      <c r="K255" s="190"/>
      <c r="L255" s="74"/>
      <c r="M255" s="74"/>
      <c r="N255" s="74"/>
      <c r="O255" s="74"/>
      <c r="P255" s="74"/>
      <c r="Q255" s="74"/>
      <c r="R255" s="74"/>
      <c r="S255" s="161"/>
    </row>
    <row r="256" spans="2:19" ht="12.75">
      <c r="B256" s="45"/>
      <c r="C256" s="198"/>
      <c r="G256" s="191"/>
      <c r="H256" s="74"/>
      <c r="I256" s="68" t="s">
        <v>281</v>
      </c>
      <c r="J256" s="194">
        <v>0</v>
      </c>
      <c r="K256" s="74"/>
      <c r="L256" s="74"/>
      <c r="M256" s="74"/>
      <c r="N256" s="74"/>
      <c r="O256" s="74"/>
      <c r="P256" s="74"/>
      <c r="Q256" s="74"/>
      <c r="R256" s="74"/>
      <c r="S256" s="161"/>
    </row>
    <row r="257" spans="2:19" ht="12.75">
      <c r="B257"/>
      <c r="C257" s="195"/>
      <c r="G257" s="191"/>
      <c r="H257" s="74"/>
      <c r="I257" s="74" t="s">
        <v>282</v>
      </c>
      <c r="J257" s="196">
        <v>0</v>
      </c>
      <c r="K257" s="74"/>
      <c r="L257" s="74"/>
      <c r="M257" s="74"/>
      <c r="N257" s="74"/>
      <c r="O257" s="74"/>
      <c r="P257" s="74"/>
      <c r="Q257" s="74"/>
      <c r="R257" s="74"/>
      <c r="S257" s="161"/>
    </row>
    <row r="258" spans="2:19" ht="12.75">
      <c r="B258"/>
      <c r="C258" s="195"/>
      <c r="G258" s="191"/>
      <c r="H258" s="74"/>
      <c r="I258" s="74" t="s">
        <v>283</v>
      </c>
      <c r="J258" s="196">
        <v>0</v>
      </c>
      <c r="K258" s="74"/>
      <c r="L258" s="74"/>
      <c r="M258" s="74"/>
      <c r="N258" s="74"/>
      <c r="O258" s="74"/>
      <c r="P258" s="74"/>
      <c r="Q258" s="74"/>
      <c r="R258" s="74"/>
      <c r="S258" s="161"/>
    </row>
    <row r="259" spans="2:19" ht="12.75">
      <c r="B259"/>
      <c r="C259" s="195"/>
      <c r="G259" s="191"/>
      <c r="H259" s="74" t="s">
        <v>298</v>
      </c>
      <c r="I259" s="74" t="s">
        <v>284</v>
      </c>
      <c r="J259" s="196">
        <v>0</v>
      </c>
      <c r="K259" s="74"/>
      <c r="L259" s="74"/>
      <c r="M259" s="74"/>
      <c r="N259" s="74"/>
      <c r="O259" s="74"/>
      <c r="P259" s="74"/>
      <c r="Q259" s="74"/>
      <c r="R259" s="74"/>
      <c r="S259" s="161"/>
    </row>
    <row r="260" spans="2:19" ht="12.75">
      <c r="B260"/>
      <c r="C260" s="195"/>
      <c r="G260" s="191"/>
      <c r="H260" s="74"/>
      <c r="I260" s="74" t="s">
        <v>285</v>
      </c>
      <c r="J260" s="196">
        <v>0</v>
      </c>
      <c r="K260" s="74"/>
      <c r="L260" s="74"/>
      <c r="M260" s="74"/>
      <c r="N260" s="74"/>
      <c r="O260" s="74"/>
      <c r="P260" s="74"/>
      <c r="Q260" s="74" t="s">
        <v>299</v>
      </c>
      <c r="R260" s="74"/>
      <c r="S260" s="161"/>
    </row>
    <row r="261" spans="2:19" ht="12.75">
      <c r="B261"/>
      <c r="C261" s="195"/>
      <c r="G261" s="191"/>
      <c r="H261" s="74"/>
      <c r="I261" s="74" t="s">
        <v>286</v>
      </c>
      <c r="J261" s="196">
        <v>0</v>
      </c>
      <c r="K261" s="74"/>
      <c r="L261" s="74"/>
      <c r="M261" s="74"/>
      <c r="N261" s="74"/>
      <c r="O261" s="74"/>
      <c r="P261" s="196">
        <v>-31732</v>
      </c>
      <c r="Q261" s="74"/>
      <c r="R261" s="74"/>
      <c r="S261" s="161"/>
    </row>
    <row r="262" spans="2:19" ht="12.75">
      <c r="B262"/>
      <c r="C262" s="195"/>
      <c r="G262" s="191"/>
      <c r="H262" s="74"/>
      <c r="I262" s="74" t="s">
        <v>287</v>
      </c>
      <c r="J262" s="197">
        <v>0</v>
      </c>
      <c r="K262" s="74"/>
      <c r="L262" s="74"/>
      <c r="M262" s="74"/>
      <c r="N262" s="74"/>
      <c r="O262" s="74"/>
      <c r="P262" s="196"/>
      <c r="Q262" s="74"/>
      <c r="R262" s="74"/>
      <c r="S262" s="161"/>
    </row>
    <row r="263" spans="2:19" ht="12.75">
      <c r="B263"/>
      <c r="C263" s="195"/>
      <c r="G263" s="191"/>
      <c r="H263" s="74"/>
      <c r="I263" s="74"/>
      <c r="J263" s="196">
        <f>SUM(J256:J262)</f>
        <v>0</v>
      </c>
      <c r="K263" s="74"/>
      <c r="L263" s="74"/>
      <c r="M263" s="74"/>
      <c r="N263" s="74"/>
      <c r="O263" s="74"/>
      <c r="P263" s="196"/>
      <c r="Q263" s="74" t="s">
        <v>38</v>
      </c>
      <c r="R263" s="74"/>
      <c r="S263" s="161"/>
    </row>
    <row r="264" spans="2:19" ht="12.75">
      <c r="B264"/>
      <c r="C264" s="195"/>
      <c r="G264" s="191"/>
      <c r="H264" s="74"/>
      <c r="I264" s="74"/>
      <c r="J264" s="196"/>
      <c r="K264" s="74"/>
      <c r="L264" s="74"/>
      <c r="M264" s="74"/>
      <c r="N264" s="74" t="s">
        <v>302</v>
      </c>
      <c r="O264" s="74"/>
      <c r="P264" s="196">
        <f>K286</f>
        <v>-4368</v>
      </c>
      <c r="Q264" s="74" t="s">
        <v>304</v>
      </c>
      <c r="R264" s="74"/>
      <c r="S264" s="161"/>
    </row>
    <row r="265" spans="2:19" ht="12.75">
      <c r="B265"/>
      <c r="C265" s="195"/>
      <c r="G265" s="191"/>
      <c r="H265" s="74"/>
      <c r="I265" s="74" t="s">
        <v>289</v>
      </c>
      <c r="J265" s="196">
        <v>0</v>
      </c>
      <c r="K265" s="74"/>
      <c r="L265" s="74"/>
      <c r="M265" s="74"/>
      <c r="N265" s="74"/>
      <c r="O265" s="74"/>
      <c r="P265" s="197">
        <v>-2500</v>
      </c>
      <c r="Q265" s="74"/>
      <c r="R265" s="74"/>
      <c r="S265" s="161"/>
    </row>
    <row r="266" spans="2:19" ht="12.75">
      <c r="B266"/>
      <c r="C266" s="195"/>
      <c r="G266" s="191"/>
      <c r="H266" s="74"/>
      <c r="I266" s="74" t="s">
        <v>290</v>
      </c>
      <c r="J266" s="196">
        <v>0</v>
      </c>
      <c r="K266" s="74"/>
      <c r="L266" s="74"/>
      <c r="M266" s="196">
        <v>525707</v>
      </c>
      <c r="N266" s="74" t="s">
        <v>306</v>
      </c>
      <c r="O266" s="74"/>
      <c r="P266" s="74"/>
      <c r="Q266" s="74" t="s">
        <v>308</v>
      </c>
      <c r="R266" s="74"/>
      <c r="S266" s="161"/>
    </row>
    <row r="267" spans="2:19" ht="12.75">
      <c r="B267"/>
      <c r="C267"/>
      <c r="G267" s="191"/>
      <c r="H267" s="74"/>
      <c r="I267" s="74" t="s">
        <v>291</v>
      </c>
      <c r="J267" s="196">
        <v>0</v>
      </c>
      <c r="K267" s="74"/>
      <c r="L267" s="74"/>
      <c r="M267" s="196"/>
      <c r="N267" s="74"/>
      <c r="O267" s="196"/>
      <c r="P267" s="196">
        <f>SUM(P261:P265)</f>
        <v>-38600</v>
      </c>
      <c r="Q267" s="74"/>
      <c r="R267" s="74"/>
      <c r="S267" s="161"/>
    </row>
    <row r="268" spans="2:19" ht="12.75">
      <c r="B268"/>
      <c r="C268"/>
      <c r="G268" s="191"/>
      <c r="H268" s="74"/>
      <c r="I268" s="74" t="s">
        <v>292</v>
      </c>
      <c r="J268" s="196">
        <v>0</v>
      </c>
      <c r="K268" s="74"/>
      <c r="L268" s="74"/>
      <c r="M268" s="196"/>
      <c r="N268" s="74"/>
      <c r="O268" s="74"/>
      <c r="P268" s="74"/>
      <c r="Q268" s="74"/>
      <c r="R268" s="74"/>
      <c r="S268" s="204">
        <f>22000+P269</f>
        <v>15133</v>
      </c>
    </row>
    <row r="269" spans="2:19" ht="12.75">
      <c r="B269"/>
      <c r="C269"/>
      <c r="G269" s="191"/>
      <c r="H269" s="74"/>
      <c r="I269" s="74" t="s">
        <v>293</v>
      </c>
      <c r="J269" s="196">
        <v>0</v>
      </c>
      <c r="K269" s="74"/>
      <c r="L269" s="74"/>
      <c r="M269" s="196">
        <v>493974</v>
      </c>
      <c r="N269" s="74"/>
      <c r="O269" s="74"/>
      <c r="P269" s="203">
        <f>P267+M271</f>
        <v>-6867</v>
      </c>
      <c r="Q269" s="74"/>
      <c r="R269" s="74"/>
      <c r="S269" s="161"/>
    </row>
    <row r="270" spans="2:19" ht="12.75">
      <c r="B270"/>
      <c r="C270"/>
      <c r="G270" s="191"/>
      <c r="H270" s="74"/>
      <c r="I270" s="74" t="s">
        <v>294</v>
      </c>
      <c r="J270" s="196">
        <v>0</v>
      </c>
      <c r="K270" s="74"/>
      <c r="L270" s="74"/>
      <c r="M270" s="196"/>
      <c r="N270" s="74"/>
      <c r="O270" s="74"/>
      <c r="P270" s="74"/>
      <c r="Q270" s="74"/>
      <c r="R270" s="74"/>
      <c r="S270" s="161"/>
    </row>
    <row r="271" spans="2:19" ht="12.75">
      <c r="B271"/>
      <c r="C271"/>
      <c r="G271" s="191"/>
      <c r="H271" s="74"/>
      <c r="I271" s="74" t="s">
        <v>295</v>
      </c>
      <c r="J271" s="196">
        <v>0</v>
      </c>
      <c r="K271" s="74"/>
      <c r="L271" s="74"/>
      <c r="M271" s="196">
        <f>M266-M269</f>
        <v>31733</v>
      </c>
      <c r="N271" s="74"/>
      <c r="O271" s="74"/>
      <c r="P271" s="74"/>
      <c r="Q271" s="74"/>
      <c r="R271" s="74"/>
      <c r="S271" s="161"/>
    </row>
    <row r="272" spans="2:19" ht="12.75">
      <c r="B272" s="45"/>
      <c r="C272" s="45"/>
      <c r="G272" s="191"/>
      <c r="H272" s="74" t="s">
        <v>313</v>
      </c>
      <c r="I272" s="74" t="s">
        <v>296</v>
      </c>
      <c r="J272" s="196">
        <v>0</v>
      </c>
      <c r="K272" s="74"/>
      <c r="L272" s="74"/>
      <c r="M272" s="74"/>
      <c r="N272" s="74"/>
      <c r="O272" s="74"/>
      <c r="P272" s="74"/>
      <c r="Q272" s="74"/>
      <c r="R272" s="74"/>
      <c r="S272" s="161"/>
    </row>
    <row r="273" spans="2:19" ht="12.75">
      <c r="B273"/>
      <c r="C273"/>
      <c r="G273" s="191"/>
      <c r="H273" s="74"/>
      <c r="I273" s="74" t="s">
        <v>297</v>
      </c>
      <c r="J273" s="197">
        <v>0</v>
      </c>
      <c r="K273" s="74"/>
      <c r="L273" s="74"/>
      <c r="M273" s="74"/>
      <c r="N273" s="74"/>
      <c r="O273" s="74"/>
      <c r="P273" s="74"/>
      <c r="Q273" s="74"/>
      <c r="R273" s="74"/>
      <c r="S273" s="161"/>
    </row>
    <row r="274" spans="2:19" ht="12.75">
      <c r="B274"/>
      <c r="C274"/>
      <c r="G274" s="191"/>
      <c r="H274" s="74"/>
      <c r="I274" s="74"/>
      <c r="J274" s="196">
        <f>SUM(J263:J273)</f>
        <v>0</v>
      </c>
      <c r="K274" s="74"/>
      <c r="L274" s="74"/>
      <c r="M274" s="203">
        <f>M271+K286</f>
        <v>27365</v>
      </c>
      <c r="N274" s="74"/>
      <c r="O274" s="74"/>
      <c r="P274" s="74"/>
      <c r="Q274" s="74"/>
      <c r="R274" s="74"/>
      <c r="S274" s="161"/>
    </row>
    <row r="275" spans="2:19" ht="12.75">
      <c r="B275"/>
      <c r="C275"/>
      <c r="G275" s="191"/>
      <c r="H275" s="205" t="s">
        <v>315</v>
      </c>
      <c r="I275" s="74"/>
      <c r="J275" s="196"/>
      <c r="K275" s="74"/>
      <c r="L275" s="74"/>
      <c r="M275" s="203"/>
      <c r="N275" s="74"/>
      <c r="O275" s="74"/>
      <c r="P275" s="74"/>
      <c r="Q275" s="74"/>
      <c r="R275" s="74"/>
      <c r="S275" s="161"/>
    </row>
    <row r="276" spans="2:19" ht="12.75">
      <c r="B276"/>
      <c r="C276"/>
      <c r="G276" s="206"/>
      <c r="H276" s="207"/>
      <c r="I276" s="74"/>
      <c r="J276" s="196"/>
      <c r="K276" s="74"/>
      <c r="L276" s="74"/>
      <c r="M276" s="203"/>
      <c r="N276" s="74"/>
      <c r="O276" s="74"/>
      <c r="P276" s="74"/>
      <c r="Q276" s="207"/>
      <c r="R276" s="207"/>
      <c r="S276" s="153"/>
    </row>
    <row r="277" spans="2:19" ht="12.75">
      <c r="B277"/>
      <c r="C277"/>
      <c r="I277" s="74" t="s">
        <v>300</v>
      </c>
      <c r="J277" s="199">
        <v>-862</v>
      </c>
      <c r="K277" s="74"/>
      <c r="L277" s="74"/>
      <c r="M277" s="74"/>
      <c r="N277" s="207"/>
      <c r="O277" s="207"/>
      <c r="P277" s="207"/>
    </row>
    <row r="278" spans="2:19" ht="12.75">
      <c r="B278" s="45"/>
      <c r="C278" s="45"/>
      <c r="I278" s="200" t="s">
        <v>300</v>
      </c>
      <c r="J278" s="201">
        <v>-1</v>
      </c>
      <c r="K278" s="74"/>
      <c r="L278" s="74"/>
      <c r="M278" s="74"/>
    </row>
    <row r="279" spans="2:19" ht="12.75">
      <c r="B279"/>
      <c r="C279"/>
      <c r="I279" s="200" t="s">
        <v>301</v>
      </c>
      <c r="J279" s="201">
        <v>-1</v>
      </c>
      <c r="K279" s="74"/>
      <c r="L279" s="74"/>
      <c r="M279" s="74"/>
    </row>
    <row r="280" spans="2:19" ht="12.75">
      <c r="B280" s="66"/>
      <c r="C280" s="66"/>
      <c r="I280" s="137" t="s">
        <v>303</v>
      </c>
      <c r="J280" s="202">
        <v>-1500</v>
      </c>
      <c r="K280" s="74"/>
      <c r="L280" s="74"/>
      <c r="M280" s="74"/>
    </row>
    <row r="281" spans="2:19" ht="12.75">
      <c r="B281"/>
      <c r="C281"/>
      <c r="I281" s="200" t="s">
        <v>305</v>
      </c>
      <c r="J281" s="201">
        <v>-1</v>
      </c>
      <c r="K281" s="74"/>
      <c r="L281" s="74"/>
      <c r="M281" s="74"/>
    </row>
    <row r="282" spans="2:19" ht="12.75">
      <c r="B282"/>
      <c r="C282"/>
      <c r="I282" s="200" t="s">
        <v>307</v>
      </c>
      <c r="J282" s="201">
        <v>-1</v>
      </c>
      <c r="K282" s="74"/>
      <c r="L282" s="74"/>
      <c r="M282" s="207"/>
    </row>
    <row r="283" spans="2:19" ht="12.75">
      <c r="B283"/>
      <c r="C283"/>
      <c r="I283" s="137" t="s">
        <v>309</v>
      </c>
      <c r="J283" s="202">
        <v>-1000</v>
      </c>
      <c r="K283" s="74"/>
      <c r="L283" s="74"/>
    </row>
    <row r="284" spans="2:19" ht="12.75">
      <c r="B284"/>
      <c r="C284"/>
      <c r="I284" s="200" t="s">
        <v>310</v>
      </c>
      <c r="J284" s="201">
        <v>-1</v>
      </c>
      <c r="K284" s="74"/>
      <c r="L284" s="74"/>
    </row>
    <row r="285" spans="2:19" ht="12.75">
      <c r="B285"/>
      <c r="C285"/>
      <c r="I285" s="137" t="s">
        <v>311</v>
      </c>
      <c r="J285" s="202">
        <v>-1000</v>
      </c>
      <c r="K285" s="74"/>
      <c r="L285" s="74"/>
    </row>
    <row r="286" spans="2:19" ht="12.75">
      <c r="B286"/>
      <c r="C286"/>
      <c r="I286" s="200" t="s">
        <v>102</v>
      </c>
      <c r="J286" s="201">
        <v>-1</v>
      </c>
      <c r="K286" s="203">
        <f>SUM(J277:J286)</f>
        <v>-4368</v>
      </c>
      <c r="L286" s="74"/>
    </row>
    <row r="287" spans="2:19" ht="12.75">
      <c r="B287"/>
      <c r="C287"/>
      <c r="I287" s="74" t="s">
        <v>312</v>
      </c>
      <c r="J287" s="197">
        <f>-M271-K286</f>
        <v>-27365</v>
      </c>
      <c r="K287" s="203"/>
      <c r="L287" s="74"/>
    </row>
    <row r="288" spans="2:19" ht="12.75">
      <c r="B288"/>
      <c r="C288"/>
      <c r="I288" s="74"/>
      <c r="J288" s="196">
        <f>SUM(J274:J287)</f>
        <v>-31733</v>
      </c>
      <c r="K288" s="74"/>
      <c r="L288" s="74"/>
    </row>
    <row r="289" spans="2:12" ht="12.75">
      <c r="B289"/>
      <c r="C289"/>
      <c r="I289" s="74"/>
      <c r="J289" s="196"/>
      <c r="K289" s="74"/>
      <c r="L289" s="207"/>
    </row>
    <row r="290" spans="2:12" ht="12.75">
      <c r="B290"/>
      <c r="C290"/>
      <c r="I290" s="74" t="s">
        <v>314</v>
      </c>
      <c r="J290" s="196">
        <v>3915</v>
      </c>
      <c r="K290" s="74"/>
    </row>
    <row r="291" spans="2:12" ht="12.75">
      <c r="B291"/>
      <c r="C291"/>
      <c r="I291" s="74"/>
      <c r="J291" s="196"/>
      <c r="K291" s="74"/>
    </row>
    <row r="292" spans="2:12" ht="13.5" thickBot="1">
      <c r="B292"/>
      <c r="C292"/>
      <c r="I292" s="74"/>
      <c r="J292" s="208">
        <f>SUM(J288:J291)</f>
        <v>-27818</v>
      </c>
      <c r="K292" s="74"/>
    </row>
    <row r="293" spans="2:12" ht="13.5" thickTop="1">
      <c r="B293"/>
      <c r="C293"/>
      <c r="I293" s="207"/>
      <c r="J293" s="197"/>
      <c r="K293" s="207"/>
    </row>
    <row r="294" spans="2:12" ht="12.75">
      <c r="B294"/>
      <c r="C294"/>
      <c r="J294" s="209"/>
    </row>
    <row r="295" spans="2:12" ht="12.75">
      <c r="B295"/>
      <c r="C295"/>
      <c r="J295" s="209"/>
    </row>
    <row r="296" spans="2:12" ht="12.75">
      <c r="B296"/>
      <c r="C296"/>
      <c r="J296" s="209">
        <f>551878-11621</f>
        <v>540257</v>
      </c>
    </row>
    <row r="297" spans="2:12" ht="12.75">
      <c r="B297"/>
      <c r="C297"/>
      <c r="J297" s="209"/>
    </row>
    <row r="298" spans="2:12" ht="12.75">
      <c r="B298" s="210"/>
      <c r="C298" s="210"/>
      <c r="J298" s="209"/>
    </row>
    <row r="299" spans="2:12" ht="12.75">
      <c r="B299" s="210"/>
      <c r="C299" s="210"/>
      <c r="J299" s="209"/>
    </row>
    <row r="300" spans="2:12" ht="12.75">
      <c r="B300"/>
      <c r="C300"/>
      <c r="J300" s="209"/>
    </row>
    <row r="301" spans="2:12" ht="12.75">
      <c r="B301"/>
      <c r="C301"/>
      <c r="J301" s="209"/>
    </row>
    <row r="302" spans="2:12">
      <c r="J302" s="209"/>
    </row>
    <row r="303" spans="2:12">
      <c r="J303" s="209"/>
    </row>
    <row r="304" spans="2:12">
      <c r="J304" s="209"/>
    </row>
    <row r="305" spans="10:10">
      <c r="J305" s="209"/>
    </row>
    <row r="306" spans="10:10">
      <c r="J306" s="209"/>
    </row>
    <row r="307" spans="10:10">
      <c r="J307" s="209"/>
    </row>
    <row r="308" spans="10:10">
      <c r="J308" s="209"/>
    </row>
    <row r="309" spans="10:10">
      <c r="J309" s="209"/>
    </row>
    <row r="310" spans="10:10">
      <c r="J310" s="209"/>
    </row>
    <row r="311" spans="10:10">
      <c r="J311" s="209"/>
    </row>
    <row r="312" spans="10:10">
      <c r="J312" s="209"/>
    </row>
    <row r="313" spans="10:10">
      <c r="J313" s="209"/>
    </row>
    <row r="314" spans="10:10">
      <c r="J314" s="209"/>
    </row>
    <row r="315" spans="10:10">
      <c r="J315" s="209"/>
    </row>
    <row r="316" spans="10:10">
      <c r="J316" s="209"/>
    </row>
    <row r="317" spans="10:10">
      <c r="J317" s="209"/>
    </row>
    <row r="318" spans="10:10">
      <c r="J318" s="209"/>
    </row>
    <row r="319" spans="10:10">
      <c r="J319" s="209"/>
    </row>
    <row r="320" spans="10:10">
      <c r="J320" s="209"/>
    </row>
    <row r="321" spans="10:10">
      <c r="J321" s="209"/>
    </row>
    <row r="322" spans="10:10">
      <c r="J322" s="209"/>
    </row>
    <row r="323" spans="10:10">
      <c r="J323" s="209"/>
    </row>
    <row r="324" spans="10:10">
      <c r="J324" s="209"/>
    </row>
    <row r="325" spans="10:10">
      <c r="J325" s="209"/>
    </row>
    <row r="326" spans="10:10">
      <c r="J326" s="209"/>
    </row>
    <row r="327" spans="10:10">
      <c r="J327" s="209"/>
    </row>
    <row r="328" spans="10:10">
      <c r="J328" s="209"/>
    </row>
    <row r="329" spans="10:10">
      <c r="J329" s="209"/>
    </row>
    <row r="330" spans="10:10">
      <c r="J330" s="209"/>
    </row>
    <row r="331" spans="10:10">
      <c r="J331" s="209"/>
    </row>
    <row r="332" spans="10:10">
      <c r="J332" s="209"/>
    </row>
    <row r="333" spans="10:10">
      <c r="J333" s="209"/>
    </row>
    <row r="334" spans="10:10">
      <c r="J334" s="209"/>
    </row>
    <row r="335" spans="10:10">
      <c r="J335" s="209"/>
    </row>
    <row r="336" spans="10:10">
      <c r="J336" s="209"/>
    </row>
    <row r="337" spans="10:10">
      <c r="J337" s="209"/>
    </row>
    <row r="338" spans="10:10">
      <c r="J338" s="209"/>
    </row>
    <row r="339" spans="10:10">
      <c r="J339" s="209"/>
    </row>
    <row r="340" spans="10:10">
      <c r="J340" s="209"/>
    </row>
    <row r="341" spans="10:10">
      <c r="J341" s="209"/>
    </row>
    <row r="342" spans="10:10">
      <c r="J342" s="209"/>
    </row>
    <row r="343" spans="10:10">
      <c r="J343" s="209"/>
    </row>
    <row r="344" spans="10:10">
      <c r="J344" s="209"/>
    </row>
    <row r="345" spans="10:10">
      <c r="J345" s="209"/>
    </row>
    <row r="346" spans="10:10">
      <c r="J346" s="209"/>
    </row>
    <row r="347" spans="10:10">
      <c r="J347" s="209"/>
    </row>
    <row r="348" spans="10:10">
      <c r="J348" s="209"/>
    </row>
    <row r="349" spans="10:10">
      <c r="J349" s="209"/>
    </row>
    <row r="350" spans="10:10">
      <c r="J350" s="209"/>
    </row>
    <row r="351" spans="10:10">
      <c r="J351" s="209"/>
    </row>
    <row r="352" spans="10:10">
      <c r="J352" s="209"/>
    </row>
    <row r="353" spans="10:10">
      <c r="J353" s="209"/>
    </row>
    <row r="354" spans="10:10">
      <c r="J354" s="209"/>
    </row>
    <row r="355" spans="10:10">
      <c r="J355" s="209"/>
    </row>
    <row r="356" spans="10:10">
      <c r="J356" s="209"/>
    </row>
    <row r="357" spans="10:10">
      <c r="J357" s="209"/>
    </row>
    <row r="358" spans="10:10">
      <c r="J358" s="209"/>
    </row>
    <row r="359" spans="10:10">
      <c r="J359" s="209"/>
    </row>
    <row r="360" spans="10:10">
      <c r="J360" s="209"/>
    </row>
    <row r="361" spans="10:10">
      <c r="J361" s="209"/>
    </row>
    <row r="362" spans="10:10">
      <c r="J362" s="209"/>
    </row>
    <row r="363" spans="10:10">
      <c r="J363" s="209"/>
    </row>
    <row r="364" spans="10:10">
      <c r="J364" s="209"/>
    </row>
    <row r="365" spans="10:10">
      <c r="J365" s="209"/>
    </row>
    <row r="366" spans="10:10">
      <c r="J366" s="209"/>
    </row>
    <row r="367" spans="10:10">
      <c r="J367" s="209"/>
    </row>
    <row r="368" spans="10:10">
      <c r="J368" s="209"/>
    </row>
    <row r="369" spans="10:10">
      <c r="J369" s="209"/>
    </row>
    <row r="370" spans="10:10">
      <c r="J370" s="209"/>
    </row>
    <row r="371" spans="10:10">
      <c r="J371" s="209"/>
    </row>
    <row r="372" spans="10:10">
      <c r="J372" s="209"/>
    </row>
    <row r="373" spans="10:10">
      <c r="J373" s="209"/>
    </row>
    <row r="374" spans="10:10">
      <c r="J374" s="209"/>
    </row>
    <row r="375" spans="10:10">
      <c r="J375" s="209"/>
    </row>
    <row r="376" spans="10:10">
      <c r="J376" s="209"/>
    </row>
    <row r="377" spans="10:10">
      <c r="J377" s="209"/>
    </row>
    <row r="378" spans="10:10">
      <c r="J378" s="209"/>
    </row>
    <row r="379" spans="10:10">
      <c r="J379" s="209"/>
    </row>
    <row r="380" spans="10:10">
      <c r="J380" s="209"/>
    </row>
    <row r="381" spans="10:10">
      <c r="J381" s="209"/>
    </row>
    <row r="382" spans="10:10">
      <c r="J382" s="209"/>
    </row>
    <row r="383" spans="10:10">
      <c r="J383" s="209"/>
    </row>
    <row r="384" spans="10:10">
      <c r="J384" s="209"/>
    </row>
    <row r="385" spans="10:10">
      <c r="J385" s="209"/>
    </row>
    <row r="386" spans="10:10">
      <c r="J386" s="209"/>
    </row>
    <row r="387" spans="10:10">
      <c r="J387" s="209"/>
    </row>
    <row r="388" spans="10:10">
      <c r="J388" s="209"/>
    </row>
    <row r="389" spans="10:10">
      <c r="J389" s="209"/>
    </row>
    <row r="390" spans="10:10">
      <c r="J390" s="209"/>
    </row>
    <row r="391" spans="10:10">
      <c r="J391" s="209"/>
    </row>
    <row r="392" spans="10:10">
      <c r="J392" s="209"/>
    </row>
    <row r="393" spans="10:10">
      <c r="J393" s="209"/>
    </row>
    <row r="394" spans="10:10">
      <c r="J394" s="209"/>
    </row>
    <row r="395" spans="10:10">
      <c r="J395" s="209"/>
    </row>
    <row r="396" spans="10:10">
      <c r="J396" s="209"/>
    </row>
  </sheetData>
  <mergeCells count="6">
    <mergeCell ref="A130:C130"/>
    <mergeCell ref="K6:L6"/>
    <mergeCell ref="I31:J31"/>
    <mergeCell ref="I36:J36"/>
    <mergeCell ref="I43:J43"/>
    <mergeCell ref="A31:D31"/>
  </mergeCells>
  <printOptions horizontalCentered="1" verticalCentered="1"/>
  <pageMargins left="0.25" right="0.25" top="0.75" bottom="0.25" header="0" footer="0.25"/>
  <pageSetup scale="61" orientation="portrait" horizontalDpi="4294967292" r:id="rId1"/>
  <headerFooter alignWithMargins="0">
    <oddFooter>&amp;L&amp;8Tx Desk Logistics - Daren Farmer&amp;R&amp;8&amp;D
&amp;T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J369"/>
  <sheetViews>
    <sheetView showGridLines="0" topLeftCell="A42" zoomScale="80" workbookViewId="0">
      <selection activeCell="D16" sqref="D16"/>
    </sheetView>
  </sheetViews>
  <sheetFormatPr defaultRowHeight="12"/>
  <cols>
    <col min="1" max="2" width="12.140625" style="12" customWidth="1"/>
    <col min="3" max="3" width="11.28515625" style="12" customWidth="1"/>
    <col min="4" max="4" width="11.85546875" style="12" customWidth="1"/>
    <col min="5" max="5" width="11.5703125" style="12" customWidth="1"/>
    <col min="6" max="6" width="11.7109375" style="12" customWidth="1"/>
    <col min="7" max="7" width="11.85546875" style="12" customWidth="1"/>
    <col min="8" max="8" width="11.7109375" style="12" customWidth="1"/>
    <col min="9" max="9" width="11.85546875" style="12" customWidth="1"/>
    <col min="10" max="10" width="8.7109375" style="12" customWidth="1"/>
    <col min="11" max="11" width="11.85546875" style="12" customWidth="1"/>
    <col min="12" max="12" width="9.140625" style="12"/>
    <col min="13" max="13" width="8.5703125" style="12" bestFit="1" customWidth="1"/>
    <col min="14" max="14" width="9.140625" style="12"/>
    <col min="15" max="15" width="5.5703125" style="12" customWidth="1"/>
    <col min="16" max="16384" width="9.140625" style="12"/>
  </cols>
  <sheetData>
    <row r="1" spans="1:16" s="7" customFormat="1" ht="16.5" thickBot="1">
      <c r="A1" s="1" t="s">
        <v>374</v>
      </c>
      <c r="B1" s="2"/>
      <c r="C1" s="3"/>
      <c r="D1" s="4"/>
      <c r="E1" s="2"/>
      <c r="F1" s="2"/>
      <c r="G1" s="2"/>
      <c r="H1" s="5"/>
      <c r="I1" s="6"/>
    </row>
    <row r="2" spans="1:16" ht="12.75">
      <c r="A2" s="8"/>
      <c r="B2" s="9"/>
      <c r="C2" s="9"/>
      <c r="D2" s="10"/>
      <c r="E2" s="10"/>
      <c r="F2" s="10"/>
      <c r="G2" s="9"/>
      <c r="H2" s="11"/>
    </row>
    <row r="3" spans="1:16" ht="13.5" thickBot="1">
      <c r="A3" s="13"/>
      <c r="B3" s="14"/>
      <c r="C3" s="15"/>
      <c r="D3" s="10"/>
      <c r="E3" s="15"/>
      <c r="F3" s="15"/>
      <c r="G3" s="15"/>
      <c r="H3" s="11"/>
    </row>
    <row r="4" spans="1:16" ht="12.75">
      <c r="A4" s="16"/>
      <c r="B4" s="9"/>
      <c r="C4" s="9"/>
      <c r="D4" s="17" t="s">
        <v>419</v>
      </c>
      <c r="E4" s="285"/>
      <c r="F4" s="285"/>
      <c r="G4" s="286"/>
      <c r="H4" s="287"/>
      <c r="L4"/>
    </row>
    <row r="5" spans="1:16" ht="13.5" thickBot="1">
      <c r="A5" s="21"/>
      <c r="B5" s="22"/>
      <c r="C5" s="22"/>
      <c r="D5" s="233" t="s">
        <v>328</v>
      </c>
      <c r="E5" s="288" t="s">
        <v>371</v>
      </c>
      <c r="F5" s="288" t="str">
        <f>D4</f>
        <v>Mar</v>
      </c>
      <c r="G5" s="289" t="str">
        <f>+F5</f>
        <v>Mar</v>
      </c>
      <c r="H5" s="290" t="str">
        <f>+F5</f>
        <v>Mar</v>
      </c>
      <c r="L5"/>
    </row>
    <row r="6" spans="1:16" ht="13.5" thickBot="1">
      <c r="A6" s="21"/>
      <c r="B6" s="22"/>
      <c r="C6" s="22"/>
      <c r="D6" s="26" t="s">
        <v>1</v>
      </c>
      <c r="E6" s="334" t="s">
        <v>328</v>
      </c>
      <c r="F6" s="291">
        <v>99</v>
      </c>
      <c r="G6" s="292" t="s">
        <v>2</v>
      </c>
      <c r="H6" s="293" t="s">
        <v>3</v>
      </c>
      <c r="I6" s="30"/>
      <c r="K6" s="424" t="s">
        <v>4</v>
      </c>
      <c r="L6" s="425"/>
    </row>
    <row r="7" spans="1:16" ht="12.75">
      <c r="A7" s="31" t="s">
        <v>5</v>
      </c>
      <c r="B7" s="22"/>
      <c r="D7" s="32">
        <f>C186+C206</f>
        <v>468.54400000000004</v>
      </c>
      <c r="E7" s="335">
        <f>736.504-E11-E12</f>
        <v>514.48599999999999</v>
      </c>
      <c r="F7" s="264">
        <v>541.20000000000005</v>
      </c>
      <c r="G7" s="265">
        <f>D7*1.1</f>
        <v>515.39840000000004</v>
      </c>
      <c r="H7" s="266">
        <f>D7*0.9</f>
        <v>421.68960000000004</v>
      </c>
      <c r="I7" s="33"/>
      <c r="K7" s="34" t="s">
        <v>6</v>
      </c>
      <c r="L7" s="35">
        <f>C113</f>
        <v>16.5</v>
      </c>
      <c r="N7"/>
      <c r="O7"/>
    </row>
    <row r="8" spans="1:16" ht="12.75">
      <c r="A8" s="31" t="s">
        <v>380</v>
      </c>
      <c r="B8" s="22"/>
      <c r="C8" s="36"/>
      <c r="D8" s="37">
        <f>70+70</f>
        <v>140</v>
      </c>
      <c r="E8" s="335">
        <f>71.396+94.42</f>
        <v>165.816</v>
      </c>
      <c r="F8" s="267">
        <f>39.366+43.281</f>
        <v>82.646999999999991</v>
      </c>
      <c r="G8" s="268">
        <f>73+105</f>
        <v>178</v>
      </c>
      <c r="H8" s="266">
        <f>65.7+60</f>
        <v>125.7</v>
      </c>
      <c r="I8" s="30"/>
      <c r="K8" s="38" t="s">
        <v>7</v>
      </c>
      <c r="L8" s="39">
        <f>C114+C190</f>
        <v>0</v>
      </c>
      <c r="N8"/>
      <c r="O8"/>
    </row>
    <row r="9" spans="1:16" ht="12.75">
      <c r="A9" s="31" t="s">
        <v>8</v>
      </c>
      <c r="B9" s="22"/>
      <c r="C9" s="10"/>
      <c r="D9" s="37">
        <v>20</v>
      </c>
      <c r="E9" s="335">
        <v>36.81</v>
      </c>
      <c r="F9" s="267">
        <v>20.407</v>
      </c>
      <c r="G9" s="268">
        <v>60</v>
      </c>
      <c r="H9" s="266">
        <v>20</v>
      </c>
      <c r="I9" s="30"/>
      <c r="K9" s="38" t="s">
        <v>9</v>
      </c>
      <c r="L9" s="263">
        <f>C120+C192</f>
        <v>20</v>
      </c>
      <c r="N9"/>
      <c r="O9"/>
    </row>
    <row r="10" spans="1:16" ht="12.75">
      <c r="A10" s="31" t="s">
        <v>10</v>
      </c>
      <c r="B10" s="22"/>
      <c r="C10" s="22"/>
      <c r="D10" s="37">
        <v>34.118000000000002</v>
      </c>
      <c r="E10" s="335">
        <v>33.024999999999999</v>
      </c>
      <c r="F10" s="267">
        <v>77</v>
      </c>
      <c r="G10" s="268">
        <v>0</v>
      </c>
      <c r="H10" s="266">
        <v>0</v>
      </c>
      <c r="I10" s="40"/>
      <c r="K10" s="38" t="s">
        <v>11</v>
      </c>
      <c r="L10" s="39">
        <f>C122+C193</f>
        <v>0</v>
      </c>
      <c r="N10"/>
      <c r="O10"/>
    </row>
    <row r="11" spans="1:16" ht="12.75">
      <c r="A11" s="31" t="s">
        <v>330</v>
      </c>
      <c r="B11" s="22"/>
      <c r="C11" s="22"/>
      <c r="D11" s="37">
        <f>110+15+0.4</f>
        <v>125.4</v>
      </c>
      <c r="E11" s="335">
        <v>126.13</v>
      </c>
      <c r="F11" s="267">
        <v>114.28</v>
      </c>
      <c r="G11" s="268">
        <v>145</v>
      </c>
      <c r="H11" s="266">
        <v>90</v>
      </c>
      <c r="I11" s="30"/>
      <c r="K11" s="38" t="s">
        <v>12</v>
      </c>
      <c r="L11" s="39">
        <f>C129+C194</f>
        <v>0</v>
      </c>
      <c r="N11"/>
      <c r="O11"/>
    </row>
    <row r="12" spans="1:16" ht="12.75">
      <c r="A12" s="31" t="s">
        <v>13</v>
      </c>
      <c r="B12" s="22"/>
      <c r="C12" s="22"/>
      <c r="D12" s="37">
        <v>95</v>
      </c>
      <c r="E12" s="335">
        <v>95.888000000000005</v>
      </c>
      <c r="F12" s="267">
        <v>106.53</v>
      </c>
      <c r="G12" s="268">
        <f>90*1.05</f>
        <v>94.5</v>
      </c>
      <c r="H12" s="266">
        <f>90*0.95</f>
        <v>85.5</v>
      </c>
      <c r="I12" s="30"/>
      <c r="K12" s="38" t="s">
        <v>14</v>
      </c>
      <c r="L12" s="39">
        <f>C139+C197</f>
        <v>65</v>
      </c>
      <c r="N12"/>
      <c r="O12"/>
    </row>
    <row r="13" spans="1:16" ht="12.75">
      <c r="A13" s="31" t="s">
        <v>15</v>
      </c>
      <c r="B13" s="22"/>
      <c r="C13" s="22"/>
      <c r="D13" s="37">
        <v>55</v>
      </c>
      <c r="E13" s="335">
        <v>55</v>
      </c>
      <c r="F13" s="267">
        <v>53.493000000000002</v>
      </c>
      <c r="G13" s="268">
        <v>180</v>
      </c>
      <c r="H13" s="266">
        <v>0</v>
      </c>
      <c r="I13" s="30"/>
      <c r="J13"/>
      <c r="K13" s="38" t="s">
        <v>16</v>
      </c>
      <c r="L13" s="39">
        <f>C138+C196</f>
        <v>33</v>
      </c>
      <c r="N13"/>
      <c r="O13"/>
    </row>
    <row r="14" spans="1:16" ht="12.75">
      <c r="A14" s="31" t="s">
        <v>17</v>
      </c>
      <c r="B14" s="22"/>
      <c r="C14" s="22"/>
      <c r="D14" s="37">
        <f>B67</f>
        <v>11.058</v>
      </c>
      <c r="E14" s="335">
        <v>10.558</v>
      </c>
      <c r="F14" s="267">
        <v>6.7</v>
      </c>
      <c r="G14" s="268">
        <f>D14*1.05</f>
        <v>11.610900000000001</v>
      </c>
      <c r="H14" s="266">
        <f>D14*0.95</f>
        <v>10.505099999999999</v>
      </c>
      <c r="I14" s="30"/>
      <c r="K14" s="38" t="s">
        <v>18</v>
      </c>
      <c r="L14" s="39">
        <f>C142+C198</f>
        <v>30</v>
      </c>
      <c r="N14"/>
      <c r="O14"/>
    </row>
    <row r="15" spans="1:16" ht="12.75">
      <c r="A15" s="31" t="s">
        <v>373</v>
      </c>
      <c r="B15" s="22"/>
      <c r="C15" s="22"/>
      <c r="D15" s="37">
        <f>SUM(D16:D18)</f>
        <v>228</v>
      </c>
      <c r="E15" s="335">
        <f>SUM(E16:E18)</f>
        <v>201</v>
      </c>
      <c r="F15" s="267">
        <f>SUM(F16:F18)</f>
        <v>141</v>
      </c>
      <c r="G15" s="268">
        <v>1174</v>
      </c>
      <c r="H15" s="266">
        <v>0</v>
      </c>
      <c r="I15" s="30"/>
      <c r="K15" s="38" t="s">
        <v>20</v>
      </c>
      <c r="L15" s="39">
        <f>C154+C200</f>
        <v>20</v>
      </c>
      <c r="N15"/>
      <c r="O15"/>
    </row>
    <row r="16" spans="1:16" ht="12.75">
      <c r="A16" s="31" t="s">
        <v>368</v>
      </c>
      <c r="B16" s="41"/>
      <c r="C16" s="22"/>
      <c r="D16" s="213">
        <v>160</v>
      </c>
      <c r="E16" s="335">
        <f>127+5</f>
        <v>132</v>
      </c>
      <c r="F16" s="267">
        <v>75</v>
      </c>
      <c r="G16" s="268"/>
      <c r="H16" s="266"/>
      <c r="I16" s="30"/>
      <c r="K16" s="38" t="s">
        <v>22</v>
      </c>
      <c r="L16" s="39">
        <f>C110</f>
        <v>0</v>
      </c>
      <c r="N16"/>
      <c r="O16"/>
      <c r="P16"/>
    </row>
    <row r="17" spans="1:36" ht="12.75">
      <c r="A17" s="31" t="s">
        <v>369</v>
      </c>
      <c r="B17" s="41"/>
      <c r="C17" s="22"/>
      <c r="D17" s="213">
        <v>10</v>
      </c>
      <c r="E17" s="335">
        <v>10</v>
      </c>
      <c r="F17" s="267">
        <v>8</v>
      </c>
      <c r="G17" s="268"/>
      <c r="H17" s="266"/>
      <c r="I17" s="30"/>
      <c r="K17" s="38" t="s">
        <v>24</v>
      </c>
      <c r="L17" s="39">
        <f>C172+C202</f>
        <v>40</v>
      </c>
      <c r="N17"/>
      <c r="O17"/>
      <c r="P17"/>
    </row>
    <row r="18" spans="1:36" ht="12.75">
      <c r="A18" s="31" t="s">
        <v>370</v>
      </c>
      <c r="B18" s="41"/>
      <c r="C18" s="22"/>
      <c r="D18" s="213">
        <v>58</v>
      </c>
      <c r="E18" s="335">
        <v>59</v>
      </c>
      <c r="F18" s="267">
        <v>58</v>
      </c>
      <c r="G18" s="268"/>
      <c r="H18" s="266"/>
      <c r="I18" s="30"/>
      <c r="K18" s="38" t="s">
        <v>26</v>
      </c>
      <c r="L18" s="39">
        <f>C173</f>
        <v>19</v>
      </c>
      <c r="N18"/>
      <c r="O18"/>
      <c r="P18"/>
    </row>
    <row r="19" spans="1:36" ht="13.5" thickBot="1">
      <c r="A19" s="31" t="s">
        <v>21</v>
      </c>
      <c r="B19" s="36"/>
      <c r="C19" s="36"/>
      <c r="D19" s="37">
        <f>F68-B67</f>
        <v>115</v>
      </c>
      <c r="E19" s="335">
        <f>Jan!D16</f>
        <v>257.21000000000004</v>
      </c>
      <c r="F19" s="267">
        <v>0</v>
      </c>
      <c r="G19" s="268">
        <v>0</v>
      </c>
      <c r="H19" s="266">
        <v>0</v>
      </c>
      <c r="I19" s="42"/>
      <c r="K19" s="47" t="s">
        <v>28</v>
      </c>
      <c r="L19" s="48">
        <f>C177+C205</f>
        <v>65</v>
      </c>
      <c r="N19"/>
      <c r="O19"/>
    </row>
    <row r="20" spans="1:36" ht="12.75">
      <c r="A20" s="31" t="s">
        <v>23</v>
      </c>
      <c r="B20" s="22"/>
      <c r="C20" s="22"/>
      <c r="D20" s="43">
        <f>SUM(D7:D19)-D15</f>
        <v>1292.1200000000001</v>
      </c>
      <c r="E20" s="336">
        <f>SUM(E7:E19)-E15</f>
        <v>1495.9230000000002</v>
      </c>
      <c r="F20" s="336">
        <f>SUM(F7:F19)-F15</f>
        <v>1143.2570000000001</v>
      </c>
      <c r="G20" s="269">
        <f>SUM(G7:G19)</f>
        <v>2358.5092999999997</v>
      </c>
      <c r="H20" s="270">
        <f>SUM(H7:H19)</f>
        <v>753.39470000000006</v>
      </c>
      <c r="I20" s="33"/>
      <c r="L20"/>
      <c r="N20"/>
      <c r="O20" s="45"/>
    </row>
    <row r="21" spans="1:36" ht="12.75">
      <c r="A21" s="31" t="s">
        <v>25</v>
      </c>
      <c r="B21" s="22"/>
      <c r="C21" s="22"/>
      <c r="D21" s="46">
        <f>D32</f>
        <v>0</v>
      </c>
      <c r="E21" s="337">
        <v>-64.516129032258064</v>
      </c>
      <c r="F21" s="271">
        <v>0</v>
      </c>
      <c r="G21" s="272">
        <v>0</v>
      </c>
      <c r="H21" s="273">
        <v>0</v>
      </c>
      <c r="I21" s="30"/>
      <c r="L21"/>
      <c r="N21" s="45"/>
      <c r="O21"/>
    </row>
    <row r="22" spans="1:36" ht="12.75">
      <c r="A22" s="31" t="s">
        <v>27</v>
      </c>
      <c r="B22" s="22"/>
      <c r="C22" s="22"/>
      <c r="D22" s="37">
        <v>2.5</v>
      </c>
      <c r="E22" s="267">
        <v>2.5</v>
      </c>
      <c r="F22" s="267">
        <v>2.5</v>
      </c>
      <c r="G22" s="274">
        <v>0</v>
      </c>
      <c r="H22" s="273">
        <v>0</v>
      </c>
      <c r="I22" s="30"/>
      <c r="L22"/>
      <c r="N22"/>
    </row>
    <row r="23" spans="1:36" ht="12.75">
      <c r="A23" s="49"/>
      <c r="B23" s="22"/>
      <c r="C23" s="50" t="s">
        <v>29</v>
      </c>
      <c r="D23" s="314">
        <f>D22+D21+D20</f>
        <v>1294.6200000000001</v>
      </c>
      <c r="E23" s="269">
        <f>E22+E21+E20</f>
        <v>1433.9068709677422</v>
      </c>
      <c r="F23" s="269">
        <f>F22+F21+F20</f>
        <v>1145.7570000000001</v>
      </c>
      <c r="G23" s="269">
        <f>G22+G21+G20</f>
        <v>2358.5092999999997</v>
      </c>
      <c r="H23" s="275">
        <f>H22+H21+H20</f>
        <v>753.39470000000006</v>
      </c>
      <c r="I23" s="30"/>
      <c r="L23"/>
    </row>
    <row r="24" spans="1:36" ht="12.75">
      <c r="A24" s="31" t="s">
        <v>30</v>
      </c>
      <c r="B24" s="22"/>
      <c r="C24" s="22"/>
      <c r="D24" s="46">
        <f>D44</f>
        <v>1035.7760000000001</v>
      </c>
      <c r="E24" s="338">
        <f>Jan!D21</f>
        <v>1168.8259999999998</v>
      </c>
      <c r="F24" s="338">
        <v>1660</v>
      </c>
      <c r="G24" s="339">
        <f>D24</f>
        <v>1035.7760000000001</v>
      </c>
      <c r="H24" s="340">
        <f>D24</f>
        <v>1035.7760000000001</v>
      </c>
      <c r="I24" s="30"/>
      <c r="L24"/>
    </row>
    <row r="25" spans="1:36" ht="12.75">
      <c r="A25" s="315" t="s">
        <v>334</v>
      </c>
      <c r="B25" s="22"/>
      <c r="C25" s="22"/>
      <c r="D25" s="46">
        <v>44.4</v>
      </c>
      <c r="E25" s="267">
        <v>54</v>
      </c>
      <c r="F25" s="267"/>
      <c r="G25" s="271"/>
      <c r="H25" s="273"/>
      <c r="I25" s="30"/>
      <c r="L25"/>
    </row>
    <row r="26" spans="1:36" ht="13.5" thickBot="1">
      <c r="A26" s="51"/>
      <c r="B26" s="52"/>
      <c r="C26" s="53" t="s">
        <v>31</v>
      </c>
      <c r="D26" s="54">
        <f>D24+D25-D23</f>
        <v>-214.44399999999996</v>
      </c>
      <c r="E26" s="278">
        <f>E24-E23+E25</f>
        <v>-211.08087096774238</v>
      </c>
      <c r="F26" s="278">
        <f>F24-F23</f>
        <v>514.24299999999994</v>
      </c>
      <c r="G26" s="278">
        <f>+G23-G24</f>
        <v>1322.7332999999996</v>
      </c>
      <c r="H26" s="278">
        <f>+(H23-H24)</f>
        <v>-282.38130000000001</v>
      </c>
      <c r="I26" s="33"/>
      <c r="L26"/>
    </row>
    <row r="27" spans="1:36" ht="4.5" customHeight="1">
      <c r="A27" s="55"/>
      <c r="B27" s="22"/>
      <c r="C27" s="56"/>
      <c r="D27" s="57"/>
      <c r="E27" s="58"/>
      <c r="F27" s="58"/>
      <c r="G27" s="59"/>
      <c r="H27" s="59"/>
      <c r="I27" s="33"/>
      <c r="K27" s="65"/>
      <c r="L27" s="66"/>
    </row>
    <row r="28" spans="1:36" ht="12.75">
      <c r="A28" s="49"/>
      <c r="C28" s="60" t="s">
        <v>32</v>
      </c>
      <c r="D28" s="238">
        <v>0</v>
      </c>
      <c r="E28" s="58"/>
      <c r="F28" s="58"/>
      <c r="G28" s="58"/>
      <c r="H28" s="58"/>
      <c r="I28" s="33"/>
      <c r="L28"/>
    </row>
    <row r="29" spans="1:36" s="67" customFormat="1" ht="13.5" customHeight="1" thickBot="1">
      <c r="A29" s="61"/>
      <c r="B29" s="62"/>
      <c r="C29" s="63" t="s">
        <v>33</v>
      </c>
      <c r="D29" s="64">
        <f>D26+D28</f>
        <v>-214.44399999999996</v>
      </c>
      <c r="E29" s="58"/>
      <c r="F29" s="58"/>
      <c r="G29" s="58"/>
      <c r="H29" s="58"/>
      <c r="I29" s="33"/>
      <c r="J29" s="65"/>
      <c r="K29" s="12"/>
      <c r="L2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</row>
    <row r="30" spans="1:36" ht="8.25" customHeight="1" thickBot="1">
      <c r="A30" s="68"/>
      <c r="B30" s="69"/>
      <c r="C30" s="70"/>
      <c r="D30" s="71"/>
      <c r="E30" s="10"/>
      <c r="F30" s="10"/>
      <c r="G30" s="72"/>
      <c r="H30" s="73"/>
      <c r="I30" s="74"/>
      <c r="K30"/>
    </row>
    <row r="31" spans="1:36" ht="13.5" thickBot="1">
      <c r="A31" s="429" t="s">
        <v>389</v>
      </c>
      <c r="B31" s="430"/>
      <c r="C31" s="430"/>
      <c r="D31" s="431"/>
      <c r="E31" s="75" t="s">
        <v>35</v>
      </c>
      <c r="F31" s="76"/>
      <c r="G31" s="77"/>
      <c r="H31" s="78"/>
      <c r="I31" s="426" t="s">
        <v>36</v>
      </c>
      <c r="J31" s="427"/>
      <c r="K31" s="96"/>
      <c r="L31" s="96"/>
    </row>
    <row r="32" spans="1:36" ht="13.5" thickBot="1">
      <c r="A32" s="31" t="s">
        <v>37</v>
      </c>
      <c r="B32" s="72"/>
      <c r="C32" s="72"/>
      <c r="D32" s="282">
        <v>0</v>
      </c>
      <c r="E32" s="79" t="s">
        <v>38</v>
      </c>
      <c r="F32" s="80"/>
      <c r="G32" s="81" t="s">
        <v>39</v>
      </c>
      <c r="H32" s="82"/>
      <c r="I32" s="83" t="s">
        <v>40</v>
      </c>
      <c r="J32" s="84" t="s">
        <v>41</v>
      </c>
      <c r="K32" s="99"/>
      <c r="L32" s="99"/>
    </row>
    <row r="33" spans="1:18" ht="13.5" thickBot="1">
      <c r="A33" s="85" t="s">
        <v>42</v>
      </c>
      <c r="B33" s="86">
        <v>0</v>
      </c>
      <c r="C33" s="87" t="s">
        <v>43</v>
      </c>
      <c r="D33" s="88"/>
      <c r="E33" s="283"/>
      <c r="F33" s="284"/>
      <c r="G33" s="90"/>
      <c r="H33" s="91"/>
      <c r="I33" s="239">
        <f>57.5+5</f>
        <v>62.5</v>
      </c>
      <c r="J33" s="240">
        <f>60+5+10+15+10</f>
        <v>100</v>
      </c>
      <c r="K33" s="74"/>
      <c r="L33" s="74"/>
    </row>
    <row r="34" spans="1:18" ht="13.5" thickBot="1">
      <c r="A34" s="85" t="s">
        <v>44</v>
      </c>
      <c r="B34" s="92">
        <v>0</v>
      </c>
      <c r="C34" s="22"/>
      <c r="D34" s="93"/>
      <c r="E34" s="90"/>
      <c r="F34" s="91"/>
      <c r="G34" s="90"/>
      <c r="H34" s="91"/>
      <c r="I34" s="307" t="s">
        <v>45</v>
      </c>
      <c r="J34" s="95">
        <f>+I33-J33</f>
        <v>-37.5</v>
      </c>
      <c r="K34"/>
      <c r="L34"/>
    </row>
    <row r="35" spans="1:18" ht="13.5" thickBot="1">
      <c r="A35" s="97"/>
      <c r="B35" s="52"/>
      <c r="C35" s="52"/>
      <c r="D35" s="98"/>
      <c r="E35" s="283"/>
      <c r="F35" s="284"/>
      <c r="G35" s="90"/>
      <c r="H35" s="91"/>
      <c r="I35"/>
      <c r="J35"/>
      <c r="K35"/>
      <c r="L35"/>
    </row>
    <row r="36" spans="1:18" ht="13.5" thickBot="1">
      <c r="A36" s="100"/>
      <c r="B36" s="101"/>
      <c r="C36" s="101"/>
      <c r="D36" s="102"/>
      <c r="E36" s="283"/>
      <c r="F36" s="284"/>
      <c r="G36" s="90"/>
      <c r="H36" s="91"/>
      <c r="I36" s="426" t="s">
        <v>46</v>
      </c>
      <c r="J36" s="428"/>
      <c r="K36" s="112"/>
      <c r="L36"/>
    </row>
    <row r="37" spans="1:18" ht="13.5" thickBot="1">
      <c r="A37" s="103" t="s">
        <v>47</v>
      </c>
      <c r="B37" s="104"/>
      <c r="C37" s="104"/>
      <c r="D37" s="105"/>
      <c r="E37" s="89"/>
      <c r="F37" s="218"/>
      <c r="G37" s="106"/>
      <c r="H37" s="107"/>
      <c r="I37" s="83" t="s">
        <v>48</v>
      </c>
      <c r="J37" s="84" t="s">
        <v>49</v>
      </c>
      <c r="K37" s="112"/>
      <c r="L37"/>
    </row>
    <row r="38" spans="1:18" ht="13.5" thickBot="1">
      <c r="A38" s="31"/>
      <c r="B38" s="22"/>
      <c r="C38" s="22"/>
      <c r="D38" s="108"/>
      <c r="E38" s="89"/>
      <c r="F38" s="218"/>
      <c r="G38" s="106"/>
      <c r="H38" s="107"/>
      <c r="I38" s="305">
        <v>0</v>
      </c>
      <c r="J38" s="241">
        <f>10-30+10</f>
        <v>-10</v>
      </c>
      <c r="K38" s="112"/>
      <c r="L38"/>
    </row>
    <row r="39" spans="1:18" ht="13.5" thickBot="1">
      <c r="A39" s="31" t="s">
        <v>50</v>
      </c>
      <c r="B39" s="22"/>
      <c r="C39" s="22"/>
      <c r="D39" s="110">
        <f>K191/1000</f>
        <v>89.093000000000004</v>
      </c>
      <c r="E39" s="89"/>
      <c r="F39" s="218"/>
      <c r="G39" s="106"/>
      <c r="H39" s="107"/>
      <c r="I39" s="111" t="s">
        <v>51</v>
      </c>
      <c r="J39" s="84" t="s">
        <v>52</v>
      </c>
      <c r="K39"/>
      <c r="L39"/>
    </row>
    <row r="40" spans="1:18" ht="13.5" thickBot="1">
      <c r="A40" s="31" t="s">
        <v>53</v>
      </c>
      <c r="B40" s="22"/>
      <c r="C40" s="22"/>
      <c r="D40" s="108">
        <f>L68</f>
        <v>226.87900000000002</v>
      </c>
      <c r="E40" s="89"/>
      <c r="F40" s="218"/>
      <c r="G40" s="113"/>
      <c r="H40" s="114"/>
      <c r="I40" s="242">
        <v>40</v>
      </c>
      <c r="J40" s="306">
        <v>0</v>
      </c>
      <c r="K40"/>
      <c r="L40"/>
    </row>
    <row r="41" spans="1:18" ht="13.5" thickBot="1">
      <c r="A41" s="31" t="s">
        <v>54</v>
      </c>
      <c r="B41" s="22"/>
      <c r="C41" s="22"/>
      <c r="D41" s="281">
        <v>40</v>
      </c>
      <c r="E41" s="89"/>
      <c r="F41" s="218"/>
      <c r="G41" s="113"/>
      <c r="H41" s="114"/>
      <c r="I41" s="308" t="s">
        <v>55</v>
      </c>
      <c r="J41" s="95">
        <f>J34+I38+J38+I40+J40</f>
        <v>-7.5</v>
      </c>
      <c r="K41"/>
      <c r="L41"/>
    </row>
    <row r="42" spans="1:18" ht="13.5" thickBot="1">
      <c r="A42" s="31" t="s">
        <v>56</v>
      </c>
      <c r="B42" s="22"/>
      <c r="C42" s="22"/>
      <c r="D42" s="117">
        <f>642.804+10+20+7</f>
        <v>679.80399999999997</v>
      </c>
      <c r="E42" s="89"/>
      <c r="F42" s="218"/>
      <c r="G42" s="10"/>
      <c r="H42" s="11"/>
      <c r="K42"/>
      <c r="L42"/>
    </row>
    <row r="43" spans="1:18" ht="13.5" thickBot="1">
      <c r="A43" s="31"/>
      <c r="B43" s="22"/>
      <c r="C43" s="22"/>
      <c r="D43" s="108"/>
      <c r="E43" s="89"/>
      <c r="F43" s="218"/>
      <c r="G43" s="10"/>
      <c r="H43" s="11"/>
      <c r="I43" s="426" t="s">
        <v>57</v>
      </c>
      <c r="J43" s="427"/>
      <c r="K43"/>
      <c r="L43"/>
    </row>
    <row r="44" spans="1:18" ht="13.5" thickBot="1">
      <c r="A44" s="51"/>
      <c r="B44" s="118" t="s">
        <v>58</v>
      </c>
      <c r="C44" s="119" t="str">
        <f>+F5</f>
        <v>Mar</v>
      </c>
      <c r="D44" s="120">
        <f>SUM(D39:D42)</f>
        <v>1035.7760000000001</v>
      </c>
      <c r="E44" s="121" t="s">
        <v>59</v>
      </c>
      <c r="F44" s="122">
        <f>SUM(F33:F42)</f>
        <v>0</v>
      </c>
      <c r="G44" s="121" t="s">
        <v>59</v>
      </c>
      <c r="H44" s="123">
        <f>SUM(H33:H43)</f>
        <v>0</v>
      </c>
      <c r="I44"/>
      <c r="J44" s="95">
        <v>15</v>
      </c>
      <c r="K44"/>
      <c r="L44"/>
    </row>
    <row r="45" spans="1:18" ht="12.75" thickBot="1"/>
    <row r="46" spans="1:18" ht="12.75" thickBot="1">
      <c r="A46" s="124" t="s">
        <v>60</v>
      </c>
      <c r="B46" s="125"/>
      <c r="C46" s="125"/>
      <c r="D46" s="125"/>
      <c r="E46" s="126"/>
      <c r="F46" s="127"/>
      <c r="G46" s="124" t="s">
        <v>61</v>
      </c>
      <c r="H46" s="125"/>
      <c r="I46" s="125"/>
      <c r="J46" s="125"/>
      <c r="K46" s="125"/>
      <c r="L46" s="128"/>
      <c r="P46" s="12" t="s">
        <v>62</v>
      </c>
    </row>
    <row r="47" spans="1:18">
      <c r="A47" s="129" t="s">
        <v>63</v>
      </c>
      <c r="B47" s="130"/>
      <c r="C47" s="131" t="s">
        <v>64</v>
      </c>
      <c r="D47" s="130"/>
      <c r="E47" s="131" t="s">
        <v>65</v>
      </c>
      <c r="F47" s="132"/>
      <c r="G47" s="133"/>
      <c r="H47" s="130"/>
      <c r="I47" s="131" t="s">
        <v>64</v>
      </c>
      <c r="J47" s="130"/>
      <c r="K47" s="131" t="s">
        <v>65</v>
      </c>
      <c r="L47" s="132"/>
      <c r="P47" s="12" t="s">
        <v>66</v>
      </c>
      <c r="Q47" s="12">
        <v>6789</v>
      </c>
      <c r="R47" s="12">
        <v>8000</v>
      </c>
    </row>
    <row r="48" spans="1:18">
      <c r="A48" s="134" t="s">
        <v>67</v>
      </c>
      <c r="B48" s="135">
        <v>0.2</v>
      </c>
      <c r="C48" s="136" t="s">
        <v>317</v>
      </c>
      <c r="D48" s="135">
        <v>10</v>
      </c>
      <c r="E48" s="215"/>
      <c r="F48" s="135"/>
      <c r="G48" s="138"/>
      <c r="H48" s="139"/>
      <c r="I48" s="136" t="s">
        <v>68</v>
      </c>
      <c r="J48" s="243">
        <v>40</v>
      </c>
      <c r="K48" s="136"/>
      <c r="L48" s="140"/>
    </row>
    <row r="49" spans="1:12">
      <c r="A49" s="134" t="s">
        <v>69</v>
      </c>
      <c r="B49" s="135">
        <v>0.21199999999999999</v>
      </c>
      <c r="C49" s="136" t="s">
        <v>11</v>
      </c>
      <c r="D49" s="135">
        <v>5</v>
      </c>
      <c r="E49" s="136"/>
      <c r="F49" s="140"/>
      <c r="G49" s="138"/>
      <c r="H49" s="139"/>
      <c r="I49" s="141" t="s">
        <v>71</v>
      </c>
      <c r="J49" s="257">
        <v>20</v>
      </c>
      <c r="K49" s="136"/>
      <c r="L49" s="140"/>
    </row>
    <row r="50" spans="1:12">
      <c r="A50" s="134" t="s">
        <v>72</v>
      </c>
      <c r="B50" s="135">
        <v>4.8000000000000001E-2</v>
      </c>
      <c r="C50" s="136" t="s">
        <v>73</v>
      </c>
      <c r="D50" s="135">
        <v>40</v>
      </c>
      <c r="E50" s="136"/>
      <c r="F50" s="140"/>
      <c r="G50" s="138"/>
      <c r="H50" s="139"/>
      <c r="I50" s="141" t="s">
        <v>75</v>
      </c>
      <c r="J50" s="135">
        <v>20</v>
      </c>
      <c r="K50" s="136"/>
      <c r="L50" s="140"/>
    </row>
    <row r="51" spans="1:12">
      <c r="A51" s="134" t="s">
        <v>76</v>
      </c>
      <c r="B51" s="135">
        <v>0.45</v>
      </c>
      <c r="C51" s="136" t="s">
        <v>348</v>
      </c>
      <c r="D51" s="135">
        <v>0</v>
      </c>
      <c r="E51" s="136"/>
      <c r="F51" s="140"/>
      <c r="G51" s="138"/>
      <c r="H51" s="139"/>
      <c r="I51" s="141" t="s">
        <v>78</v>
      </c>
      <c r="J51" s="135">
        <v>20</v>
      </c>
      <c r="K51" s="136"/>
      <c r="L51" s="140"/>
    </row>
    <row r="52" spans="1:12">
      <c r="A52" s="134" t="s">
        <v>79</v>
      </c>
      <c r="B52" s="135">
        <v>4.8000000000000001E-2</v>
      </c>
      <c r="C52" s="136" t="s">
        <v>80</v>
      </c>
      <c r="D52" s="135">
        <v>20</v>
      </c>
      <c r="E52" s="136"/>
      <c r="F52" s="140"/>
      <c r="G52" s="138"/>
      <c r="H52" s="139"/>
      <c r="I52" s="141" t="s">
        <v>82</v>
      </c>
      <c r="J52" s="135">
        <v>3.879</v>
      </c>
      <c r="K52" s="136"/>
      <c r="L52" s="140"/>
    </row>
    <row r="53" spans="1:12">
      <c r="A53" s="134" t="s">
        <v>83</v>
      </c>
      <c r="B53" s="135">
        <v>0.5</v>
      </c>
      <c r="C53" s="136" t="s">
        <v>85</v>
      </c>
      <c r="D53" s="135">
        <v>6</v>
      </c>
      <c r="E53" s="136"/>
      <c r="F53" s="140"/>
      <c r="G53" s="138"/>
      <c r="H53" s="139"/>
      <c r="I53" s="141" t="s">
        <v>87</v>
      </c>
      <c r="J53" s="135">
        <v>33</v>
      </c>
      <c r="K53" s="136"/>
      <c r="L53" s="140"/>
    </row>
    <row r="54" spans="1:12">
      <c r="A54" s="134" t="s">
        <v>85</v>
      </c>
      <c r="B54" s="341">
        <v>9.6</v>
      </c>
      <c r="C54" s="136" t="s">
        <v>89</v>
      </c>
      <c r="D54" s="135">
        <v>2</v>
      </c>
      <c r="E54" s="136"/>
      <c r="F54" s="140"/>
      <c r="G54" s="138"/>
      <c r="H54" s="139"/>
      <c r="I54" s="141" t="s">
        <v>90</v>
      </c>
      <c r="J54" s="135">
        <v>15</v>
      </c>
      <c r="K54" s="136"/>
      <c r="L54" s="140"/>
    </row>
    <row r="55" spans="1:12">
      <c r="A55" s="134"/>
      <c r="B55" s="135"/>
      <c r="C55" s="136"/>
      <c r="D55" s="135"/>
      <c r="E55" s="136"/>
      <c r="F55" s="140"/>
      <c r="G55" s="138"/>
      <c r="H55" s="139"/>
      <c r="I55" s="141" t="s">
        <v>91</v>
      </c>
      <c r="J55" s="135">
        <v>2</v>
      </c>
      <c r="K55" s="136"/>
      <c r="L55" s="140"/>
    </row>
    <row r="56" spans="1:12">
      <c r="A56" s="134"/>
      <c r="B56" s="135"/>
      <c r="C56" s="136"/>
      <c r="D56" s="135"/>
      <c r="E56" s="136"/>
      <c r="F56" s="140"/>
      <c r="G56" s="138"/>
      <c r="H56" s="139"/>
      <c r="I56" s="141" t="s">
        <v>93</v>
      </c>
      <c r="J56" s="135">
        <v>30</v>
      </c>
      <c r="K56" s="136"/>
      <c r="L56" s="140"/>
    </row>
    <row r="57" spans="1:12">
      <c r="A57" s="138"/>
      <c r="B57" s="139"/>
      <c r="C57" s="136"/>
      <c r="D57" s="135"/>
      <c r="E57" s="136"/>
      <c r="F57" s="140"/>
      <c r="G57" s="138"/>
      <c r="H57" s="139"/>
      <c r="I57" s="141" t="s">
        <v>94</v>
      </c>
      <c r="J57" s="135">
        <v>5</v>
      </c>
      <c r="K57" s="136"/>
      <c r="L57" s="140"/>
    </row>
    <row r="58" spans="1:12">
      <c r="A58" s="138"/>
      <c r="B58" s="139"/>
      <c r="C58" s="136"/>
      <c r="D58" s="135"/>
      <c r="E58" s="136"/>
      <c r="F58" s="140"/>
      <c r="G58" s="138"/>
      <c r="H58" s="139"/>
      <c r="I58" s="141" t="s">
        <v>95</v>
      </c>
      <c r="J58" s="135">
        <v>20</v>
      </c>
      <c r="K58" s="136"/>
      <c r="L58" s="140"/>
    </row>
    <row r="59" spans="1:12">
      <c r="A59" s="138"/>
      <c r="B59" s="139"/>
      <c r="C59" s="136"/>
      <c r="D59" s="135"/>
      <c r="E59" s="136"/>
      <c r="F59" s="135"/>
      <c r="G59" s="138"/>
      <c r="H59" s="139"/>
      <c r="I59" s="141"/>
      <c r="J59" s="135"/>
      <c r="K59" s="136"/>
      <c r="L59" s="140"/>
    </row>
    <row r="60" spans="1:12">
      <c r="A60" s="138"/>
      <c r="B60" s="139"/>
      <c r="C60" s="136"/>
      <c r="D60" s="135"/>
      <c r="E60" s="136"/>
      <c r="F60" s="137"/>
      <c r="G60" s="138"/>
      <c r="H60" s="139"/>
      <c r="I60" s="141"/>
      <c r="J60" s="135"/>
      <c r="K60" s="136"/>
      <c r="L60" s="140"/>
    </row>
    <row r="61" spans="1:12">
      <c r="A61" s="143"/>
      <c r="B61" s="144"/>
      <c r="C61" s="136"/>
      <c r="D61" s="135"/>
      <c r="E61" s="136"/>
      <c r="F61" s="137"/>
      <c r="G61" s="138"/>
      <c r="H61" s="139"/>
      <c r="I61" s="136"/>
      <c r="J61" s="135"/>
      <c r="K61" s="136"/>
      <c r="L61" s="140"/>
    </row>
    <row r="62" spans="1:12">
      <c r="A62" s="143"/>
      <c r="B62" s="144"/>
      <c r="C62" s="146" t="s">
        <v>98</v>
      </c>
      <c r="D62" s="147"/>
      <c r="E62" s="148"/>
      <c r="F62" s="149"/>
      <c r="G62" s="138"/>
      <c r="H62" s="139"/>
      <c r="I62" s="146" t="s">
        <v>98</v>
      </c>
      <c r="J62" s="150"/>
      <c r="K62" s="216"/>
      <c r="L62" s="217"/>
    </row>
    <row r="63" spans="1:12">
      <c r="A63" s="143"/>
      <c r="B63" s="144"/>
      <c r="C63" s="136" t="s">
        <v>99</v>
      </c>
      <c r="D63" s="135">
        <v>18</v>
      </c>
      <c r="E63" s="136"/>
      <c r="F63" s="140"/>
      <c r="G63" s="151"/>
      <c r="H63" s="139"/>
      <c r="I63" s="136" t="s">
        <v>324</v>
      </c>
      <c r="J63" s="135">
        <v>5</v>
      </c>
      <c r="K63" s="136"/>
      <c r="L63" s="140"/>
    </row>
    <row r="64" spans="1:12">
      <c r="A64" s="143"/>
      <c r="B64" s="144"/>
      <c r="C64" s="136" t="s">
        <v>101</v>
      </c>
      <c r="D64" s="135">
        <v>10</v>
      </c>
      <c r="E64" s="136"/>
      <c r="F64" s="140"/>
      <c r="G64" s="138"/>
      <c r="H64" s="139"/>
      <c r="I64" s="136" t="s">
        <v>100</v>
      </c>
      <c r="J64" s="135">
        <v>8</v>
      </c>
      <c r="K64" s="136"/>
      <c r="L64" s="140"/>
    </row>
    <row r="65" spans="1:15">
      <c r="A65" s="143"/>
      <c r="B65" s="144"/>
      <c r="C65" s="136" t="s">
        <v>414</v>
      </c>
      <c r="D65" s="135">
        <v>4</v>
      </c>
      <c r="E65" s="136"/>
      <c r="F65" s="140"/>
      <c r="G65" s="138"/>
      <c r="H65" s="139"/>
      <c r="I65" s="136" t="s">
        <v>81</v>
      </c>
      <c r="J65" s="135">
        <v>5</v>
      </c>
      <c r="K65" s="136"/>
      <c r="L65" s="140"/>
    </row>
    <row r="66" spans="1:15">
      <c r="A66" s="152"/>
      <c r="B66" s="153"/>
      <c r="C66" s="154"/>
      <c r="D66" s="153"/>
      <c r="E66" s="155"/>
      <c r="F66" s="156"/>
      <c r="G66" s="152"/>
      <c r="H66" s="153"/>
      <c r="I66" s="154"/>
      <c r="J66" s="342"/>
      <c r="K66" s="252"/>
      <c r="L66" s="253"/>
    </row>
    <row r="67" spans="1:15">
      <c r="A67" s="157" t="s">
        <v>103</v>
      </c>
      <c r="B67" s="158">
        <f>SUM(B47:B66)</f>
        <v>11.058</v>
      </c>
      <c r="C67" s="159" t="s">
        <v>103</v>
      </c>
      <c r="D67" s="158">
        <f>SUM(D47:D66)</f>
        <v>115</v>
      </c>
      <c r="E67" s="159" t="s">
        <v>103</v>
      </c>
      <c r="F67" s="160">
        <f>SUM(F47:F66)</f>
        <v>0</v>
      </c>
      <c r="G67" s="157"/>
      <c r="H67" s="158"/>
      <c r="I67" s="159" t="s">
        <v>103</v>
      </c>
      <c r="J67" s="161">
        <f>SUM(J47:J66)</f>
        <v>226.87900000000002</v>
      </c>
      <c r="K67" s="159" t="s">
        <v>103</v>
      </c>
      <c r="L67" s="162">
        <f>SUM(L47:L66)</f>
        <v>0</v>
      </c>
    </row>
    <row r="68" spans="1:15" ht="12.75" thickBot="1">
      <c r="A68" s="163"/>
      <c r="B68" s="164"/>
      <c r="C68" s="165"/>
      <c r="D68" s="164"/>
      <c r="E68" s="166" t="s">
        <v>104</v>
      </c>
      <c r="F68" s="167">
        <f>+B67+F67+D67</f>
        <v>126.05799999999999</v>
      </c>
      <c r="G68" s="163"/>
      <c r="H68" s="164"/>
      <c r="I68" s="165"/>
      <c r="J68" s="164"/>
      <c r="K68" s="166" t="s">
        <v>104</v>
      </c>
      <c r="L68" s="167">
        <f>J67+L67</f>
        <v>226.87900000000002</v>
      </c>
    </row>
    <row r="69" spans="1:15" ht="12.75">
      <c r="G69" s="168"/>
      <c r="H69"/>
    </row>
    <row r="70" spans="1:15" ht="12.75">
      <c r="A70" s="12" t="s">
        <v>390</v>
      </c>
      <c r="G70" s="12" t="s">
        <v>393</v>
      </c>
      <c r="H70"/>
    </row>
    <row r="71" spans="1:15" ht="12.75">
      <c r="A71" s="12" t="s">
        <v>391</v>
      </c>
      <c r="G71" s="310" t="s">
        <v>392</v>
      </c>
      <c r="H71"/>
    </row>
    <row r="72" spans="1:15" ht="12.75" hidden="1">
      <c r="E72"/>
      <c r="G72" s="12" t="s">
        <v>105</v>
      </c>
      <c r="H72"/>
    </row>
    <row r="73" spans="1:15" ht="24" hidden="1">
      <c r="A73" s="169" t="s">
        <v>106</v>
      </c>
      <c r="B73" s="169" t="s">
        <v>107</v>
      </c>
      <c r="C73" s="169" t="s">
        <v>108</v>
      </c>
      <c r="D73" s="169" t="s">
        <v>109</v>
      </c>
      <c r="E73" s="169" t="s">
        <v>110</v>
      </c>
      <c r="F73" s="169" t="s">
        <v>111</v>
      </c>
      <c r="G73" s="12">
        <v>1.65</v>
      </c>
      <c r="H73"/>
    </row>
    <row r="74" spans="1:15" ht="12.75" hidden="1">
      <c r="A74" t="s">
        <v>112</v>
      </c>
      <c r="B74" t="s">
        <v>113</v>
      </c>
      <c r="C74">
        <v>10</v>
      </c>
      <c r="D74">
        <v>95</v>
      </c>
      <c r="E74">
        <v>0.09</v>
      </c>
      <c r="F74">
        <f>+$G$73*(E74/100)</f>
        <v>1.4849999999999998E-3</v>
      </c>
      <c r="G74"/>
      <c r="H74"/>
      <c r="I74"/>
      <c r="J74"/>
      <c r="K74"/>
      <c r="L74"/>
      <c r="M74"/>
      <c r="N74"/>
      <c r="O74"/>
    </row>
    <row r="75" spans="1:15" ht="12.75" hidden="1">
      <c r="A75"/>
      <c r="B75" t="s">
        <v>114</v>
      </c>
      <c r="C75">
        <v>42</v>
      </c>
      <c r="D75">
        <v>65</v>
      </c>
      <c r="E75">
        <v>0.27</v>
      </c>
      <c r="F75">
        <f>+$G$73*(E75/100)</f>
        <v>4.4549999999999998E-3</v>
      </c>
      <c r="G75"/>
      <c r="H75"/>
      <c r="I75"/>
      <c r="J75"/>
      <c r="K75"/>
      <c r="L75"/>
      <c r="M75"/>
      <c r="N75"/>
      <c r="O75"/>
    </row>
    <row r="76" spans="1:15" ht="12.75" hidden="1">
      <c r="A76"/>
      <c r="B76" t="s">
        <v>115</v>
      </c>
      <c r="C76">
        <v>89</v>
      </c>
      <c r="D76">
        <v>43.87</v>
      </c>
      <c r="E76">
        <v>0.39</v>
      </c>
      <c r="F76">
        <f>+$G$73*(E76/100)</f>
        <v>6.4349999999999997E-3</v>
      </c>
      <c r="G76"/>
      <c r="H76"/>
      <c r="I76"/>
      <c r="J76"/>
      <c r="K76"/>
      <c r="L76"/>
      <c r="M76"/>
      <c r="N76"/>
      <c r="O76"/>
    </row>
    <row r="77" spans="1:15" ht="12.75" hidden="1">
      <c r="A77"/>
      <c r="B77" t="s">
        <v>116</v>
      </c>
      <c r="C77">
        <v>2.44</v>
      </c>
      <c r="D77">
        <v>1.05</v>
      </c>
      <c r="E77">
        <v>0.03</v>
      </c>
      <c r="F77">
        <f>+$G$73*(E77/100)</f>
        <v>4.9499999999999989E-4</v>
      </c>
      <c r="G77"/>
      <c r="H77"/>
      <c r="I77"/>
      <c r="J77"/>
      <c r="K77"/>
      <c r="L77"/>
      <c r="M77"/>
      <c r="N77"/>
      <c r="O77"/>
    </row>
    <row r="78" spans="1:15" ht="12.75" hidden="1">
      <c r="A78"/>
      <c r="B78"/>
      <c r="C78"/>
      <c r="D78"/>
      <c r="E78" s="170" t="s">
        <v>104</v>
      </c>
      <c r="F78">
        <f>SUM(F74:F77)</f>
        <v>1.2869999999999999E-2</v>
      </c>
      <c r="G78"/>
      <c r="H78"/>
      <c r="I78"/>
      <c r="J78"/>
      <c r="K78"/>
      <c r="L78"/>
      <c r="M78"/>
      <c r="N78"/>
      <c r="O78"/>
    </row>
    <row r="79" spans="1:15" ht="12.75" hidden="1">
      <c r="A79"/>
      <c r="B79"/>
      <c r="C79"/>
      <c r="D79"/>
      <c r="E79" s="170"/>
      <c r="F79"/>
      <c r="G79"/>
      <c r="H79"/>
      <c r="I79"/>
      <c r="J79"/>
      <c r="K79"/>
      <c r="L79"/>
      <c r="M79"/>
      <c r="N79"/>
      <c r="O79"/>
    </row>
    <row r="80" spans="1:15" ht="12.75" hidden="1">
      <c r="A80" t="s">
        <v>117</v>
      </c>
      <c r="B80" t="s">
        <v>118</v>
      </c>
      <c r="C80" s="171">
        <v>0.27</v>
      </c>
      <c r="D80" s="171">
        <v>96.33</v>
      </c>
      <c r="E80" s="171">
        <v>0.26</v>
      </c>
      <c r="F80" s="171">
        <f>+$G$73*(E80/100)</f>
        <v>4.2899999999999995E-3</v>
      </c>
      <c r="G80"/>
      <c r="H80"/>
      <c r="I80"/>
      <c r="J80"/>
      <c r="K80"/>
      <c r="L80"/>
      <c r="M80"/>
      <c r="N80"/>
      <c r="O80"/>
    </row>
    <row r="81" spans="1:15" ht="12.75" hidden="1">
      <c r="A81"/>
      <c r="B81" t="s">
        <v>119</v>
      </c>
      <c r="C81" s="171">
        <v>0.36</v>
      </c>
      <c r="D81" s="171">
        <v>85.77</v>
      </c>
      <c r="E81" s="171">
        <v>0.31</v>
      </c>
      <c r="F81" s="171">
        <f>+$G$73*(E81/100)</f>
        <v>5.1149999999999998E-3</v>
      </c>
      <c r="G81"/>
      <c r="H81"/>
      <c r="I81"/>
      <c r="J81"/>
      <c r="K81"/>
      <c r="L81"/>
      <c r="M81"/>
      <c r="N81"/>
      <c r="O81"/>
    </row>
    <row r="82" spans="1:15" ht="12.75" hidden="1">
      <c r="A82"/>
      <c r="B82" t="s">
        <v>120</v>
      </c>
      <c r="C82" s="171">
        <v>0.8</v>
      </c>
      <c r="D82" s="171">
        <v>9.94</v>
      </c>
      <c r="E82" s="171">
        <v>0.08</v>
      </c>
      <c r="F82" s="171">
        <f>+$G$73*(E82/100)</f>
        <v>1.32E-3</v>
      </c>
      <c r="G82"/>
      <c r="H82"/>
      <c r="I82"/>
      <c r="J82"/>
      <c r="K82"/>
      <c r="L82"/>
      <c r="M82"/>
      <c r="N82"/>
      <c r="O82"/>
    </row>
    <row r="83" spans="1:15" ht="12.75" hidden="1">
      <c r="A83"/>
      <c r="B83" t="s">
        <v>121</v>
      </c>
      <c r="C83" s="171">
        <v>1.1399999999999999</v>
      </c>
      <c r="D83" s="171">
        <v>6.21</v>
      </c>
      <c r="E83" s="171">
        <v>7.0000000000000007E-2</v>
      </c>
      <c r="F83" s="171">
        <f>+$G$73*(E83/100)</f>
        <v>1.1550000000000002E-3</v>
      </c>
      <c r="G83"/>
      <c r="H83"/>
      <c r="I83"/>
      <c r="J83"/>
      <c r="K83"/>
      <c r="L83"/>
      <c r="M83"/>
      <c r="N83"/>
      <c r="O83"/>
    </row>
    <row r="84" spans="1:15" ht="12.75" hidden="1">
      <c r="A84"/>
      <c r="B84"/>
      <c r="C84" s="171"/>
      <c r="D84" s="171"/>
      <c r="E84" s="172" t="s">
        <v>122</v>
      </c>
      <c r="F84" s="171">
        <f>SUM(F81:F83)</f>
        <v>7.5899999999999995E-3</v>
      </c>
      <c r="G84"/>
      <c r="H84"/>
      <c r="I84"/>
      <c r="J84"/>
      <c r="K84"/>
      <c r="L84"/>
      <c r="M84"/>
      <c r="N84"/>
      <c r="O84"/>
    </row>
    <row r="85" spans="1:15" ht="12.75" hidden="1">
      <c r="A85"/>
      <c r="B85"/>
      <c r="C85" s="171"/>
      <c r="D85" s="171"/>
      <c r="E85" s="172" t="s">
        <v>123</v>
      </c>
      <c r="F85" s="171">
        <f>SUM(F80:F83)</f>
        <v>1.188E-2</v>
      </c>
      <c r="G85"/>
      <c r="H85"/>
      <c r="I85"/>
      <c r="J85"/>
      <c r="K85"/>
      <c r="L85"/>
      <c r="M85"/>
      <c r="N85"/>
      <c r="O85"/>
    </row>
    <row r="86" spans="1:15" ht="12.75" hidden="1">
      <c r="A86"/>
      <c r="B86"/>
      <c r="C86" s="171"/>
      <c r="D86" s="171"/>
      <c r="E86" s="171"/>
      <c r="F86" s="171"/>
      <c r="G86"/>
      <c r="H86"/>
      <c r="I86"/>
      <c r="J86"/>
      <c r="K86"/>
      <c r="L86"/>
      <c r="M86"/>
      <c r="N86"/>
      <c r="O86"/>
    </row>
    <row r="87" spans="1:15" ht="12.75" hidden="1">
      <c r="A87" t="s">
        <v>124</v>
      </c>
      <c r="B87" t="s">
        <v>124</v>
      </c>
      <c r="C87" s="171">
        <v>0.62</v>
      </c>
      <c r="D87" s="171">
        <v>94.29</v>
      </c>
      <c r="E87" s="171">
        <v>0.57999999999999996</v>
      </c>
      <c r="F87" s="171">
        <f>+$G$73*(E87/100)</f>
        <v>9.5699999999999986E-3</v>
      </c>
      <c r="G87"/>
      <c r="H87"/>
      <c r="I87"/>
      <c r="J87"/>
      <c r="K87"/>
      <c r="L87"/>
      <c r="M87"/>
      <c r="N87"/>
      <c r="O87"/>
    </row>
    <row r="88" spans="1:15" ht="12.75" hidden="1">
      <c r="A88"/>
      <c r="B88"/>
      <c r="C88" s="171"/>
      <c r="D88" s="171"/>
      <c r="E88" s="171"/>
      <c r="F88" s="171"/>
      <c r="G88"/>
      <c r="H88"/>
      <c r="I88"/>
      <c r="J88"/>
      <c r="K88"/>
      <c r="L88"/>
      <c r="M88"/>
      <c r="N88"/>
      <c r="O88"/>
    </row>
    <row r="89" spans="1:15" ht="12.75" hidden="1">
      <c r="A89" t="s">
        <v>125</v>
      </c>
      <c r="B89" t="s">
        <v>126</v>
      </c>
      <c r="C89" s="171">
        <v>0.85</v>
      </c>
      <c r="D89" s="171">
        <v>100</v>
      </c>
      <c r="E89" s="171">
        <v>0.85</v>
      </c>
      <c r="F89" s="171">
        <f>+$G$73*(E89/100)</f>
        <v>1.4025000000000001E-2</v>
      </c>
      <c r="G89"/>
      <c r="H89"/>
      <c r="I89"/>
      <c r="J89"/>
      <c r="K89"/>
      <c r="L89"/>
      <c r="M89"/>
      <c r="N89"/>
      <c r="O89"/>
    </row>
    <row r="90" spans="1:15" ht="12.75" hidden="1">
      <c r="A90"/>
      <c r="B90"/>
      <c r="C90" s="171"/>
      <c r="D90" s="171"/>
      <c r="E90" s="171"/>
      <c r="F90" s="171"/>
      <c r="G90"/>
      <c r="H90"/>
      <c r="I90"/>
      <c r="J90"/>
      <c r="K90"/>
      <c r="L90"/>
      <c r="M90"/>
      <c r="N90"/>
      <c r="O90"/>
    </row>
    <row r="91" spans="1:15" ht="12.75" hidden="1">
      <c r="A91" t="s">
        <v>127</v>
      </c>
      <c r="B91" t="s">
        <v>128</v>
      </c>
      <c r="C91" s="171" t="s">
        <v>129</v>
      </c>
      <c r="D91" s="171"/>
      <c r="E91" s="171">
        <v>0.35460000000000003</v>
      </c>
      <c r="F91" s="171">
        <f>+$G$73*(E91/100)</f>
        <v>5.8509E-3</v>
      </c>
      <c r="G91"/>
      <c r="H91"/>
      <c r="I91"/>
      <c r="J91"/>
      <c r="K91"/>
      <c r="L91"/>
      <c r="M91"/>
      <c r="N91"/>
      <c r="O91"/>
    </row>
    <row r="92" spans="1:15" ht="12.75" hidden="1">
      <c r="A92"/>
      <c r="B92" t="s">
        <v>130</v>
      </c>
      <c r="C92" s="171" t="s">
        <v>131</v>
      </c>
      <c r="D92" s="171"/>
      <c r="E92" s="171">
        <v>0.55700000000000005</v>
      </c>
      <c r="F92" s="171">
        <f>+$G$73*(E92/100)</f>
        <v>9.1905000000000008E-3</v>
      </c>
      <c r="G92"/>
      <c r="H92"/>
      <c r="I92"/>
    </row>
    <row r="93" spans="1:15" ht="12.75" hidden="1">
      <c r="A93"/>
      <c r="B93" t="s">
        <v>132</v>
      </c>
      <c r="C93" s="171" t="s">
        <v>133</v>
      </c>
      <c r="D93" s="171"/>
      <c r="E93" s="171">
        <v>0.628</v>
      </c>
      <c r="F93" s="171">
        <f>+$G$73*(E93/100)</f>
        <v>1.0362E-2</v>
      </c>
      <c r="G93"/>
      <c r="H93"/>
      <c r="I93"/>
    </row>
    <row r="94" spans="1:15" ht="12.75" hidden="1">
      <c r="A94"/>
      <c r="B94"/>
      <c r="C94" s="171"/>
      <c r="D94" s="171"/>
      <c r="E94" s="171"/>
      <c r="F94" s="171"/>
      <c r="G94"/>
      <c r="H94"/>
      <c r="I94"/>
    </row>
    <row r="95" spans="1:15" ht="12.75" hidden="1">
      <c r="A95" t="s">
        <v>134</v>
      </c>
      <c r="B95" t="s">
        <v>135</v>
      </c>
      <c r="C95" s="171" t="s">
        <v>136</v>
      </c>
      <c r="D95" s="171"/>
      <c r="E95" s="171">
        <v>0.309</v>
      </c>
      <c r="F95" s="171">
        <f>+$G$73*(E95/100)</f>
        <v>5.0984999999999997E-3</v>
      </c>
      <c r="G95"/>
      <c r="H95"/>
      <c r="I95"/>
    </row>
    <row r="96" spans="1:15" ht="12.75" hidden="1">
      <c r="A96"/>
      <c r="B96"/>
      <c r="C96" s="171"/>
      <c r="D96" s="171"/>
      <c r="E96" s="171"/>
      <c r="F96" s="171"/>
      <c r="G96"/>
      <c r="H96"/>
      <c r="I96"/>
    </row>
    <row r="97" spans="1:15" ht="12.75" hidden="1">
      <c r="A97" t="s">
        <v>137</v>
      </c>
      <c r="B97" t="s">
        <v>138</v>
      </c>
      <c r="C97" s="171" t="s">
        <v>139</v>
      </c>
      <c r="D97" s="171"/>
      <c r="E97" s="171">
        <v>0.37480000000000002</v>
      </c>
      <c r="F97" s="171">
        <f>+$G$73*(E97/100)</f>
        <v>6.1841999999999999E-3</v>
      </c>
      <c r="G97"/>
      <c r="H97"/>
      <c r="I97"/>
    </row>
    <row r="98" spans="1:15" ht="12.75" hidden="1">
      <c r="A98"/>
      <c r="B98"/>
      <c r="C98"/>
      <c r="D98"/>
      <c r="E98"/>
      <c r="F98"/>
      <c r="G98"/>
      <c r="H98"/>
      <c r="I98"/>
    </row>
    <row r="99" spans="1:15" ht="12.75">
      <c r="B99"/>
      <c r="C99"/>
      <c r="D99"/>
      <c r="E99"/>
      <c r="F99"/>
      <c r="G99"/>
      <c r="H99"/>
      <c r="I99"/>
    </row>
    <row r="100" spans="1:15" ht="12.75">
      <c r="A100"/>
      <c r="B100"/>
      <c r="C100"/>
      <c r="D100"/>
      <c r="E100"/>
      <c r="F100"/>
      <c r="G100"/>
      <c r="H100"/>
      <c r="I100"/>
    </row>
    <row r="101" spans="1:15" ht="12.75">
      <c r="A101"/>
      <c r="B101"/>
      <c r="C101"/>
      <c r="D101"/>
      <c r="E101"/>
      <c r="F101"/>
      <c r="G101"/>
      <c r="H101"/>
      <c r="I101"/>
    </row>
    <row r="102" spans="1:15" ht="12.75">
      <c r="A102"/>
      <c r="B102"/>
      <c r="C102"/>
      <c r="D102"/>
      <c r="E102"/>
      <c r="F102"/>
      <c r="G102"/>
      <c r="H102"/>
      <c r="I102"/>
    </row>
    <row r="103" spans="1:15" ht="12.75">
      <c r="A103" s="421" t="s">
        <v>140</v>
      </c>
      <c r="B103" s="422"/>
      <c r="C103" s="423"/>
      <c r="D103"/>
      <c r="E103" s="173" t="s">
        <v>141</v>
      </c>
      <c r="F103"/>
      <c r="G103" s="174"/>
      <c r="H103"/>
      <c r="I103" s="302" t="s">
        <v>47</v>
      </c>
      <c r="J103" s="303"/>
      <c r="K103" s="304"/>
      <c r="N103" s="12" t="s">
        <v>142</v>
      </c>
    </row>
    <row r="104" spans="1:15" ht="12.75">
      <c r="A104" s="178" t="s">
        <v>143</v>
      </c>
      <c r="B104" s="176" t="s">
        <v>144</v>
      </c>
      <c r="C104" s="323">
        <v>0.63</v>
      </c>
      <c r="D104" s="65"/>
      <c r="E104" s="176">
        <v>0.83299999999999996</v>
      </c>
      <c r="F104" s="66">
        <f>C104-E104</f>
        <v>-0.20299999999999996</v>
      </c>
      <c r="G104" s="178">
        <v>0.83299999999999996</v>
      </c>
      <c r="H104" s="66"/>
      <c r="I104" s="178" t="s">
        <v>145</v>
      </c>
      <c r="J104" s="65"/>
      <c r="K104" s="177">
        <v>0</v>
      </c>
      <c r="L104" s="65">
        <v>882</v>
      </c>
      <c r="N104" s="12" t="s">
        <v>146</v>
      </c>
      <c r="O104" s="12">
        <v>1024</v>
      </c>
    </row>
    <row r="105" spans="1:15" ht="12.75">
      <c r="A105" s="65"/>
      <c r="B105" s="176" t="s">
        <v>147</v>
      </c>
      <c r="C105" s="323">
        <v>1E-3</v>
      </c>
      <c r="D105" s="65"/>
      <c r="E105" s="66">
        <v>1E-3</v>
      </c>
      <c r="F105" s="66">
        <f>C105-E105</f>
        <v>0</v>
      </c>
      <c r="G105" s="178">
        <v>1E-3</v>
      </c>
      <c r="H105" s="66"/>
      <c r="I105" s="178" t="s">
        <v>148</v>
      </c>
      <c r="J105" s="65">
        <v>6688</v>
      </c>
      <c r="K105" s="316">
        <v>17</v>
      </c>
      <c r="L105" s="65"/>
      <c r="N105" s="12" t="s">
        <v>149</v>
      </c>
      <c r="O105" s="12">
        <v>1500</v>
      </c>
    </row>
    <row r="106" spans="1:15" ht="12.75">
      <c r="A106" s="65"/>
      <c r="B106" s="176" t="s">
        <v>150</v>
      </c>
      <c r="C106" s="323">
        <v>0.5</v>
      </c>
      <c r="D106" s="65"/>
      <c r="E106" s="66">
        <v>0.5</v>
      </c>
      <c r="F106" s="66">
        <f>C106-E106</f>
        <v>0</v>
      </c>
      <c r="G106" s="178">
        <v>0.5</v>
      </c>
      <c r="H106" s="66"/>
      <c r="I106" s="178" t="s">
        <v>68</v>
      </c>
      <c r="J106" s="65">
        <v>6888</v>
      </c>
      <c r="K106" s="322">
        <v>5687</v>
      </c>
      <c r="L106" s="65"/>
      <c r="N106" s="12" t="s">
        <v>151</v>
      </c>
      <c r="O106" s="12">
        <v>219</v>
      </c>
    </row>
    <row r="107" spans="1:15" ht="12.75">
      <c r="A107" s="65"/>
      <c r="B107" s="176" t="s">
        <v>152</v>
      </c>
      <c r="C107" s="323">
        <v>10</v>
      </c>
      <c r="D107" s="65">
        <v>2</v>
      </c>
      <c r="E107" s="66">
        <v>10</v>
      </c>
      <c r="F107" s="66">
        <f>C107-E107</f>
        <v>0</v>
      </c>
      <c r="G107" s="178">
        <v>12</v>
      </c>
      <c r="H107" s="66"/>
      <c r="I107" s="178"/>
      <c r="J107" s="65"/>
      <c r="K107" s="177"/>
      <c r="L107" s="65"/>
      <c r="N107" s="12" t="s">
        <v>153</v>
      </c>
      <c r="O107" s="12">
        <v>1000</v>
      </c>
    </row>
    <row r="108" spans="1:15" ht="12.75">
      <c r="A108" s="178" t="s">
        <v>154</v>
      </c>
      <c r="B108" s="176" t="s">
        <v>155</v>
      </c>
      <c r="C108" s="323">
        <v>3.6</v>
      </c>
      <c r="D108" s="65"/>
      <c r="E108" s="66">
        <v>3.6</v>
      </c>
      <c r="F108" s="66">
        <f>C108-E108</f>
        <v>0</v>
      </c>
      <c r="G108" s="178">
        <v>3.6</v>
      </c>
      <c r="H108" s="66"/>
      <c r="I108" s="178" t="s">
        <v>156</v>
      </c>
      <c r="J108" s="65">
        <v>900338</v>
      </c>
      <c r="K108" s="322">
        <v>749</v>
      </c>
      <c r="L108" s="65"/>
      <c r="N108" s="12" t="s">
        <v>157</v>
      </c>
      <c r="O108" s="12">
        <v>90</v>
      </c>
    </row>
    <row r="109" spans="1:15" ht="12.75">
      <c r="A109" s="178"/>
      <c r="B109" s="176"/>
      <c r="C109" s="176"/>
      <c r="D109" s="65"/>
      <c r="E109" s="66"/>
      <c r="F109" s="66"/>
      <c r="G109" s="178"/>
      <c r="H109" s="66"/>
      <c r="I109" s="178"/>
      <c r="J109" s="65"/>
      <c r="K109" s="179"/>
      <c r="L109" s="65"/>
    </row>
    <row r="110" spans="1:15" ht="12.75">
      <c r="A110" s="65"/>
      <c r="B110" s="176" t="s">
        <v>22</v>
      </c>
      <c r="C110" s="178">
        <v>0</v>
      </c>
      <c r="D110" s="65" t="s">
        <v>158</v>
      </c>
      <c r="E110" s="66">
        <v>0</v>
      </c>
      <c r="F110" s="66">
        <f>C110-E110</f>
        <v>0</v>
      </c>
      <c r="G110" s="178">
        <v>0</v>
      </c>
      <c r="H110" s="66"/>
      <c r="I110" s="178" t="s">
        <v>386</v>
      </c>
      <c r="J110" s="65">
        <v>3405</v>
      </c>
      <c r="K110" s="322">
        <v>2429</v>
      </c>
      <c r="L110" s="65"/>
      <c r="N110" s="12" t="s">
        <v>80</v>
      </c>
    </row>
    <row r="111" spans="1:15" ht="12.75">
      <c r="A111" s="65"/>
      <c r="B111" s="176" t="s">
        <v>160</v>
      </c>
      <c r="C111" s="323">
        <v>2.4</v>
      </c>
      <c r="D111" s="65"/>
      <c r="E111" s="66">
        <v>2.4</v>
      </c>
      <c r="F111" s="66">
        <f>C111-E111</f>
        <v>0</v>
      </c>
      <c r="G111" s="178">
        <v>2.4</v>
      </c>
      <c r="H111" s="66"/>
      <c r="I111" s="178" t="s">
        <v>161</v>
      </c>
      <c r="J111" s="65"/>
      <c r="K111" s="179">
        <v>0</v>
      </c>
      <c r="L111" s="65">
        <v>660</v>
      </c>
    </row>
    <row r="112" spans="1:15" ht="12.75">
      <c r="A112" s="178" t="s">
        <v>162</v>
      </c>
      <c r="B112" s="176" t="s">
        <v>163</v>
      </c>
      <c r="C112" s="323">
        <v>0.8</v>
      </c>
      <c r="D112" s="66"/>
      <c r="E112" s="66">
        <v>0.8</v>
      </c>
      <c r="F112" s="66">
        <f>C112-E112</f>
        <v>0</v>
      </c>
      <c r="G112" s="178">
        <v>0.8</v>
      </c>
      <c r="H112" s="66"/>
      <c r="I112" s="178" t="s">
        <v>365</v>
      </c>
      <c r="J112" s="65">
        <v>5333</v>
      </c>
      <c r="K112" s="322">
        <v>250</v>
      </c>
      <c r="L112" s="65" t="s">
        <v>366</v>
      </c>
    </row>
    <row r="113" spans="1:12" ht="12.75">
      <c r="A113" s="66"/>
      <c r="B113" s="176" t="s">
        <v>6</v>
      </c>
      <c r="C113" s="323">
        <v>16.5</v>
      </c>
      <c r="D113" s="66"/>
      <c r="E113" s="66">
        <v>16.940999999999999</v>
      </c>
      <c r="F113" s="66">
        <f>C113-E113</f>
        <v>-0.44099999999999895</v>
      </c>
      <c r="G113" s="178">
        <v>16.5</v>
      </c>
      <c r="H113" s="178"/>
      <c r="I113" s="177" t="s">
        <v>164</v>
      </c>
      <c r="J113" s="65">
        <v>6835</v>
      </c>
      <c r="K113" s="322">
        <v>24</v>
      </c>
      <c r="L113" s="65"/>
    </row>
    <row r="114" spans="1:12" ht="12.75">
      <c r="A114" s="66"/>
      <c r="B114" s="176" t="s">
        <v>7</v>
      </c>
      <c r="C114" s="178">
        <v>0</v>
      </c>
      <c r="D114" s="66" t="s">
        <v>65</v>
      </c>
      <c r="E114" s="66">
        <v>0</v>
      </c>
      <c r="F114" s="66">
        <f>C114-E114</f>
        <v>0</v>
      </c>
      <c r="G114" s="178">
        <v>20</v>
      </c>
      <c r="H114" s="66"/>
      <c r="I114" s="177" t="s">
        <v>165</v>
      </c>
      <c r="J114" s="65">
        <v>4286</v>
      </c>
      <c r="K114" s="322">
        <v>39</v>
      </c>
      <c r="L114" s="65"/>
    </row>
    <row r="115" spans="1:12" ht="12.75">
      <c r="A115" s="66"/>
      <c r="B115" s="176"/>
      <c r="C115" s="178"/>
      <c r="D115" s="66"/>
      <c r="E115" s="66"/>
      <c r="F115" s="66"/>
      <c r="G115" s="178"/>
      <c r="H115" s="66"/>
      <c r="I115" s="177" t="s">
        <v>166</v>
      </c>
      <c r="J115" s="65">
        <v>9676</v>
      </c>
      <c r="K115" s="301">
        <v>0</v>
      </c>
      <c r="L115" s="235" t="s">
        <v>331</v>
      </c>
    </row>
    <row r="116" spans="1:12" ht="12.75">
      <c r="A116" s="66"/>
      <c r="B116" s="176" t="s">
        <v>167</v>
      </c>
      <c r="C116" s="323">
        <v>2.5000000000000001E-2</v>
      </c>
      <c r="D116" s="66"/>
      <c r="E116" s="66">
        <v>2.5000000000000001E-2</v>
      </c>
      <c r="F116" s="66">
        <f>C116-E116</f>
        <v>0</v>
      </c>
      <c r="G116" s="178">
        <v>2.5000000000000001E-2</v>
      </c>
      <c r="H116" s="66"/>
      <c r="I116" s="177" t="s">
        <v>401</v>
      </c>
      <c r="J116" s="65">
        <v>6480</v>
      </c>
      <c r="K116" s="322">
        <v>1</v>
      </c>
      <c r="L116" s="235"/>
    </row>
    <row r="117" spans="1:12" ht="12.75">
      <c r="A117" s="66"/>
      <c r="B117" s="176" t="s">
        <v>169</v>
      </c>
      <c r="C117" s="178">
        <v>0</v>
      </c>
      <c r="D117" s="66"/>
      <c r="E117" s="66">
        <v>1.3</v>
      </c>
      <c r="F117" s="66">
        <f>C117-E117</f>
        <v>-1.3</v>
      </c>
      <c r="G117" s="178">
        <v>1.3</v>
      </c>
      <c r="H117" s="66"/>
      <c r="I117" s="177" t="s">
        <v>342</v>
      </c>
      <c r="J117" s="65">
        <v>6551</v>
      </c>
      <c r="K117" s="322">
        <v>100</v>
      </c>
      <c r="L117" s="65"/>
    </row>
    <row r="118" spans="1:12" ht="12.75">
      <c r="A118" s="66"/>
      <c r="B118" s="176" t="s">
        <v>171</v>
      </c>
      <c r="C118" s="323">
        <v>7</v>
      </c>
      <c r="D118" s="66">
        <v>8</v>
      </c>
      <c r="E118" s="66">
        <v>7.407</v>
      </c>
      <c r="F118" s="66">
        <f>C118-E118</f>
        <v>-0.40700000000000003</v>
      </c>
      <c r="G118" s="178">
        <v>8</v>
      </c>
      <c r="H118" s="66"/>
      <c r="I118" s="177" t="s">
        <v>168</v>
      </c>
      <c r="J118" s="65">
        <v>6373</v>
      </c>
      <c r="K118" s="322">
        <v>1</v>
      </c>
      <c r="L118" s="65"/>
    </row>
    <row r="119" spans="1:12" ht="12.75">
      <c r="A119" s="66"/>
      <c r="B119" s="176"/>
      <c r="C119" s="176"/>
      <c r="D119" s="66"/>
      <c r="E119" s="66"/>
      <c r="F119" s="66"/>
      <c r="G119" s="178"/>
      <c r="H119" s="66"/>
      <c r="I119" s="177" t="s">
        <v>402</v>
      </c>
      <c r="J119" s="65">
        <v>4056</v>
      </c>
      <c r="K119" s="322">
        <v>514</v>
      </c>
      <c r="L119" s="65"/>
    </row>
    <row r="120" spans="1:12" ht="12.75">
      <c r="A120" s="66"/>
      <c r="B120" s="176" t="s">
        <v>173</v>
      </c>
      <c r="C120" s="327">
        <v>20</v>
      </c>
      <c r="D120" s="66" t="s">
        <v>415</v>
      </c>
      <c r="E120" s="66">
        <v>20</v>
      </c>
      <c r="F120" s="66">
        <f t="shared" ref="F120:F126" si="0">C120-E120</f>
        <v>0</v>
      </c>
      <c r="G120" s="178">
        <v>22.5</v>
      </c>
      <c r="H120" s="65"/>
      <c r="I120" s="177" t="s">
        <v>402</v>
      </c>
      <c r="J120" s="65">
        <v>6855</v>
      </c>
      <c r="K120" s="322">
        <v>3</v>
      </c>
      <c r="L120" s="65"/>
    </row>
    <row r="121" spans="1:12" ht="12.75">
      <c r="A121" s="66"/>
      <c r="B121" s="176" t="s">
        <v>175</v>
      </c>
      <c r="C121" s="323">
        <v>3.85</v>
      </c>
      <c r="D121" s="66"/>
      <c r="E121" s="66">
        <v>3.85</v>
      </c>
      <c r="F121" s="66">
        <f t="shared" si="0"/>
        <v>0</v>
      </c>
      <c r="G121" s="178">
        <v>3.85</v>
      </c>
      <c r="H121" s="65"/>
      <c r="I121" s="177" t="s">
        <v>170</v>
      </c>
      <c r="J121" s="65">
        <v>4132</v>
      </c>
      <c r="K121" s="322">
        <v>154</v>
      </c>
      <c r="L121" s="65">
        <v>11</v>
      </c>
    </row>
    <row r="122" spans="1:12" ht="12.75">
      <c r="A122" s="66"/>
      <c r="B122" s="176" t="s">
        <v>11</v>
      </c>
      <c r="C122" s="176">
        <v>0</v>
      </c>
      <c r="D122" s="66"/>
      <c r="E122" s="66">
        <v>0</v>
      </c>
      <c r="F122" s="66">
        <f t="shared" si="0"/>
        <v>0</v>
      </c>
      <c r="G122" s="178">
        <v>62</v>
      </c>
      <c r="H122" s="65"/>
      <c r="I122" s="177" t="s">
        <v>172</v>
      </c>
      <c r="J122" s="65">
        <v>4120</v>
      </c>
      <c r="K122" s="322">
        <v>821</v>
      </c>
      <c r="L122" s="65"/>
    </row>
    <row r="123" spans="1:12" ht="12.75">
      <c r="A123" s="66"/>
      <c r="B123" s="176" t="s">
        <v>178</v>
      </c>
      <c r="C123" s="323">
        <v>2.5000000000000001E-2</v>
      </c>
      <c r="D123" s="66"/>
      <c r="E123" s="66">
        <v>2.5000000000000001E-2</v>
      </c>
      <c r="F123" s="66">
        <f t="shared" si="0"/>
        <v>0</v>
      </c>
      <c r="G123" s="178">
        <v>2.5000000000000001E-2</v>
      </c>
      <c r="H123" s="65"/>
      <c r="I123" s="177" t="s">
        <v>78</v>
      </c>
      <c r="J123" s="65">
        <v>639</v>
      </c>
      <c r="K123" s="322">
        <v>500</v>
      </c>
      <c r="L123" s="65"/>
    </row>
    <row r="124" spans="1:12" ht="12.75">
      <c r="A124" s="66"/>
      <c r="B124" s="176" t="s">
        <v>180</v>
      </c>
      <c r="C124" s="323">
        <v>0.05</v>
      </c>
      <c r="D124" s="66"/>
      <c r="E124" s="66">
        <v>0.05</v>
      </c>
      <c r="F124" s="66">
        <f t="shared" si="0"/>
        <v>0</v>
      </c>
      <c r="G124" s="178">
        <v>0.05</v>
      </c>
      <c r="H124" s="65"/>
      <c r="I124" s="177" t="s">
        <v>343</v>
      </c>
      <c r="J124" s="65">
        <v>6840</v>
      </c>
      <c r="K124" s="322">
        <v>1317</v>
      </c>
      <c r="L124" s="65"/>
    </row>
    <row r="125" spans="1:12" ht="12.75">
      <c r="A125" s="66"/>
      <c r="B125" s="176" t="s">
        <v>181</v>
      </c>
      <c r="C125" s="323">
        <v>13</v>
      </c>
      <c r="D125" s="66">
        <v>11</v>
      </c>
      <c r="E125" s="66">
        <v>4.665</v>
      </c>
      <c r="F125" s="66">
        <f t="shared" si="0"/>
        <v>8.3350000000000009</v>
      </c>
      <c r="G125" s="178">
        <v>6</v>
      </c>
      <c r="H125" s="65"/>
      <c r="I125" s="177"/>
      <c r="J125" s="65"/>
      <c r="K125" s="177"/>
      <c r="L125" s="65"/>
    </row>
    <row r="126" spans="1:12" ht="12.75">
      <c r="A126" s="66"/>
      <c r="B126" s="176" t="s">
        <v>183</v>
      </c>
      <c r="C126" s="323">
        <v>0.41899999999999998</v>
      </c>
      <c r="D126" s="65"/>
      <c r="E126" s="66">
        <v>0.41899999999999998</v>
      </c>
      <c r="F126" s="66">
        <f t="shared" si="0"/>
        <v>0</v>
      </c>
      <c r="G126" s="178">
        <v>0.41899999999999998</v>
      </c>
      <c r="H126" s="65"/>
      <c r="I126" s="177" t="s">
        <v>176</v>
      </c>
      <c r="J126" s="65">
        <v>6519</v>
      </c>
      <c r="K126" s="322">
        <v>2</v>
      </c>
      <c r="L126" s="65"/>
    </row>
    <row r="127" spans="1:12" ht="12.75">
      <c r="A127" s="66"/>
      <c r="B127" s="176"/>
      <c r="C127" s="176"/>
      <c r="D127" s="65"/>
      <c r="E127" s="66"/>
      <c r="F127" s="66"/>
      <c r="G127" s="178"/>
      <c r="H127" s="65"/>
      <c r="I127" s="177" t="s">
        <v>177</v>
      </c>
      <c r="J127" s="65">
        <v>5502</v>
      </c>
      <c r="K127" s="322">
        <v>37</v>
      </c>
      <c r="L127" s="65"/>
    </row>
    <row r="128" spans="1:12" ht="12.75">
      <c r="A128" s="65"/>
      <c r="B128" s="176" t="s">
        <v>186</v>
      </c>
      <c r="C128" s="323">
        <v>5</v>
      </c>
      <c r="D128" s="65"/>
      <c r="E128" s="66">
        <v>5</v>
      </c>
      <c r="F128" s="66">
        <f t="shared" ref="F128:F142" si="1">C128-E128</f>
        <v>0</v>
      </c>
      <c r="G128" s="178">
        <v>5</v>
      </c>
      <c r="H128" s="65"/>
      <c r="I128" s="177" t="s">
        <v>179</v>
      </c>
      <c r="J128" s="65">
        <v>6789</v>
      </c>
      <c r="K128" s="322">
        <v>12500</v>
      </c>
      <c r="L128" s="65"/>
    </row>
    <row r="129" spans="1:12" ht="12.75">
      <c r="A129" s="65"/>
      <c r="B129" s="176" t="s">
        <v>187</v>
      </c>
      <c r="C129" s="178">
        <v>0</v>
      </c>
      <c r="D129" s="65"/>
      <c r="E129" s="66">
        <v>0</v>
      </c>
      <c r="F129" s="66">
        <f t="shared" si="1"/>
        <v>0</v>
      </c>
      <c r="G129" s="178">
        <v>20</v>
      </c>
      <c r="H129" s="65"/>
      <c r="I129" s="177" t="s">
        <v>354</v>
      </c>
      <c r="J129" s="211">
        <v>6545</v>
      </c>
      <c r="K129" s="322">
        <v>68</v>
      </c>
      <c r="L129" s="65"/>
    </row>
    <row r="130" spans="1:12" ht="12.75">
      <c r="A130" s="65"/>
      <c r="B130" s="176" t="s">
        <v>189</v>
      </c>
      <c r="C130" s="323">
        <v>10</v>
      </c>
      <c r="D130" s="65"/>
      <c r="E130" s="66">
        <v>9.5619999999999994</v>
      </c>
      <c r="F130" s="66">
        <f t="shared" si="1"/>
        <v>0.43800000000000061</v>
      </c>
      <c r="G130" s="178">
        <v>10</v>
      </c>
      <c r="H130" s="65"/>
      <c r="I130" s="177" t="s">
        <v>354</v>
      </c>
      <c r="J130" s="211">
        <v>275</v>
      </c>
      <c r="K130" s="322">
        <v>82</v>
      </c>
      <c r="L130" s="65" t="s">
        <v>185</v>
      </c>
    </row>
    <row r="131" spans="1:12" ht="12.75">
      <c r="A131" s="65"/>
      <c r="B131" s="176" t="s">
        <v>191</v>
      </c>
      <c r="C131" s="323">
        <v>0.1</v>
      </c>
      <c r="D131" s="65"/>
      <c r="E131" s="66">
        <v>0.1</v>
      </c>
      <c r="F131" s="66">
        <f t="shared" si="1"/>
        <v>0</v>
      </c>
      <c r="G131" s="178">
        <v>0.1</v>
      </c>
      <c r="H131" s="65"/>
      <c r="I131" s="177" t="s">
        <v>355</v>
      </c>
      <c r="J131" s="211">
        <v>9812</v>
      </c>
      <c r="K131" s="322">
        <v>471</v>
      </c>
      <c r="L131" s="65"/>
    </row>
    <row r="132" spans="1:12" ht="12.75">
      <c r="A132" s="65"/>
      <c r="B132" s="176" t="s">
        <v>327</v>
      </c>
      <c r="C132" s="323">
        <v>2</v>
      </c>
      <c r="D132" s="65"/>
      <c r="E132" s="66">
        <v>2</v>
      </c>
      <c r="F132" s="66">
        <f t="shared" si="1"/>
        <v>0</v>
      </c>
      <c r="G132" s="178">
        <v>2</v>
      </c>
      <c r="H132" s="65"/>
      <c r="I132" s="177" t="s">
        <v>356</v>
      </c>
      <c r="J132" s="211">
        <v>6387</v>
      </c>
      <c r="K132" s="322">
        <v>400</v>
      </c>
      <c r="L132" s="65"/>
    </row>
    <row r="133" spans="1:12" ht="12.75">
      <c r="A133" s="65"/>
      <c r="B133" s="176" t="s">
        <v>196</v>
      </c>
      <c r="C133" s="323">
        <v>0.02</v>
      </c>
      <c r="D133" s="65"/>
      <c r="E133" s="66">
        <v>0.02</v>
      </c>
      <c r="F133" s="66">
        <f t="shared" si="1"/>
        <v>0</v>
      </c>
      <c r="G133" s="178">
        <v>0.02</v>
      </c>
      <c r="H133" s="65"/>
      <c r="I133" s="177" t="s">
        <v>356</v>
      </c>
      <c r="J133" s="211">
        <v>6347</v>
      </c>
      <c r="K133" s="322">
        <v>186</v>
      </c>
      <c r="L133" s="65"/>
    </row>
    <row r="134" spans="1:12" ht="12.75">
      <c r="A134" s="65"/>
      <c r="B134" s="176"/>
      <c r="C134" s="178"/>
      <c r="D134" s="65"/>
      <c r="E134" s="66">
        <v>0</v>
      </c>
      <c r="F134" s="66">
        <f t="shared" si="1"/>
        <v>0</v>
      </c>
      <c r="G134" s="178">
        <v>10</v>
      </c>
      <c r="H134" s="65"/>
      <c r="I134" s="177" t="s">
        <v>356</v>
      </c>
      <c r="J134" s="211">
        <v>5892</v>
      </c>
      <c r="K134" s="322">
        <v>105</v>
      </c>
      <c r="L134" s="65"/>
    </row>
    <row r="135" spans="1:12" ht="12.75">
      <c r="A135" s="65"/>
      <c r="B135" s="176" t="s">
        <v>198</v>
      </c>
      <c r="C135" s="323">
        <v>0.55600000000000005</v>
      </c>
      <c r="D135" s="65"/>
      <c r="E135" s="66">
        <v>0.5</v>
      </c>
      <c r="F135" s="66">
        <f t="shared" si="1"/>
        <v>5.600000000000005E-2</v>
      </c>
      <c r="G135" s="178">
        <v>0.70499999999999996</v>
      </c>
      <c r="H135" s="65"/>
      <c r="I135" s="177" t="s">
        <v>356</v>
      </c>
      <c r="J135" s="211">
        <v>6757</v>
      </c>
      <c r="K135" s="322">
        <v>194</v>
      </c>
      <c r="L135" s="65"/>
    </row>
    <row r="136" spans="1:12" ht="12.75">
      <c r="A136" s="65"/>
      <c r="B136" s="176" t="s">
        <v>201</v>
      </c>
      <c r="C136" s="323">
        <v>10</v>
      </c>
      <c r="D136" s="65"/>
      <c r="E136" s="66">
        <v>10.922000000000001</v>
      </c>
      <c r="F136" s="66">
        <f t="shared" si="1"/>
        <v>-0.9220000000000006</v>
      </c>
      <c r="G136" s="178">
        <v>8.5</v>
      </c>
      <c r="H136" s="65"/>
      <c r="I136" s="177" t="s">
        <v>182</v>
      </c>
      <c r="J136" s="65">
        <v>6598</v>
      </c>
      <c r="K136" s="322">
        <v>235</v>
      </c>
      <c r="L136" s="65"/>
    </row>
    <row r="137" spans="1:12" ht="12.75">
      <c r="A137" s="65"/>
      <c r="B137" s="176" t="s">
        <v>203</v>
      </c>
      <c r="C137" s="323">
        <v>2</v>
      </c>
      <c r="D137" s="65"/>
      <c r="E137" s="66">
        <v>2</v>
      </c>
      <c r="F137" s="66">
        <f t="shared" si="1"/>
        <v>0</v>
      </c>
      <c r="G137" s="178">
        <v>0</v>
      </c>
      <c r="H137" s="65"/>
      <c r="I137" s="177" t="s">
        <v>184</v>
      </c>
      <c r="J137" s="65">
        <v>6392</v>
      </c>
      <c r="K137" s="322">
        <v>65</v>
      </c>
      <c r="L137" s="65">
        <v>1287</v>
      </c>
    </row>
    <row r="138" spans="1:12" ht="12.75">
      <c r="A138" s="65"/>
      <c r="B138" s="176" t="s">
        <v>16</v>
      </c>
      <c r="C138" s="323">
        <v>33</v>
      </c>
      <c r="D138" s="65"/>
      <c r="E138" s="66">
        <v>42.670999999999999</v>
      </c>
      <c r="F138" s="66">
        <f t="shared" si="1"/>
        <v>-9.6709999999999994</v>
      </c>
      <c r="G138" s="178">
        <v>30</v>
      </c>
      <c r="H138" s="65"/>
      <c r="I138" s="177" t="s">
        <v>297</v>
      </c>
      <c r="J138" s="65">
        <v>440</v>
      </c>
      <c r="K138" s="322">
        <v>444</v>
      </c>
      <c r="L138" s="65">
        <v>4770</v>
      </c>
    </row>
    <row r="139" spans="1:12" ht="12.75">
      <c r="A139" s="65"/>
      <c r="B139" s="319" t="s">
        <v>14</v>
      </c>
      <c r="C139" s="323">
        <v>65</v>
      </c>
      <c r="D139" s="65">
        <v>65</v>
      </c>
      <c r="E139" s="66">
        <v>63.606999999999999</v>
      </c>
      <c r="F139" s="66">
        <f t="shared" si="1"/>
        <v>1.3930000000000007</v>
      </c>
      <c r="G139" s="178">
        <v>65</v>
      </c>
      <c r="H139" s="65"/>
      <c r="I139" s="177" t="s">
        <v>149</v>
      </c>
      <c r="J139" s="65">
        <v>6173</v>
      </c>
      <c r="K139" s="301">
        <v>975</v>
      </c>
      <c r="L139" s="65"/>
    </row>
    <row r="140" spans="1:12" ht="12.75">
      <c r="A140" s="65"/>
      <c r="B140" s="176" t="s">
        <v>208</v>
      </c>
      <c r="C140" s="323">
        <v>0.18</v>
      </c>
      <c r="D140" s="65"/>
      <c r="E140" s="66">
        <v>0.18</v>
      </c>
      <c r="F140" s="66">
        <f t="shared" si="1"/>
        <v>0</v>
      </c>
      <c r="G140" s="178">
        <v>0.18</v>
      </c>
      <c r="H140" s="65"/>
      <c r="I140" s="177" t="s">
        <v>188</v>
      </c>
      <c r="J140" s="65"/>
      <c r="K140" s="177">
        <v>0</v>
      </c>
      <c r="L140" s="65"/>
    </row>
    <row r="141" spans="1:12" ht="12.75">
      <c r="A141" s="65"/>
      <c r="B141" s="180" t="s">
        <v>210</v>
      </c>
      <c r="C141" s="329">
        <v>2.5</v>
      </c>
      <c r="D141" s="65"/>
      <c r="E141" s="66">
        <v>0</v>
      </c>
      <c r="F141" s="66">
        <f t="shared" si="1"/>
        <v>2.5</v>
      </c>
      <c r="G141" s="178">
        <v>1.9910000000000001</v>
      </c>
      <c r="H141" s="65"/>
      <c r="I141" s="177" t="s">
        <v>190</v>
      </c>
      <c r="J141" s="65">
        <v>4132</v>
      </c>
      <c r="K141" s="322">
        <v>7500</v>
      </c>
      <c r="L141" s="65"/>
    </row>
    <row r="142" spans="1:12" ht="12.75">
      <c r="A142" s="65"/>
      <c r="B142" s="176" t="s">
        <v>18</v>
      </c>
      <c r="C142" s="323">
        <v>30</v>
      </c>
      <c r="D142" s="65"/>
      <c r="E142" s="66">
        <v>26.359000000000002</v>
      </c>
      <c r="F142" s="66">
        <f t="shared" si="1"/>
        <v>3.6409999999999982</v>
      </c>
      <c r="G142" s="178">
        <v>45</v>
      </c>
      <c r="H142" s="65"/>
      <c r="I142" s="177" t="s">
        <v>192</v>
      </c>
      <c r="J142" s="211" t="s">
        <v>193</v>
      </c>
      <c r="K142" s="322">
        <v>3506</v>
      </c>
      <c r="L142" s="65"/>
    </row>
    <row r="143" spans="1:12" ht="12.75">
      <c r="A143" s="65"/>
      <c r="B143" s="176"/>
      <c r="C143" s="176"/>
      <c r="D143" s="65"/>
      <c r="E143" s="66"/>
      <c r="F143" s="66"/>
      <c r="G143" s="178"/>
      <c r="H143" s="65"/>
      <c r="I143" s="177" t="s">
        <v>195</v>
      </c>
      <c r="J143" s="65">
        <v>3405</v>
      </c>
      <c r="K143" s="177">
        <v>0</v>
      </c>
      <c r="L143" s="65"/>
    </row>
    <row r="144" spans="1:12" ht="12.75">
      <c r="A144" s="65"/>
      <c r="B144" s="176" t="s">
        <v>214</v>
      </c>
      <c r="C144" s="176">
        <v>0</v>
      </c>
      <c r="D144" s="65"/>
      <c r="E144" s="66">
        <v>6.1420000000000003</v>
      </c>
      <c r="F144" s="66">
        <f t="shared" ref="F144:F161" si="2">C144-E144</f>
        <v>-6.1420000000000003</v>
      </c>
      <c r="G144" s="178">
        <v>6</v>
      </c>
      <c r="H144" s="65"/>
      <c r="I144" s="177" t="s">
        <v>197</v>
      </c>
      <c r="J144" s="65">
        <v>6353</v>
      </c>
      <c r="K144" s="322">
        <v>4000</v>
      </c>
      <c r="L144" s="65" t="s">
        <v>185</v>
      </c>
    </row>
    <row r="145" spans="1:12" ht="12.75">
      <c r="A145" s="65"/>
      <c r="B145" s="176" t="s">
        <v>216</v>
      </c>
      <c r="C145" s="300">
        <v>11</v>
      </c>
      <c r="D145" s="235" t="s">
        <v>376</v>
      </c>
      <c r="E145" s="66">
        <v>11.156000000000001</v>
      </c>
      <c r="F145" s="66">
        <f t="shared" si="2"/>
        <v>-0.15600000000000058</v>
      </c>
      <c r="G145" s="178">
        <v>11.5</v>
      </c>
      <c r="H145" s="65"/>
      <c r="I145" s="177" t="s">
        <v>199</v>
      </c>
      <c r="J145" s="65">
        <v>6899</v>
      </c>
      <c r="K145" s="322">
        <v>1</v>
      </c>
      <c r="L145" s="65"/>
    </row>
    <row r="146" spans="1:12" ht="12.75">
      <c r="A146" s="65"/>
      <c r="B146" s="176" t="s">
        <v>218</v>
      </c>
      <c r="C146" s="323">
        <v>0.5</v>
      </c>
      <c r="D146" s="65"/>
      <c r="E146" s="66">
        <v>0.5</v>
      </c>
      <c r="F146" s="66">
        <f t="shared" si="2"/>
        <v>0</v>
      </c>
      <c r="G146" s="178">
        <v>0.3</v>
      </c>
      <c r="H146" s="65"/>
      <c r="I146" s="177"/>
      <c r="J146" s="65"/>
      <c r="K146" s="179"/>
      <c r="L146" s="65"/>
    </row>
    <row r="147" spans="1:12" ht="12.75">
      <c r="A147" s="65"/>
      <c r="B147" s="176" t="s">
        <v>220</v>
      </c>
      <c r="C147" s="323">
        <v>0.215</v>
      </c>
      <c r="D147" s="65"/>
      <c r="E147" s="66">
        <v>0.215</v>
      </c>
      <c r="F147" s="66">
        <f t="shared" si="2"/>
        <v>0</v>
      </c>
      <c r="G147" s="178">
        <v>0.215</v>
      </c>
      <c r="H147" s="65"/>
      <c r="I147" s="177" t="s">
        <v>357</v>
      </c>
      <c r="J147" s="258" t="s">
        <v>358</v>
      </c>
      <c r="K147" s="322">
        <v>20</v>
      </c>
      <c r="L147" s="65">
        <v>2000</v>
      </c>
    </row>
    <row r="148" spans="1:12" ht="12.75">
      <c r="A148" s="65"/>
      <c r="B148" s="176" t="s">
        <v>222</v>
      </c>
      <c r="C148" s="323">
        <v>0.8</v>
      </c>
      <c r="D148" s="65"/>
      <c r="E148" s="66">
        <v>0.9</v>
      </c>
      <c r="F148" s="66">
        <f t="shared" si="2"/>
        <v>-9.9999999999999978E-2</v>
      </c>
      <c r="G148" s="178">
        <v>0.9</v>
      </c>
      <c r="H148" s="65"/>
      <c r="I148" s="177" t="s">
        <v>202</v>
      </c>
      <c r="J148" s="65">
        <v>7491</v>
      </c>
      <c r="K148" s="322">
        <v>1000</v>
      </c>
      <c r="L148" s="65"/>
    </row>
    <row r="149" spans="1:12" ht="12.75">
      <c r="A149" s="65"/>
      <c r="B149" s="176" t="s">
        <v>88</v>
      </c>
      <c r="C149" s="178">
        <v>0</v>
      </c>
      <c r="D149" s="65"/>
      <c r="E149" s="66">
        <v>0</v>
      </c>
      <c r="F149" s="66">
        <f t="shared" si="2"/>
        <v>0</v>
      </c>
      <c r="G149" s="178">
        <v>0.08</v>
      </c>
      <c r="H149" s="65"/>
      <c r="I149" s="177" t="s">
        <v>359</v>
      </c>
      <c r="J149" s="65">
        <v>6173</v>
      </c>
      <c r="K149" s="236">
        <v>0</v>
      </c>
      <c r="L149" s="65"/>
    </row>
    <row r="150" spans="1:12" ht="12.75">
      <c r="A150" s="65"/>
      <c r="B150" s="176" t="s">
        <v>225</v>
      </c>
      <c r="C150" s="176">
        <v>0</v>
      </c>
      <c r="D150" s="65"/>
      <c r="E150" s="66">
        <v>0</v>
      </c>
      <c r="F150" s="66">
        <f t="shared" si="2"/>
        <v>0</v>
      </c>
      <c r="G150" s="178">
        <v>0</v>
      </c>
      <c r="H150" s="65"/>
      <c r="I150" s="177" t="s">
        <v>204</v>
      </c>
      <c r="J150" s="65">
        <v>6210</v>
      </c>
      <c r="K150" s="322">
        <v>7500</v>
      </c>
      <c r="L150" s="65">
        <v>7307</v>
      </c>
    </row>
    <row r="151" spans="1:12" ht="12.75">
      <c r="A151" s="65"/>
      <c r="B151" s="176" t="s">
        <v>227</v>
      </c>
      <c r="C151" s="323">
        <v>1</v>
      </c>
      <c r="D151" s="65"/>
      <c r="E151" s="66">
        <v>1</v>
      </c>
      <c r="F151" s="66">
        <f t="shared" si="2"/>
        <v>0</v>
      </c>
      <c r="G151" s="178">
        <v>1.5</v>
      </c>
      <c r="H151" s="65"/>
      <c r="I151" s="177" t="s">
        <v>205</v>
      </c>
      <c r="J151" s="65">
        <v>5097</v>
      </c>
      <c r="K151" s="179">
        <v>0</v>
      </c>
      <c r="L151" s="65"/>
    </row>
    <row r="152" spans="1:12" ht="12.75">
      <c r="A152" s="65"/>
      <c r="B152" s="176" t="s">
        <v>229</v>
      </c>
      <c r="C152" s="323">
        <v>1.5</v>
      </c>
      <c r="D152" s="65"/>
      <c r="E152" s="66">
        <v>1.5</v>
      </c>
      <c r="F152" s="66">
        <f t="shared" si="2"/>
        <v>0</v>
      </c>
      <c r="G152" s="178">
        <v>1</v>
      </c>
      <c r="H152" s="65"/>
      <c r="I152" s="177" t="s">
        <v>206</v>
      </c>
      <c r="J152" s="212" t="s">
        <v>382</v>
      </c>
      <c r="K152" s="322">
        <v>60</v>
      </c>
      <c r="L152" s="65"/>
    </row>
    <row r="153" spans="1:12" ht="12.75">
      <c r="A153" s="65"/>
      <c r="B153" s="176" t="s">
        <v>231</v>
      </c>
      <c r="C153" s="323">
        <v>1.4</v>
      </c>
      <c r="D153" s="65"/>
      <c r="E153" s="66">
        <v>1.4</v>
      </c>
      <c r="F153" s="66">
        <f t="shared" si="2"/>
        <v>0</v>
      </c>
      <c r="G153" s="178">
        <v>1.5</v>
      </c>
      <c r="H153" s="65"/>
      <c r="I153" s="177" t="s">
        <v>209</v>
      </c>
      <c r="J153" s="258" t="s">
        <v>358</v>
      </c>
      <c r="K153" s="322">
        <v>800</v>
      </c>
      <c r="L153" s="65"/>
    </row>
    <row r="154" spans="1:12" ht="12.75">
      <c r="A154" s="65"/>
      <c r="B154" s="176" t="s">
        <v>233</v>
      </c>
      <c r="C154" s="323">
        <v>20</v>
      </c>
      <c r="D154" s="177"/>
      <c r="E154" s="66">
        <v>25.216999999999999</v>
      </c>
      <c r="F154" s="66">
        <f t="shared" si="2"/>
        <v>-5.2169999999999987</v>
      </c>
      <c r="G154" s="178">
        <v>1.4</v>
      </c>
      <c r="H154" s="65"/>
      <c r="I154" s="177"/>
      <c r="J154" s="212"/>
      <c r="K154" s="179"/>
      <c r="L154" s="65"/>
    </row>
    <row r="155" spans="1:12" ht="12.75">
      <c r="A155" s="65"/>
      <c r="B155" s="176" t="s">
        <v>235</v>
      </c>
      <c r="C155" s="323">
        <v>5.46</v>
      </c>
      <c r="D155" s="65"/>
      <c r="E155" s="66">
        <v>5.9749999999999996</v>
      </c>
      <c r="F155" s="66">
        <f t="shared" si="2"/>
        <v>-0.51499999999999968</v>
      </c>
      <c r="G155" s="178">
        <v>25</v>
      </c>
      <c r="H155" s="65"/>
      <c r="I155" s="177" t="s">
        <v>213</v>
      </c>
      <c r="J155" s="65">
        <v>5310</v>
      </c>
      <c r="K155" s="322">
        <v>138</v>
      </c>
      <c r="L155" s="65"/>
    </row>
    <row r="156" spans="1:12" ht="12.75">
      <c r="A156" s="65"/>
      <c r="B156" s="176" t="s">
        <v>237</v>
      </c>
      <c r="C156" s="323">
        <v>15</v>
      </c>
      <c r="D156" s="65"/>
      <c r="E156" s="66">
        <v>10</v>
      </c>
      <c r="F156" s="66">
        <f t="shared" si="2"/>
        <v>5</v>
      </c>
      <c r="G156" s="178">
        <v>5.9749999999999996</v>
      </c>
      <c r="H156" s="65"/>
      <c r="I156" s="177"/>
      <c r="J156" s="65"/>
      <c r="K156" s="301"/>
      <c r="L156" s="65"/>
    </row>
    <row r="157" spans="1:12" ht="12.75">
      <c r="A157" s="65"/>
      <c r="B157" s="176" t="s">
        <v>239</v>
      </c>
      <c r="C157" s="323">
        <v>0.05</v>
      </c>
      <c r="D157" s="65"/>
      <c r="E157" s="66">
        <v>0.05</v>
      </c>
      <c r="F157" s="66">
        <f t="shared" si="2"/>
        <v>0</v>
      </c>
      <c r="G157" s="178">
        <v>10</v>
      </c>
      <c r="H157" s="65"/>
      <c r="I157" s="177" t="s">
        <v>333</v>
      </c>
      <c r="J157" s="212" t="s">
        <v>383</v>
      </c>
      <c r="K157" s="322">
        <v>120</v>
      </c>
      <c r="L157" s="65"/>
    </row>
    <row r="158" spans="1:12" ht="12.75">
      <c r="A158" s="65"/>
      <c r="B158" s="176" t="s">
        <v>241</v>
      </c>
      <c r="C158" s="323">
        <v>0.6</v>
      </c>
      <c r="D158" s="65"/>
      <c r="E158" s="66">
        <v>0.71299999999999997</v>
      </c>
      <c r="F158" s="66">
        <f t="shared" si="2"/>
        <v>-0.11299999999999999</v>
      </c>
      <c r="G158" s="178">
        <v>0.05</v>
      </c>
      <c r="H158" s="65"/>
      <c r="I158" s="177" t="s">
        <v>333</v>
      </c>
      <c r="J158" s="65">
        <v>6534</v>
      </c>
      <c r="K158" s="322">
        <v>2038</v>
      </c>
      <c r="L158" s="65"/>
    </row>
    <row r="159" spans="1:12" ht="12.75">
      <c r="A159" s="65"/>
      <c r="B159" s="176" t="s">
        <v>243</v>
      </c>
      <c r="C159" s="323">
        <v>0.24</v>
      </c>
      <c r="D159" s="65"/>
      <c r="E159" s="66">
        <v>1.2</v>
      </c>
      <c r="F159" s="66">
        <f t="shared" si="2"/>
        <v>-0.96</v>
      </c>
      <c r="G159" s="178">
        <v>0.71299999999999997</v>
      </c>
      <c r="H159" s="65"/>
      <c r="I159" s="177" t="s">
        <v>219</v>
      </c>
      <c r="J159" s="65">
        <v>6614</v>
      </c>
      <c r="K159" s="179">
        <v>0</v>
      </c>
      <c r="L159" s="65"/>
    </row>
    <row r="160" spans="1:12" ht="12.75">
      <c r="A160" s="65"/>
      <c r="B160" s="176" t="s">
        <v>92</v>
      </c>
      <c r="C160" s="331">
        <v>5</v>
      </c>
      <c r="D160" s="65"/>
      <c r="E160" s="66">
        <v>0</v>
      </c>
      <c r="F160" s="66">
        <f t="shared" si="2"/>
        <v>5</v>
      </c>
      <c r="G160" s="178">
        <v>1.2</v>
      </c>
      <c r="H160" s="65"/>
      <c r="I160" s="177" t="s">
        <v>221</v>
      </c>
      <c r="J160" s="65">
        <v>6542</v>
      </c>
      <c r="K160" s="301">
        <v>1</v>
      </c>
      <c r="L160" s="65"/>
    </row>
    <row r="161" spans="1:12" ht="12.75">
      <c r="A161" s="65"/>
      <c r="B161" s="176" t="s">
        <v>86</v>
      </c>
      <c r="C161" s="323">
        <v>10</v>
      </c>
      <c r="D161" s="65"/>
      <c r="E161" s="66">
        <v>10</v>
      </c>
      <c r="F161" s="66">
        <f t="shared" si="2"/>
        <v>0</v>
      </c>
      <c r="G161" s="178">
        <v>5</v>
      </c>
      <c r="H161" s="65"/>
      <c r="I161" s="177" t="s">
        <v>223</v>
      </c>
      <c r="J161" s="65">
        <v>5310</v>
      </c>
      <c r="K161" s="322">
        <v>184</v>
      </c>
      <c r="L161" s="65"/>
    </row>
    <row r="162" spans="1:12" ht="12.75">
      <c r="A162" s="65"/>
      <c r="B162" s="176"/>
      <c r="C162" s="176"/>
      <c r="D162" s="65"/>
      <c r="E162" s="66"/>
      <c r="F162" s="66"/>
      <c r="G162" s="178"/>
      <c r="H162" s="65"/>
      <c r="I162" s="177" t="s">
        <v>224</v>
      </c>
      <c r="J162" s="65">
        <v>5310</v>
      </c>
      <c r="K162" s="322">
        <v>1200</v>
      </c>
      <c r="L162" s="65"/>
    </row>
    <row r="163" spans="1:12" ht="12.75">
      <c r="A163" s="65"/>
      <c r="B163" s="176" t="s">
        <v>246</v>
      </c>
      <c r="C163" s="323">
        <v>0.45</v>
      </c>
      <c r="D163" s="65"/>
      <c r="E163" s="66">
        <v>0.45</v>
      </c>
      <c r="F163" s="66">
        <f>C163-E163</f>
        <v>0</v>
      </c>
      <c r="G163" s="178">
        <v>10</v>
      </c>
      <c r="H163" s="65"/>
      <c r="I163" s="177" t="s">
        <v>226</v>
      </c>
      <c r="J163" s="65"/>
      <c r="K163" s="177">
        <v>0</v>
      </c>
      <c r="L163" s="65"/>
    </row>
    <row r="164" spans="1:12" ht="12.75">
      <c r="A164" s="65"/>
      <c r="B164" s="66" t="s">
        <v>248</v>
      </c>
      <c r="C164" s="66">
        <v>0</v>
      </c>
      <c r="D164" s="65"/>
      <c r="E164" s="66">
        <v>0</v>
      </c>
      <c r="F164" s="66">
        <f>C164-E164</f>
        <v>0</v>
      </c>
      <c r="G164" s="178">
        <v>0.45</v>
      </c>
      <c r="H164" s="65"/>
      <c r="I164" s="177" t="s">
        <v>228</v>
      </c>
      <c r="J164" s="65"/>
      <c r="K164" s="177">
        <v>0</v>
      </c>
      <c r="L164" s="65"/>
    </row>
    <row r="165" spans="1:12" ht="12.75">
      <c r="A165" s="65"/>
      <c r="B165" s="176" t="s">
        <v>251</v>
      </c>
      <c r="C165" s="323">
        <v>20</v>
      </c>
      <c r="D165" s="65"/>
      <c r="E165" s="66">
        <v>20</v>
      </c>
      <c r="F165" s="66">
        <f>C165-E165</f>
        <v>0</v>
      </c>
      <c r="G165" s="178">
        <v>19</v>
      </c>
      <c r="H165" s="65"/>
      <c r="I165" s="177" t="s">
        <v>230</v>
      </c>
      <c r="J165" s="65"/>
      <c r="K165" s="177">
        <v>0</v>
      </c>
      <c r="L165" s="65"/>
    </row>
    <row r="166" spans="1:12" ht="12.75">
      <c r="A166" s="65"/>
      <c r="B166" s="176" t="s">
        <v>253</v>
      </c>
      <c r="C166" s="323">
        <v>1.5</v>
      </c>
      <c r="D166" s="65"/>
      <c r="E166" s="66">
        <v>1.5</v>
      </c>
      <c r="F166" s="66">
        <f>C166-E166</f>
        <v>0</v>
      </c>
      <c r="G166" s="178">
        <v>10</v>
      </c>
      <c r="H166" s="65"/>
      <c r="I166" s="177" t="s">
        <v>232</v>
      </c>
      <c r="J166" s="65"/>
      <c r="K166" s="177">
        <v>0</v>
      </c>
      <c r="L166" s="65"/>
    </row>
    <row r="167" spans="1:12" ht="12.75">
      <c r="A167" s="65"/>
      <c r="B167" s="66" t="s">
        <v>84</v>
      </c>
      <c r="C167" s="332">
        <v>4.5</v>
      </c>
      <c r="D167" s="333"/>
      <c r="E167" s="66">
        <v>0</v>
      </c>
      <c r="F167" s="66">
        <f>C167-E167</f>
        <v>4.5</v>
      </c>
      <c r="G167" s="178">
        <v>1.5</v>
      </c>
      <c r="H167" s="65"/>
      <c r="I167" s="177" t="s">
        <v>234</v>
      </c>
      <c r="J167" s="65"/>
      <c r="K167" s="177">
        <v>0</v>
      </c>
      <c r="L167" s="65"/>
    </row>
    <row r="168" spans="1:12" ht="12.75">
      <c r="A168" s="65"/>
      <c r="B168" s="66"/>
      <c r="C168" s="66"/>
      <c r="D168" s="65"/>
      <c r="E168" s="66"/>
      <c r="F168" s="66"/>
      <c r="G168" s="178"/>
      <c r="H168" s="65"/>
      <c r="I168" s="177" t="s">
        <v>236</v>
      </c>
      <c r="J168" s="65">
        <v>7211</v>
      </c>
      <c r="K168" s="179">
        <v>0</v>
      </c>
      <c r="L168" s="65">
        <v>12500</v>
      </c>
    </row>
    <row r="169" spans="1:12" ht="12.75">
      <c r="A169" s="65"/>
      <c r="B169" s="66"/>
      <c r="C169" s="66"/>
      <c r="D169" s="65"/>
      <c r="E169" s="66"/>
      <c r="F169" s="66"/>
      <c r="G169" s="178"/>
      <c r="H169" s="65"/>
      <c r="I169" s="177" t="s">
        <v>238</v>
      </c>
      <c r="J169" s="65">
        <v>6722</v>
      </c>
      <c r="K169" s="322">
        <v>41</v>
      </c>
      <c r="L169" s="65"/>
    </row>
    <row r="170" spans="1:12" ht="12.75">
      <c r="A170" s="65"/>
      <c r="B170" s="176" t="s">
        <v>256</v>
      </c>
      <c r="C170" s="323">
        <v>4</v>
      </c>
      <c r="D170" s="65"/>
      <c r="E170" s="66">
        <v>4</v>
      </c>
      <c r="F170" s="66">
        <f t="shared" ref="F170:F178" si="3">C170-E170</f>
        <v>0</v>
      </c>
      <c r="G170" s="178">
        <v>4.5</v>
      </c>
      <c r="H170" s="65"/>
      <c r="I170" s="177" t="s">
        <v>240</v>
      </c>
      <c r="J170" s="65"/>
      <c r="K170" s="322">
        <v>630</v>
      </c>
      <c r="L170" s="65"/>
    </row>
    <row r="171" spans="1:12" ht="12.75">
      <c r="A171" s="65"/>
      <c r="B171" s="176" t="s">
        <v>257</v>
      </c>
      <c r="C171" s="323">
        <v>0.08</v>
      </c>
      <c r="D171" s="65"/>
      <c r="E171" s="66">
        <v>6.0999999999999999E-2</v>
      </c>
      <c r="F171" s="66">
        <f t="shared" si="3"/>
        <v>1.9000000000000003E-2</v>
      </c>
      <c r="G171" s="178">
        <v>4</v>
      </c>
      <c r="H171" s="65"/>
      <c r="I171" s="177" t="s">
        <v>242</v>
      </c>
      <c r="J171" s="65">
        <v>4063</v>
      </c>
      <c r="K171" s="322">
        <v>231</v>
      </c>
      <c r="L171" s="65"/>
    </row>
    <row r="172" spans="1:12" ht="12.75">
      <c r="A172" s="65"/>
      <c r="B172" s="176" t="s">
        <v>258</v>
      </c>
      <c r="C172" s="323">
        <v>40</v>
      </c>
      <c r="D172" s="65"/>
      <c r="E172" s="66">
        <v>41.424999999999997</v>
      </c>
      <c r="F172" s="180">
        <f t="shared" si="3"/>
        <v>-1.4249999999999972</v>
      </c>
      <c r="G172" s="178">
        <v>6.0999999999999999E-2</v>
      </c>
      <c r="H172" s="65"/>
      <c r="I172" s="177" t="s">
        <v>94</v>
      </c>
      <c r="J172" s="65">
        <v>3405</v>
      </c>
      <c r="K172" s="322">
        <v>2591</v>
      </c>
      <c r="L172" s="65"/>
    </row>
    <row r="173" spans="1:12" ht="12.75">
      <c r="A173" s="65"/>
      <c r="B173" s="176" t="s">
        <v>26</v>
      </c>
      <c r="C173" s="323">
        <v>19</v>
      </c>
      <c r="D173" s="65"/>
      <c r="E173" s="66">
        <v>18.899000000000001</v>
      </c>
      <c r="F173" s="66">
        <f t="shared" si="3"/>
        <v>0.10099999999999909</v>
      </c>
      <c r="G173" s="178">
        <v>40</v>
      </c>
      <c r="H173" s="65"/>
      <c r="I173" s="177" t="s">
        <v>52</v>
      </c>
      <c r="J173" s="65" t="s">
        <v>385</v>
      </c>
      <c r="K173" s="322">
        <v>7000</v>
      </c>
      <c r="L173" s="65"/>
    </row>
    <row r="174" spans="1:12" ht="12.75">
      <c r="A174" s="65"/>
      <c r="B174" s="176" t="s">
        <v>261</v>
      </c>
      <c r="C174" s="323">
        <v>1</v>
      </c>
      <c r="D174" s="65"/>
      <c r="E174" s="66">
        <v>1</v>
      </c>
      <c r="F174" s="66">
        <f t="shared" si="3"/>
        <v>0</v>
      </c>
      <c r="G174" s="178">
        <v>20</v>
      </c>
      <c r="H174" s="65"/>
      <c r="I174" s="177" t="s">
        <v>362</v>
      </c>
      <c r="J174" s="65">
        <v>9643</v>
      </c>
      <c r="K174" s="322">
        <v>4300</v>
      </c>
      <c r="L174" s="65"/>
    </row>
    <row r="175" spans="1:12" ht="12.75">
      <c r="A175" s="65"/>
      <c r="B175" s="176" t="s">
        <v>152</v>
      </c>
      <c r="C175" s="176">
        <v>0</v>
      </c>
      <c r="D175" s="65"/>
      <c r="E175" s="66">
        <v>0</v>
      </c>
      <c r="F175" s="66">
        <f t="shared" si="3"/>
        <v>0</v>
      </c>
      <c r="G175" s="178">
        <v>1</v>
      </c>
      <c r="H175" s="65"/>
      <c r="I175" s="177" t="s">
        <v>244</v>
      </c>
      <c r="J175" s="65">
        <v>6788</v>
      </c>
      <c r="K175" s="322">
        <v>250</v>
      </c>
      <c r="L175" s="65">
        <v>863</v>
      </c>
    </row>
    <row r="176" spans="1:12" ht="12.75">
      <c r="A176" s="65"/>
      <c r="B176" s="176" t="s">
        <v>262</v>
      </c>
      <c r="C176" s="323">
        <v>1</v>
      </c>
      <c r="D176" s="65"/>
      <c r="E176" s="66">
        <v>1</v>
      </c>
      <c r="F176" s="66">
        <f t="shared" si="3"/>
        <v>0</v>
      </c>
      <c r="G176" s="178">
        <v>10</v>
      </c>
      <c r="H176" s="65"/>
      <c r="I176" s="177" t="s">
        <v>245</v>
      </c>
      <c r="J176" s="65">
        <v>6683</v>
      </c>
      <c r="K176" s="322">
        <v>2500</v>
      </c>
      <c r="L176" s="65"/>
    </row>
    <row r="177" spans="1:12" ht="12.75">
      <c r="A177" s="65"/>
      <c r="B177" s="176" t="s">
        <v>263</v>
      </c>
      <c r="C177" s="323">
        <v>65</v>
      </c>
      <c r="D177" s="65" t="s">
        <v>415</v>
      </c>
      <c r="E177" s="66">
        <v>67.477999999999994</v>
      </c>
      <c r="F177" s="66">
        <f t="shared" si="3"/>
        <v>-2.4779999999999944</v>
      </c>
      <c r="G177" s="178">
        <v>1</v>
      </c>
      <c r="H177" s="65"/>
      <c r="I177" s="177" t="s">
        <v>360</v>
      </c>
      <c r="J177" s="65">
        <v>2185</v>
      </c>
      <c r="K177" s="322">
        <v>35</v>
      </c>
      <c r="L177" s="65"/>
    </row>
    <row r="178" spans="1:12" ht="12.75">
      <c r="A178" s="65"/>
      <c r="B178" s="176" t="s">
        <v>264</v>
      </c>
      <c r="C178" s="300">
        <v>0</v>
      </c>
      <c r="D178" s="65"/>
      <c r="E178" s="66">
        <v>0.2</v>
      </c>
      <c r="F178" s="66">
        <f t="shared" si="3"/>
        <v>-0.2</v>
      </c>
      <c r="G178" s="178">
        <v>65</v>
      </c>
      <c r="H178" s="65"/>
      <c r="I178" s="177"/>
      <c r="J178" s="65"/>
      <c r="K178" s="179"/>
      <c r="L178" s="65"/>
    </row>
    <row r="179" spans="1:12" ht="12.75">
      <c r="A179" s="65"/>
      <c r="B179" s="176" t="s">
        <v>322</v>
      </c>
      <c r="C179" s="323">
        <v>4.2999999999999997E-2</v>
      </c>
      <c r="D179" s="65"/>
      <c r="E179" s="66"/>
      <c r="F179" s="66"/>
      <c r="G179" s="178"/>
      <c r="H179" s="65"/>
      <c r="I179" s="177"/>
      <c r="J179" s="65"/>
      <c r="K179" s="179"/>
      <c r="L179" s="65">
        <v>10</v>
      </c>
    </row>
    <row r="180" spans="1:12" ht="12.75">
      <c r="A180" s="65"/>
      <c r="B180" s="176" t="s">
        <v>265</v>
      </c>
      <c r="C180" s="176">
        <v>0</v>
      </c>
      <c r="D180" s="65"/>
      <c r="E180" s="66">
        <v>4.665</v>
      </c>
      <c r="F180" s="66">
        <f t="shared" ref="F180:F185" si="4">C180-E180</f>
        <v>-4.665</v>
      </c>
      <c r="G180" s="178">
        <v>0.2</v>
      </c>
      <c r="H180" s="65"/>
      <c r="I180" s="177" t="s">
        <v>249</v>
      </c>
      <c r="J180" s="212" t="s">
        <v>384</v>
      </c>
      <c r="K180" s="322">
        <v>8677</v>
      </c>
      <c r="L180" s="65"/>
    </row>
    <row r="181" spans="1:12" ht="12.75">
      <c r="A181" s="65"/>
      <c r="B181" s="176" t="s">
        <v>266</v>
      </c>
      <c r="C181" s="323">
        <v>0.05</v>
      </c>
      <c r="D181" s="65"/>
      <c r="E181" s="66">
        <v>0.05</v>
      </c>
      <c r="F181" s="66">
        <f t="shared" si="4"/>
        <v>0</v>
      </c>
      <c r="G181" s="178">
        <v>4</v>
      </c>
      <c r="H181" s="65"/>
      <c r="I181" s="177" t="s">
        <v>252</v>
      </c>
      <c r="J181" s="65">
        <v>4132</v>
      </c>
      <c r="K181" s="322">
        <v>10</v>
      </c>
      <c r="L181" s="65"/>
    </row>
    <row r="182" spans="1:12" ht="12.75">
      <c r="A182" s="65"/>
      <c r="B182" s="66" t="s">
        <v>178</v>
      </c>
      <c r="C182" s="66">
        <v>0</v>
      </c>
      <c r="D182" s="65"/>
      <c r="E182" s="66">
        <v>0</v>
      </c>
      <c r="F182" s="66">
        <f t="shared" si="4"/>
        <v>0</v>
      </c>
      <c r="G182" s="178">
        <v>0.05</v>
      </c>
      <c r="H182" s="65"/>
      <c r="I182" s="177" t="s">
        <v>254</v>
      </c>
      <c r="J182" s="65">
        <v>2540</v>
      </c>
      <c r="K182" s="179">
        <v>0</v>
      </c>
      <c r="L182" s="65"/>
    </row>
    <row r="183" spans="1:12" ht="12.75">
      <c r="A183" s="65"/>
      <c r="B183" s="176" t="s">
        <v>267</v>
      </c>
      <c r="C183" s="176">
        <v>0</v>
      </c>
      <c r="D183" s="65"/>
      <c r="E183" s="66">
        <v>0</v>
      </c>
      <c r="F183" s="66">
        <f t="shared" si="4"/>
        <v>0</v>
      </c>
      <c r="G183" s="178">
        <v>0</v>
      </c>
      <c r="H183" s="65"/>
      <c r="I183" s="177" t="s">
        <v>255</v>
      </c>
      <c r="J183" s="65">
        <v>3405</v>
      </c>
      <c r="K183" s="322">
        <v>15</v>
      </c>
      <c r="L183" s="65"/>
    </row>
    <row r="184" spans="1:12" ht="12.75">
      <c r="B184" t="s">
        <v>268</v>
      </c>
      <c r="C184" s="66">
        <v>0</v>
      </c>
      <c r="D184" s="65" t="s">
        <v>269</v>
      </c>
      <c r="E184" s="66">
        <v>0</v>
      </c>
      <c r="F184" s="66">
        <f t="shared" si="4"/>
        <v>0</v>
      </c>
      <c r="G184" s="178">
        <v>12.5</v>
      </c>
      <c r="H184" s="65"/>
      <c r="I184" s="177" t="s">
        <v>255</v>
      </c>
      <c r="J184" s="65">
        <v>5801</v>
      </c>
      <c r="K184" s="322">
        <v>1</v>
      </c>
      <c r="L184" s="65"/>
    </row>
    <row r="185" spans="1:12" ht="12.75">
      <c r="B185" t="s">
        <v>270</v>
      </c>
      <c r="C185" s="66">
        <v>0</v>
      </c>
      <c r="D185" s="65"/>
      <c r="E185" s="66">
        <v>0</v>
      </c>
      <c r="F185" s="66">
        <f t="shared" si="4"/>
        <v>0</v>
      </c>
      <c r="G185" s="178">
        <v>0</v>
      </c>
      <c r="H185" s="65"/>
      <c r="I185" s="177" t="s">
        <v>96</v>
      </c>
      <c r="J185" s="65">
        <v>6589</v>
      </c>
      <c r="K185" s="322">
        <v>1100</v>
      </c>
      <c r="L185" s="65"/>
    </row>
    <row r="186" spans="1:12" ht="12.75">
      <c r="B186"/>
      <c r="C186" s="182">
        <f>SUM(C104:C185)</f>
        <v>468.54400000000004</v>
      </c>
      <c r="D186" s="65"/>
      <c r="E186" s="182">
        <f>SUM(E104:E185)</f>
        <v>472.43299999999999</v>
      </c>
      <c r="F186" s="66">
        <f>C185-E185</f>
        <v>0</v>
      </c>
      <c r="G186" s="177"/>
      <c r="H186" s="65"/>
      <c r="I186" s="177"/>
      <c r="J186" s="65"/>
      <c r="K186" s="322"/>
      <c r="L186" s="65"/>
    </row>
    <row r="187" spans="1:12" ht="12.75">
      <c r="B187"/>
      <c r="C187" s="66"/>
      <c r="D187" s="65"/>
      <c r="E187" s="65"/>
      <c r="F187" s="65"/>
      <c r="G187" s="65"/>
      <c r="H187" s="65"/>
      <c r="I187" s="177" t="s">
        <v>259</v>
      </c>
      <c r="J187" s="65">
        <v>106</v>
      </c>
      <c r="K187" s="322">
        <v>1068</v>
      </c>
      <c r="L187" s="65"/>
    </row>
    <row r="188" spans="1:12" ht="12.75">
      <c r="A188" s="183"/>
      <c r="B188"/>
      <c r="C188" s="66"/>
      <c r="D188" s="65"/>
      <c r="E188" s="65"/>
      <c r="F188" s="65"/>
      <c r="G188" s="65"/>
      <c r="H188" s="65"/>
      <c r="I188" s="177"/>
      <c r="J188" s="65"/>
      <c r="K188" s="179"/>
      <c r="L188" s="65" t="s">
        <v>185</v>
      </c>
    </row>
    <row r="189" spans="1:12" ht="12.75">
      <c r="B189"/>
      <c r="C189" s="66"/>
      <c r="D189" s="65"/>
      <c r="E189" s="65"/>
      <c r="F189" s="65"/>
      <c r="G189" s="65"/>
      <c r="H189" s="65"/>
      <c r="I189" s="177" t="s">
        <v>260</v>
      </c>
      <c r="J189" s="65">
        <v>6598</v>
      </c>
      <c r="K189" s="322">
        <v>4206</v>
      </c>
    </row>
    <row r="190" spans="1:12" ht="12.75">
      <c r="B190" s="175" t="s">
        <v>7</v>
      </c>
      <c r="C190" s="176">
        <v>0</v>
      </c>
      <c r="D190" s="65"/>
      <c r="E190" s="65"/>
      <c r="F190" s="65"/>
      <c r="G190" s="65"/>
      <c r="H190" s="65"/>
      <c r="I190" s="66"/>
      <c r="J190" s="65"/>
      <c r="K190" s="179"/>
    </row>
    <row r="191" spans="1:12" ht="12.75">
      <c r="B191" s="175" t="s">
        <v>6</v>
      </c>
      <c r="C191" s="176">
        <v>0</v>
      </c>
      <c r="D191" s="65">
        <v>3</v>
      </c>
      <c r="E191" s="65"/>
      <c r="F191" s="65"/>
      <c r="G191" s="65"/>
      <c r="H191" s="65"/>
      <c r="I191" s="65"/>
      <c r="J191" s="65"/>
      <c r="K191" s="181">
        <f>SUM(K104:K190)</f>
        <v>89093</v>
      </c>
    </row>
    <row r="192" spans="1:12" ht="12.75">
      <c r="B192" s="175" t="s">
        <v>271</v>
      </c>
      <c r="C192" s="176">
        <v>0</v>
      </c>
      <c r="D192" s="65" t="s">
        <v>272</v>
      </c>
      <c r="E192" s="65"/>
      <c r="F192" s="65"/>
      <c r="G192" s="65"/>
      <c r="H192" s="65"/>
      <c r="I192" s="65"/>
      <c r="J192" s="65"/>
      <c r="K192" s="65"/>
    </row>
    <row r="193" spans="1:11" ht="12.75">
      <c r="B193" s="175" t="s">
        <v>11</v>
      </c>
      <c r="C193" s="176">
        <v>0</v>
      </c>
      <c r="D193" s="65"/>
      <c r="E193" s="65"/>
      <c r="F193" s="65">
        <v>5</v>
      </c>
      <c r="G193" s="65"/>
      <c r="H193" s="65"/>
      <c r="I193" s="65"/>
      <c r="J193" s="65"/>
      <c r="K193" s="65"/>
    </row>
    <row r="194" spans="1:11" ht="12.75">
      <c r="B194" s="175" t="s">
        <v>187</v>
      </c>
      <c r="C194" s="176">
        <v>0</v>
      </c>
      <c r="D194" s="65" t="s">
        <v>273</v>
      </c>
      <c r="E194" s="65"/>
      <c r="F194" s="65">
        <v>10</v>
      </c>
      <c r="G194" s="65"/>
      <c r="H194" s="65"/>
      <c r="I194" s="65"/>
      <c r="J194" s="65"/>
      <c r="K194" s="65"/>
    </row>
    <row r="195" spans="1:11" ht="12.75">
      <c r="B195" s="175" t="s">
        <v>201</v>
      </c>
      <c r="C195" s="176">
        <v>0</v>
      </c>
      <c r="D195" s="65"/>
      <c r="E195" s="65"/>
      <c r="F195" s="65"/>
      <c r="G195" s="65"/>
      <c r="H195" s="65"/>
      <c r="I195" s="65"/>
      <c r="J195" s="65"/>
      <c r="K195" s="65"/>
    </row>
    <row r="196" spans="1:11" ht="12.75">
      <c r="B196" s="175" t="s">
        <v>16</v>
      </c>
      <c r="C196" s="176">
        <v>0</v>
      </c>
      <c r="D196" s="65"/>
      <c r="E196" s="65"/>
      <c r="F196" s="65"/>
      <c r="G196" s="65"/>
      <c r="H196" s="65"/>
      <c r="I196" s="65"/>
      <c r="J196" s="65"/>
      <c r="K196" s="65"/>
    </row>
    <row r="197" spans="1:11" ht="12.75">
      <c r="B197" s="175" t="s">
        <v>14</v>
      </c>
      <c r="C197" s="176">
        <v>0</v>
      </c>
      <c r="D197" s="65" t="s">
        <v>272</v>
      </c>
      <c r="E197" s="65"/>
      <c r="F197" s="65">
        <v>5</v>
      </c>
      <c r="G197" s="65"/>
      <c r="H197" s="65"/>
      <c r="I197" s="66"/>
      <c r="J197" s="65"/>
      <c r="K197" s="65"/>
    </row>
    <row r="198" spans="1:11" ht="12.75">
      <c r="A198" s="12" t="s">
        <v>274</v>
      </c>
      <c r="B198" s="175" t="s">
        <v>18</v>
      </c>
      <c r="C198" s="176">
        <v>0</v>
      </c>
      <c r="D198" s="65" t="s">
        <v>272</v>
      </c>
      <c r="E198" s="65"/>
      <c r="F198" s="65">
        <v>15</v>
      </c>
      <c r="G198" s="65"/>
      <c r="H198" s="65"/>
      <c r="I198" s="65"/>
      <c r="J198" s="65"/>
    </row>
    <row r="199" spans="1:11" ht="12.75">
      <c r="B199" t="s">
        <v>216</v>
      </c>
      <c r="C199" s="66">
        <v>0</v>
      </c>
      <c r="D199" s="65" t="s">
        <v>272</v>
      </c>
      <c r="E199" s="65"/>
      <c r="F199" s="65">
        <v>15</v>
      </c>
      <c r="G199" s="65"/>
      <c r="H199" s="65"/>
      <c r="I199" s="65"/>
      <c r="J199" s="65"/>
    </row>
    <row r="200" spans="1:11" ht="12.75">
      <c r="B200" s="175" t="s">
        <v>233</v>
      </c>
      <c r="C200" s="176">
        <v>0</v>
      </c>
      <c r="D200" s="65"/>
      <c r="E200" s="65"/>
      <c r="F200" s="65">
        <v>5</v>
      </c>
      <c r="G200" s="65"/>
      <c r="H200" s="65"/>
      <c r="I200" s="65"/>
      <c r="J200" s="65"/>
    </row>
    <row r="201" spans="1:11" ht="12.75">
      <c r="B201" s="175" t="s">
        <v>275</v>
      </c>
      <c r="C201" s="176">
        <v>0</v>
      </c>
      <c r="D201" s="65" t="s">
        <v>276</v>
      </c>
      <c r="E201" s="65"/>
      <c r="F201" s="65"/>
      <c r="G201" s="65"/>
      <c r="H201" s="65"/>
      <c r="I201" s="65"/>
      <c r="J201" s="65"/>
    </row>
    <row r="202" spans="1:11" ht="12.75">
      <c r="B202" t="s">
        <v>258</v>
      </c>
      <c r="C202" s="178">
        <v>0</v>
      </c>
      <c r="D202" s="65"/>
      <c r="E202" s="65"/>
      <c r="F202" s="65">
        <f>SUM(F193:F201)</f>
        <v>55</v>
      </c>
      <c r="G202" s="65"/>
      <c r="H202" s="65"/>
      <c r="I202" s="65"/>
      <c r="J202" s="65"/>
    </row>
    <row r="203" spans="1:11" ht="12.75">
      <c r="B203" t="s">
        <v>26</v>
      </c>
      <c r="C203" s="178">
        <v>0</v>
      </c>
      <c r="D203" s="65"/>
      <c r="E203" s="65"/>
      <c r="F203" s="65"/>
      <c r="G203" s="65"/>
      <c r="H203" s="65"/>
      <c r="I203" s="65"/>
      <c r="J203" s="65"/>
    </row>
    <row r="204" spans="1:11" ht="12.75">
      <c r="B204" t="s">
        <v>267</v>
      </c>
      <c r="C204" s="178">
        <v>0</v>
      </c>
      <c r="D204" s="65"/>
      <c r="E204" s="65"/>
      <c r="F204" s="65"/>
      <c r="G204" s="65"/>
      <c r="H204" s="65"/>
      <c r="I204" s="65"/>
      <c r="J204" s="65"/>
    </row>
    <row r="205" spans="1:11" ht="12.75">
      <c r="B205" t="s">
        <v>277</v>
      </c>
      <c r="C205" s="178">
        <v>0</v>
      </c>
      <c r="D205" s="65"/>
      <c r="E205" s="65"/>
      <c r="F205" s="65"/>
      <c r="G205" s="65"/>
      <c r="H205" s="65"/>
      <c r="I205" s="65"/>
      <c r="J205" s="65"/>
    </row>
    <row r="206" spans="1:11" ht="12.75">
      <c r="B206" t="s">
        <v>278</v>
      </c>
      <c r="C206" s="184">
        <f>SUM(C190:C205)</f>
        <v>0</v>
      </c>
      <c r="D206" s="65"/>
      <c r="F206" s="65"/>
      <c r="G206" s="65"/>
      <c r="H206" s="65"/>
      <c r="I206" s="65"/>
      <c r="J206" s="65"/>
    </row>
    <row r="207" spans="1:11" ht="12.75">
      <c r="B207" s="45"/>
      <c r="C207" s="45"/>
      <c r="I207" s="65"/>
      <c r="J207" s="65"/>
    </row>
    <row r="208" spans="1:11" ht="12.75">
      <c r="B208"/>
      <c r="C208">
        <f>C186+C206</f>
        <v>468.54400000000004</v>
      </c>
      <c r="I208" s="66"/>
      <c r="J208" s="65"/>
    </row>
    <row r="209" spans="2:19" ht="12.75">
      <c r="B209"/>
      <c r="C209"/>
      <c r="I209" s="66"/>
      <c r="J209" s="65"/>
    </row>
    <row r="210" spans="2:19" ht="12.75">
      <c r="B210"/>
      <c r="C210">
        <f>E186-C208</f>
        <v>3.8889999999999532</v>
      </c>
      <c r="G210" s="185" t="s">
        <v>279</v>
      </c>
      <c r="H210" s="186"/>
      <c r="I210" s="65"/>
      <c r="J210" s="65"/>
      <c r="Q210" s="186"/>
      <c r="R210" s="186"/>
      <c r="S210" s="187"/>
    </row>
    <row r="211" spans="2:19" ht="12.75">
      <c r="B211"/>
      <c r="C211"/>
      <c r="G211" s="188"/>
      <c r="H211" s="189" t="s">
        <v>280</v>
      </c>
      <c r="I211" s="65"/>
      <c r="J211" s="65"/>
      <c r="N211" s="186"/>
      <c r="O211" s="186"/>
      <c r="P211" s="186"/>
      <c r="Q211" s="190"/>
      <c r="R211" s="190"/>
      <c r="S211" s="158"/>
    </row>
    <row r="212" spans="2:19">
      <c r="G212" s="191"/>
      <c r="H212" s="74"/>
      <c r="I212" s="65"/>
      <c r="J212" s="65"/>
      <c r="N212" s="190"/>
      <c r="O212" s="190"/>
      <c r="P212" s="190"/>
      <c r="Q212" s="74"/>
      <c r="R212" s="74"/>
      <c r="S212" s="161"/>
    </row>
    <row r="213" spans="2:19">
      <c r="G213" s="191"/>
      <c r="H213" s="74"/>
      <c r="I213" s="65"/>
      <c r="J213" s="65"/>
      <c r="N213" s="74"/>
      <c r="O213" s="74"/>
      <c r="P213" s="74"/>
      <c r="Q213" s="74"/>
      <c r="R213" s="74"/>
      <c r="S213" s="161"/>
    </row>
    <row r="214" spans="2:19" ht="12.75">
      <c r="B214"/>
      <c r="C214" s="195"/>
      <c r="G214" s="191"/>
      <c r="H214" s="74"/>
      <c r="I214" s="65"/>
      <c r="J214" s="65"/>
      <c r="N214" s="74"/>
      <c r="O214" s="74"/>
      <c r="P214" s="74"/>
      <c r="Q214" s="74"/>
      <c r="R214" s="74"/>
      <c r="S214" s="161"/>
    </row>
    <row r="215" spans="2:19" ht="12.75">
      <c r="B215"/>
      <c r="C215" s="195"/>
      <c r="G215" s="191"/>
      <c r="H215" s="74"/>
      <c r="I215" s="65"/>
      <c r="J215" s="65"/>
      <c r="N215" s="74"/>
      <c r="O215" s="74"/>
      <c r="P215" s="74"/>
      <c r="Q215" s="74"/>
      <c r="R215" s="74"/>
      <c r="S215" s="161"/>
    </row>
    <row r="216" spans="2:19" ht="12.75">
      <c r="B216"/>
      <c r="C216" s="195"/>
      <c r="G216" s="191"/>
      <c r="H216" s="74"/>
      <c r="I216" s="65"/>
      <c r="J216" s="65"/>
      <c r="M216" s="186"/>
      <c r="N216" s="74"/>
      <c r="O216" s="74"/>
      <c r="P216" s="74"/>
      <c r="Q216" s="74"/>
      <c r="R216" s="74"/>
      <c r="S216" s="161"/>
    </row>
    <row r="217" spans="2:19" ht="12.75">
      <c r="B217"/>
      <c r="C217" s="195"/>
      <c r="G217" s="191"/>
      <c r="H217" s="74"/>
      <c r="I217" s="65"/>
      <c r="J217" s="65"/>
      <c r="M217" s="190"/>
      <c r="N217" s="74"/>
      <c r="O217" s="74"/>
      <c r="P217" s="74"/>
      <c r="Q217" s="74"/>
      <c r="R217" s="74"/>
      <c r="S217" s="161"/>
    </row>
    <row r="218" spans="2:19" ht="12.75">
      <c r="B218"/>
      <c r="C218" s="195"/>
      <c r="G218" s="191"/>
      <c r="H218" s="74"/>
      <c r="I218" s="65"/>
      <c r="J218" s="65"/>
      <c r="M218" s="74"/>
      <c r="N218" s="74"/>
      <c r="O218" s="74"/>
      <c r="P218" s="74"/>
      <c r="Q218" s="74"/>
      <c r="R218" s="74"/>
      <c r="S218" s="161"/>
    </row>
    <row r="219" spans="2:19" ht="12.75">
      <c r="B219"/>
      <c r="C219" s="195"/>
      <c r="G219" s="191"/>
      <c r="H219" s="74"/>
      <c r="I219" s="65"/>
      <c r="J219" s="65"/>
      <c r="M219" s="74"/>
      <c r="N219" s="74"/>
      <c r="O219" s="74"/>
      <c r="P219" s="74"/>
      <c r="Q219" s="74"/>
      <c r="R219" s="74"/>
      <c r="S219" s="161"/>
    </row>
    <row r="220" spans="2:19" ht="12.75">
      <c r="B220"/>
      <c r="C220" s="195"/>
      <c r="G220" s="191"/>
      <c r="H220" s="74" t="s">
        <v>288</v>
      </c>
      <c r="I220" s="65"/>
      <c r="J220" s="65"/>
      <c r="M220" s="74"/>
      <c r="N220" s="74"/>
      <c r="O220" s="74"/>
      <c r="P220" s="74"/>
      <c r="Q220" s="74"/>
      <c r="R220" s="74"/>
      <c r="S220" s="161"/>
    </row>
    <row r="221" spans="2:19" ht="12.75">
      <c r="B221"/>
      <c r="C221" s="195"/>
      <c r="G221" s="191"/>
      <c r="H221" s="74"/>
      <c r="I221" s="65"/>
      <c r="J221" s="65"/>
      <c r="M221" s="74"/>
      <c r="N221" s="74"/>
      <c r="O221" s="74"/>
      <c r="P221" s="74"/>
      <c r="Q221" s="74"/>
      <c r="R221" s="74"/>
      <c r="S221" s="161"/>
    </row>
    <row r="222" spans="2:19" ht="12.75">
      <c r="B222"/>
      <c r="C222" s="195"/>
      <c r="G222" s="191"/>
      <c r="H222" s="74"/>
      <c r="I222" s="65"/>
      <c r="J222" s="65"/>
      <c r="M222" s="74"/>
      <c r="N222" s="74"/>
      <c r="O222" s="74"/>
      <c r="P222" s="74"/>
      <c r="Q222" s="74"/>
      <c r="R222" s="74"/>
      <c r="S222" s="161"/>
    </row>
    <row r="223" spans="2:19" ht="12.75">
      <c r="B223"/>
      <c r="C223" s="195"/>
      <c r="G223" s="191"/>
      <c r="H223" s="74"/>
      <c r="L223" s="186"/>
      <c r="M223" s="74"/>
      <c r="N223" s="74"/>
      <c r="O223" s="74"/>
      <c r="P223" s="74"/>
      <c r="Q223" s="74"/>
      <c r="R223" s="74"/>
      <c r="S223" s="161"/>
    </row>
    <row r="224" spans="2:19" ht="12.75">
      <c r="B224"/>
      <c r="C224" s="195"/>
      <c r="G224" s="191"/>
      <c r="H224" s="74"/>
      <c r="L224" s="190"/>
      <c r="M224" s="74"/>
      <c r="N224" s="74"/>
      <c r="O224" s="74"/>
      <c r="P224" s="74"/>
      <c r="Q224" s="74"/>
      <c r="R224" s="74"/>
      <c r="S224" s="161"/>
    </row>
    <row r="225" spans="2:19" ht="12.75">
      <c r="B225"/>
      <c r="C225" s="195"/>
      <c r="G225" s="191"/>
      <c r="H225" s="74"/>
      <c r="L225" s="74"/>
      <c r="M225" s="74"/>
      <c r="N225" s="74"/>
      <c r="O225" s="74"/>
      <c r="P225" s="74"/>
      <c r="Q225" s="74"/>
      <c r="R225" s="74"/>
      <c r="S225" s="161"/>
    </row>
    <row r="226" spans="2:19" ht="12.75">
      <c r="B226"/>
      <c r="C226" s="195"/>
      <c r="G226" s="191"/>
      <c r="H226" s="74"/>
      <c r="L226" s="74"/>
      <c r="M226" s="74"/>
      <c r="N226" s="74"/>
      <c r="O226" s="74"/>
      <c r="P226" s="74"/>
      <c r="Q226" s="74"/>
      <c r="R226" s="74"/>
      <c r="S226" s="161"/>
    </row>
    <row r="227" spans="2:19" ht="12.75">
      <c r="B227"/>
      <c r="C227" s="195"/>
      <c r="G227" s="191"/>
      <c r="H227" s="74"/>
      <c r="I227" s="186"/>
      <c r="J227" s="186"/>
      <c r="K227" s="186"/>
      <c r="L227" s="74"/>
      <c r="M227" s="74"/>
      <c r="N227" s="74"/>
      <c r="O227" s="74"/>
      <c r="P227" s="74"/>
      <c r="Q227" s="74"/>
      <c r="R227" s="74"/>
      <c r="S227" s="161"/>
    </row>
    <row r="228" spans="2:19" ht="12.75">
      <c r="B228"/>
      <c r="C228" s="195"/>
      <c r="G228" s="191"/>
      <c r="H228" s="74"/>
      <c r="I228" s="192"/>
      <c r="J228" s="193"/>
      <c r="K228" s="190"/>
      <c r="L228" s="74"/>
      <c r="M228" s="74"/>
      <c r="N228" s="74"/>
      <c r="O228" s="74"/>
      <c r="P228" s="74"/>
      <c r="Q228" s="74"/>
      <c r="R228" s="74"/>
      <c r="S228" s="161"/>
    </row>
    <row r="229" spans="2:19" ht="12.75">
      <c r="B229" s="45"/>
      <c r="C229" s="198"/>
      <c r="G229" s="191"/>
      <c r="H229" s="74"/>
      <c r="I229" s="68" t="s">
        <v>281</v>
      </c>
      <c r="J229" s="194">
        <v>0</v>
      </c>
      <c r="K229" s="74"/>
      <c r="L229" s="74"/>
      <c r="M229" s="74"/>
      <c r="N229" s="74"/>
      <c r="O229" s="74"/>
      <c r="P229" s="74"/>
      <c r="Q229" s="74"/>
      <c r="R229" s="74"/>
      <c r="S229" s="161"/>
    </row>
    <row r="230" spans="2:19" ht="12.75">
      <c r="B230"/>
      <c r="C230" s="195"/>
      <c r="G230" s="191"/>
      <c r="H230" s="74"/>
      <c r="I230" s="74" t="s">
        <v>282</v>
      </c>
      <c r="J230" s="196">
        <v>0</v>
      </c>
      <c r="K230" s="74"/>
      <c r="L230" s="74"/>
      <c r="M230" s="74"/>
      <c r="N230" s="74"/>
      <c r="O230" s="74"/>
      <c r="P230" s="74"/>
      <c r="Q230" s="74"/>
      <c r="R230" s="74"/>
      <c r="S230" s="161"/>
    </row>
    <row r="231" spans="2:19" ht="12.75">
      <c r="B231"/>
      <c r="C231" s="195"/>
      <c r="G231" s="191"/>
      <c r="H231" s="74"/>
      <c r="I231" s="74" t="s">
        <v>283</v>
      </c>
      <c r="J231" s="196">
        <v>0</v>
      </c>
      <c r="K231" s="74"/>
      <c r="L231" s="74"/>
      <c r="M231" s="74"/>
      <c r="N231" s="74"/>
      <c r="O231" s="74"/>
      <c r="P231" s="74"/>
      <c r="Q231" s="74"/>
      <c r="R231" s="74"/>
      <c r="S231" s="161"/>
    </row>
    <row r="232" spans="2:19" ht="12.75">
      <c r="B232"/>
      <c r="C232" s="195"/>
      <c r="G232" s="191"/>
      <c r="H232" s="74" t="s">
        <v>298</v>
      </c>
      <c r="I232" s="74" t="s">
        <v>284</v>
      </c>
      <c r="J232" s="196">
        <v>0</v>
      </c>
      <c r="K232" s="74"/>
      <c r="L232" s="74"/>
      <c r="M232" s="74"/>
      <c r="N232" s="74"/>
      <c r="O232" s="74"/>
      <c r="P232" s="74"/>
      <c r="Q232" s="74"/>
      <c r="R232" s="74"/>
      <c r="S232" s="161"/>
    </row>
    <row r="233" spans="2:19" ht="12.75">
      <c r="B233"/>
      <c r="C233" s="195"/>
      <c r="G233" s="191"/>
      <c r="H233" s="74"/>
      <c r="I233" s="74" t="s">
        <v>285</v>
      </c>
      <c r="J233" s="196">
        <v>0</v>
      </c>
      <c r="K233" s="74"/>
      <c r="L233" s="74"/>
      <c r="M233" s="74"/>
      <c r="N233" s="74"/>
      <c r="O233" s="74"/>
      <c r="P233" s="74"/>
      <c r="Q233" s="74" t="s">
        <v>299</v>
      </c>
      <c r="R233" s="74"/>
      <c r="S233" s="161"/>
    </row>
    <row r="234" spans="2:19" ht="12.75">
      <c r="B234"/>
      <c r="C234" s="195"/>
      <c r="G234" s="191"/>
      <c r="H234" s="74"/>
      <c r="I234" s="74" t="s">
        <v>286</v>
      </c>
      <c r="J234" s="196">
        <v>0</v>
      </c>
      <c r="K234" s="74"/>
      <c r="L234" s="74"/>
      <c r="M234" s="74"/>
      <c r="N234" s="74"/>
      <c r="O234" s="74"/>
      <c r="P234" s="196">
        <v>-31732</v>
      </c>
      <c r="Q234" s="74"/>
      <c r="R234" s="74"/>
      <c r="S234" s="161"/>
    </row>
    <row r="235" spans="2:19" ht="12.75">
      <c r="B235"/>
      <c r="C235" s="195"/>
      <c r="G235" s="191"/>
      <c r="H235" s="74"/>
      <c r="I235" s="74" t="s">
        <v>287</v>
      </c>
      <c r="J235" s="197">
        <v>0</v>
      </c>
      <c r="K235" s="74"/>
      <c r="L235" s="74"/>
      <c r="M235" s="74"/>
      <c r="N235" s="74"/>
      <c r="O235" s="74"/>
      <c r="P235" s="196"/>
      <c r="Q235" s="74"/>
      <c r="R235" s="74"/>
      <c r="S235" s="161"/>
    </row>
    <row r="236" spans="2:19" ht="12.75">
      <c r="B236"/>
      <c r="C236" s="195"/>
      <c r="G236" s="191"/>
      <c r="H236" s="74"/>
      <c r="I236" s="74"/>
      <c r="J236" s="196">
        <f>SUM(J229:J235)</f>
        <v>0</v>
      </c>
      <c r="K236" s="74"/>
      <c r="L236" s="74"/>
      <c r="M236" s="74"/>
      <c r="N236" s="74"/>
      <c r="O236" s="74"/>
      <c r="P236" s="196"/>
      <c r="Q236" s="74" t="s">
        <v>38</v>
      </c>
      <c r="R236" s="74"/>
      <c r="S236" s="161"/>
    </row>
    <row r="237" spans="2:19" ht="12.75">
      <c r="B237"/>
      <c r="C237" s="195"/>
      <c r="G237" s="191"/>
      <c r="H237" s="74"/>
      <c r="I237" s="74"/>
      <c r="J237" s="196"/>
      <c r="K237" s="74"/>
      <c r="L237" s="74"/>
      <c r="M237" s="74"/>
      <c r="N237" s="74" t="s">
        <v>302</v>
      </c>
      <c r="O237" s="74"/>
      <c r="P237" s="196">
        <f>K259</f>
        <v>-4368</v>
      </c>
      <c r="Q237" s="74" t="s">
        <v>304</v>
      </c>
      <c r="R237" s="74"/>
      <c r="S237" s="161"/>
    </row>
    <row r="238" spans="2:19" ht="12.75">
      <c r="B238"/>
      <c r="C238" s="195"/>
      <c r="G238" s="191"/>
      <c r="H238" s="74"/>
      <c r="I238" s="74" t="s">
        <v>289</v>
      </c>
      <c r="J238" s="196">
        <v>0</v>
      </c>
      <c r="K238" s="74"/>
      <c r="L238" s="74"/>
      <c r="M238" s="74"/>
      <c r="N238" s="74"/>
      <c r="O238" s="74"/>
      <c r="P238" s="197">
        <v>-2500</v>
      </c>
      <c r="Q238" s="74"/>
      <c r="R238" s="74"/>
      <c r="S238" s="161"/>
    </row>
    <row r="239" spans="2:19" ht="12.75">
      <c r="B239"/>
      <c r="C239" s="195"/>
      <c r="G239" s="191"/>
      <c r="H239" s="74"/>
      <c r="I239" s="74" t="s">
        <v>290</v>
      </c>
      <c r="J239" s="196">
        <v>0</v>
      </c>
      <c r="K239" s="74"/>
      <c r="L239" s="74"/>
      <c r="M239" s="196">
        <v>525707</v>
      </c>
      <c r="N239" s="74" t="s">
        <v>306</v>
      </c>
      <c r="O239" s="74"/>
      <c r="P239" s="74"/>
      <c r="Q239" s="74" t="s">
        <v>308</v>
      </c>
      <c r="R239" s="74"/>
      <c r="S239" s="161"/>
    </row>
    <row r="240" spans="2:19" ht="12.75">
      <c r="B240"/>
      <c r="C240"/>
      <c r="G240" s="191"/>
      <c r="H240" s="74"/>
      <c r="I240" s="74" t="s">
        <v>291</v>
      </c>
      <c r="J240" s="196">
        <v>0</v>
      </c>
      <c r="K240" s="74"/>
      <c r="L240" s="74"/>
      <c r="M240" s="196"/>
      <c r="N240" s="74"/>
      <c r="O240" s="196"/>
      <c r="P240" s="196">
        <f>SUM(P234:P238)</f>
        <v>-38600</v>
      </c>
      <c r="Q240" s="74"/>
      <c r="R240" s="74"/>
      <c r="S240" s="161"/>
    </row>
    <row r="241" spans="2:19" ht="12.75">
      <c r="B241"/>
      <c r="C241"/>
      <c r="G241" s="191"/>
      <c r="H241" s="74"/>
      <c r="I241" s="74" t="s">
        <v>292</v>
      </c>
      <c r="J241" s="196">
        <v>0</v>
      </c>
      <c r="K241" s="74"/>
      <c r="L241" s="74"/>
      <c r="M241" s="196"/>
      <c r="N241" s="74"/>
      <c r="O241" s="74"/>
      <c r="P241" s="74"/>
      <c r="Q241" s="74"/>
      <c r="R241" s="74"/>
      <c r="S241" s="204">
        <f>22000+P242</f>
        <v>15133</v>
      </c>
    </row>
    <row r="242" spans="2:19" ht="12.75">
      <c r="B242"/>
      <c r="C242"/>
      <c r="G242" s="191"/>
      <c r="H242" s="74"/>
      <c r="I242" s="74" t="s">
        <v>293</v>
      </c>
      <c r="J242" s="196">
        <v>0</v>
      </c>
      <c r="K242" s="74"/>
      <c r="L242" s="74"/>
      <c r="M242" s="196">
        <v>493974</v>
      </c>
      <c r="N242" s="74"/>
      <c r="O242" s="74"/>
      <c r="P242" s="203">
        <f>P240+M244</f>
        <v>-6867</v>
      </c>
      <c r="Q242" s="74"/>
      <c r="R242" s="74"/>
      <c r="S242" s="161"/>
    </row>
    <row r="243" spans="2:19" ht="12.75">
      <c r="B243"/>
      <c r="C243"/>
      <c r="G243" s="191"/>
      <c r="H243" s="74"/>
      <c r="I243" s="74" t="s">
        <v>294</v>
      </c>
      <c r="J243" s="196">
        <v>0</v>
      </c>
      <c r="K243" s="74"/>
      <c r="L243" s="74"/>
      <c r="M243" s="196"/>
      <c r="N243" s="74"/>
      <c r="O243" s="74"/>
      <c r="P243" s="74"/>
      <c r="Q243" s="74"/>
      <c r="R243" s="74"/>
      <c r="S243" s="161"/>
    </row>
    <row r="244" spans="2:19" ht="12.75">
      <c r="B244"/>
      <c r="C244"/>
      <c r="G244" s="191"/>
      <c r="H244" s="74"/>
      <c r="I244" s="74" t="s">
        <v>295</v>
      </c>
      <c r="J244" s="196">
        <v>0</v>
      </c>
      <c r="K244" s="74"/>
      <c r="L244" s="74"/>
      <c r="M244" s="196">
        <f>M239-M242</f>
        <v>31733</v>
      </c>
      <c r="N244" s="74"/>
      <c r="O244" s="74"/>
      <c r="P244" s="74"/>
      <c r="Q244" s="74"/>
      <c r="R244" s="74"/>
      <c r="S244" s="161"/>
    </row>
    <row r="245" spans="2:19" ht="12.75">
      <c r="B245" s="45"/>
      <c r="C245" s="45"/>
      <c r="G245" s="191"/>
      <c r="H245" s="74" t="s">
        <v>313</v>
      </c>
      <c r="I245" s="74" t="s">
        <v>296</v>
      </c>
      <c r="J245" s="196">
        <v>0</v>
      </c>
      <c r="K245" s="74"/>
      <c r="L245" s="74"/>
      <c r="M245" s="74"/>
      <c r="N245" s="74"/>
      <c r="O245" s="74"/>
      <c r="P245" s="74"/>
      <c r="Q245" s="74"/>
      <c r="R245" s="74"/>
      <c r="S245" s="161"/>
    </row>
    <row r="246" spans="2:19" ht="12.75">
      <c r="B246"/>
      <c r="C246"/>
      <c r="G246" s="191"/>
      <c r="H246" s="74"/>
      <c r="I246" s="74" t="s">
        <v>297</v>
      </c>
      <c r="J246" s="197">
        <v>0</v>
      </c>
      <c r="K246" s="74"/>
      <c r="L246" s="74"/>
      <c r="M246" s="74"/>
      <c r="N246" s="74"/>
      <c r="O246" s="74"/>
      <c r="P246" s="74"/>
      <c r="Q246" s="74"/>
      <c r="R246" s="74"/>
      <c r="S246" s="161"/>
    </row>
    <row r="247" spans="2:19" ht="12.75">
      <c r="B247"/>
      <c r="C247"/>
      <c r="G247" s="191"/>
      <c r="H247" s="74"/>
      <c r="I247" s="74"/>
      <c r="J247" s="196">
        <f>SUM(J236:J246)</f>
        <v>0</v>
      </c>
      <c r="K247" s="74"/>
      <c r="L247" s="74"/>
      <c r="M247" s="203">
        <f>M244+K259</f>
        <v>27365</v>
      </c>
      <c r="N247" s="74"/>
      <c r="O247" s="74"/>
      <c r="P247" s="74"/>
      <c r="Q247" s="74"/>
      <c r="R247" s="74"/>
      <c r="S247" s="161"/>
    </row>
    <row r="248" spans="2:19" ht="12.75">
      <c r="B248"/>
      <c r="C248"/>
      <c r="G248" s="191"/>
      <c r="H248" s="205" t="s">
        <v>315</v>
      </c>
      <c r="I248" s="74"/>
      <c r="J248" s="196"/>
      <c r="K248" s="74"/>
      <c r="L248" s="74"/>
      <c r="M248" s="203"/>
      <c r="N248" s="74"/>
      <c r="O248" s="74"/>
      <c r="P248" s="74"/>
      <c r="Q248" s="74"/>
      <c r="R248" s="74"/>
      <c r="S248" s="161"/>
    </row>
    <row r="249" spans="2:19" ht="12.75">
      <c r="B249"/>
      <c r="C249"/>
      <c r="G249" s="206"/>
      <c r="H249" s="207"/>
      <c r="I249" s="74"/>
      <c r="J249" s="196"/>
      <c r="K249" s="74"/>
      <c r="L249" s="74"/>
      <c r="M249" s="203"/>
      <c r="N249" s="74"/>
      <c r="O249" s="74"/>
      <c r="P249" s="74"/>
      <c r="Q249" s="207"/>
      <c r="R249" s="207"/>
      <c r="S249" s="153"/>
    </row>
    <row r="250" spans="2:19" ht="12.75">
      <c r="B250"/>
      <c r="C250"/>
      <c r="I250" s="74" t="s">
        <v>300</v>
      </c>
      <c r="J250" s="199">
        <v>-862</v>
      </c>
      <c r="K250" s="74"/>
      <c r="L250" s="74"/>
      <c r="M250" s="74"/>
      <c r="N250" s="207"/>
      <c r="O250" s="207"/>
      <c r="P250" s="207"/>
    </row>
    <row r="251" spans="2:19" ht="12.75">
      <c r="B251" s="45"/>
      <c r="C251" s="45"/>
      <c r="I251" s="200" t="s">
        <v>300</v>
      </c>
      <c r="J251" s="201">
        <v>-1</v>
      </c>
      <c r="K251" s="74"/>
      <c r="L251" s="74"/>
      <c r="M251" s="74"/>
    </row>
    <row r="252" spans="2:19" ht="12.75">
      <c r="B252"/>
      <c r="C252"/>
      <c r="I252" s="200" t="s">
        <v>301</v>
      </c>
      <c r="J252" s="201">
        <v>-1</v>
      </c>
      <c r="K252" s="74"/>
      <c r="L252" s="74"/>
      <c r="M252" s="74"/>
    </row>
    <row r="253" spans="2:19" ht="12.75">
      <c r="B253" s="66"/>
      <c r="C253" s="66"/>
      <c r="I253" s="137" t="s">
        <v>303</v>
      </c>
      <c r="J253" s="202">
        <v>-1500</v>
      </c>
      <c r="K253" s="74"/>
      <c r="L253" s="74"/>
      <c r="M253" s="74"/>
    </row>
    <row r="254" spans="2:19" ht="12.75">
      <c r="B254"/>
      <c r="C254"/>
      <c r="I254" s="200" t="s">
        <v>305</v>
      </c>
      <c r="J254" s="201">
        <v>-1</v>
      </c>
      <c r="K254" s="74"/>
      <c r="L254" s="74"/>
      <c r="M254" s="74"/>
    </row>
    <row r="255" spans="2:19" ht="12.75">
      <c r="B255"/>
      <c r="C255"/>
      <c r="I255" s="200" t="s">
        <v>307</v>
      </c>
      <c r="J255" s="201">
        <v>-1</v>
      </c>
      <c r="K255" s="74"/>
      <c r="L255" s="74"/>
      <c r="M255" s="207"/>
    </row>
    <row r="256" spans="2:19" ht="12.75">
      <c r="B256"/>
      <c r="C256"/>
      <c r="I256" s="137" t="s">
        <v>309</v>
      </c>
      <c r="J256" s="202">
        <v>-1000</v>
      </c>
      <c r="K256" s="74"/>
      <c r="L256" s="74"/>
    </row>
    <row r="257" spans="2:12" ht="12.75">
      <c r="B257"/>
      <c r="C257"/>
      <c r="I257" s="200" t="s">
        <v>310</v>
      </c>
      <c r="J257" s="201">
        <v>-1</v>
      </c>
      <c r="K257" s="74"/>
      <c r="L257" s="74"/>
    </row>
    <row r="258" spans="2:12" ht="12.75">
      <c r="B258"/>
      <c r="C258"/>
      <c r="I258" s="137" t="s">
        <v>311</v>
      </c>
      <c r="J258" s="202">
        <v>-1000</v>
      </c>
      <c r="K258" s="74"/>
      <c r="L258" s="74"/>
    </row>
    <row r="259" spans="2:12" ht="12.75">
      <c r="B259"/>
      <c r="C259"/>
      <c r="I259" s="200" t="s">
        <v>102</v>
      </c>
      <c r="J259" s="201">
        <v>-1</v>
      </c>
      <c r="K259" s="203">
        <f>SUM(J250:J259)</f>
        <v>-4368</v>
      </c>
      <c r="L259" s="74"/>
    </row>
    <row r="260" spans="2:12" ht="12.75">
      <c r="B260"/>
      <c r="C260"/>
      <c r="I260" s="74" t="s">
        <v>312</v>
      </c>
      <c r="J260" s="197">
        <f>-M244-K259</f>
        <v>-27365</v>
      </c>
      <c r="K260" s="203"/>
      <c r="L260" s="74"/>
    </row>
    <row r="261" spans="2:12" ht="12.75">
      <c r="B261"/>
      <c r="C261"/>
      <c r="I261" s="74"/>
      <c r="J261" s="196">
        <f>SUM(J247:J260)</f>
        <v>-31733</v>
      </c>
      <c r="K261" s="74"/>
      <c r="L261" s="74"/>
    </row>
    <row r="262" spans="2:12" ht="12.75">
      <c r="B262"/>
      <c r="C262"/>
      <c r="I262" s="74"/>
      <c r="J262" s="196"/>
      <c r="K262" s="74"/>
      <c r="L262" s="207"/>
    </row>
    <row r="263" spans="2:12" ht="12.75">
      <c r="B263"/>
      <c r="C263"/>
      <c r="I263" s="74" t="s">
        <v>314</v>
      </c>
      <c r="J263" s="196">
        <v>3915</v>
      </c>
      <c r="K263" s="74"/>
    </row>
    <row r="264" spans="2:12" ht="12.75">
      <c r="B264"/>
      <c r="C264"/>
      <c r="I264" s="74"/>
      <c r="J264" s="196"/>
      <c r="K264" s="74"/>
    </row>
    <row r="265" spans="2:12" ht="13.5" thickBot="1">
      <c r="B265"/>
      <c r="C265"/>
      <c r="I265" s="74"/>
      <c r="J265" s="208">
        <f>SUM(J261:J264)</f>
        <v>-27818</v>
      </c>
      <c r="K265" s="74"/>
    </row>
    <row r="266" spans="2:12" ht="13.5" thickTop="1">
      <c r="B266"/>
      <c r="C266"/>
      <c r="I266" s="207"/>
      <c r="J266" s="197"/>
      <c r="K266" s="207"/>
    </row>
    <row r="267" spans="2:12" ht="12.75">
      <c r="B267"/>
      <c r="C267"/>
      <c r="J267" s="209"/>
    </row>
    <row r="268" spans="2:12" ht="12.75">
      <c r="B268"/>
      <c r="C268"/>
      <c r="J268" s="209"/>
    </row>
    <row r="269" spans="2:12" ht="12.75">
      <c r="B269"/>
      <c r="C269"/>
      <c r="J269" s="209">
        <f>551878-11621</f>
        <v>540257</v>
      </c>
    </row>
    <row r="270" spans="2:12" ht="12.75">
      <c r="B270"/>
      <c r="C270"/>
      <c r="J270" s="209"/>
    </row>
    <row r="271" spans="2:12" ht="12.75">
      <c r="B271" s="210"/>
      <c r="C271" s="210"/>
      <c r="J271" s="209"/>
    </row>
    <row r="272" spans="2:12" ht="12.75">
      <c r="B272" s="210"/>
      <c r="C272" s="210"/>
      <c r="J272" s="209"/>
    </row>
    <row r="273" spans="2:10" ht="12.75">
      <c r="B273"/>
      <c r="C273"/>
      <c r="J273" s="209"/>
    </row>
    <row r="274" spans="2:10" ht="12.75">
      <c r="B274"/>
      <c r="C274"/>
      <c r="J274" s="209"/>
    </row>
    <row r="275" spans="2:10">
      <c r="J275" s="209"/>
    </row>
    <row r="276" spans="2:10">
      <c r="J276" s="209"/>
    </row>
    <row r="277" spans="2:10">
      <c r="J277" s="209"/>
    </row>
    <row r="278" spans="2:10">
      <c r="J278" s="209"/>
    </row>
    <row r="279" spans="2:10">
      <c r="J279" s="209"/>
    </row>
    <row r="280" spans="2:10">
      <c r="J280" s="209"/>
    </row>
    <row r="281" spans="2:10">
      <c r="J281" s="209"/>
    </row>
    <row r="282" spans="2:10">
      <c r="J282" s="209"/>
    </row>
    <row r="283" spans="2:10">
      <c r="J283" s="209"/>
    </row>
    <row r="284" spans="2:10">
      <c r="J284" s="209"/>
    </row>
    <row r="285" spans="2:10">
      <c r="J285" s="209"/>
    </row>
    <row r="286" spans="2:10">
      <c r="J286" s="209"/>
    </row>
    <row r="287" spans="2:10">
      <c r="J287" s="209"/>
    </row>
    <row r="288" spans="2:10">
      <c r="J288" s="209"/>
    </row>
    <row r="289" spans="10:10">
      <c r="J289" s="209"/>
    </row>
    <row r="290" spans="10:10">
      <c r="J290" s="209"/>
    </row>
    <row r="291" spans="10:10">
      <c r="J291" s="209"/>
    </row>
    <row r="292" spans="10:10">
      <c r="J292" s="209"/>
    </row>
    <row r="293" spans="10:10">
      <c r="J293" s="209"/>
    </row>
    <row r="294" spans="10:10">
      <c r="J294" s="209"/>
    </row>
    <row r="295" spans="10:10">
      <c r="J295" s="209"/>
    </row>
    <row r="296" spans="10:10">
      <c r="J296" s="209"/>
    </row>
    <row r="297" spans="10:10">
      <c r="J297" s="209"/>
    </row>
    <row r="298" spans="10:10">
      <c r="J298" s="209"/>
    </row>
    <row r="299" spans="10:10">
      <c r="J299" s="209"/>
    </row>
    <row r="300" spans="10:10">
      <c r="J300" s="209"/>
    </row>
    <row r="301" spans="10:10">
      <c r="J301" s="209"/>
    </row>
    <row r="302" spans="10:10">
      <c r="J302" s="209"/>
    </row>
    <row r="303" spans="10:10">
      <c r="J303" s="209"/>
    </row>
    <row r="304" spans="10:10">
      <c r="J304" s="209"/>
    </row>
    <row r="305" spans="10:10">
      <c r="J305" s="209"/>
    </row>
    <row r="306" spans="10:10">
      <c r="J306" s="209"/>
    </row>
    <row r="307" spans="10:10">
      <c r="J307" s="209"/>
    </row>
    <row r="308" spans="10:10">
      <c r="J308" s="209"/>
    </row>
    <row r="309" spans="10:10">
      <c r="J309" s="209"/>
    </row>
    <row r="310" spans="10:10">
      <c r="J310" s="209"/>
    </row>
    <row r="311" spans="10:10">
      <c r="J311" s="209"/>
    </row>
    <row r="312" spans="10:10">
      <c r="J312" s="209"/>
    </row>
    <row r="313" spans="10:10">
      <c r="J313" s="209"/>
    </row>
    <row r="314" spans="10:10">
      <c r="J314" s="209"/>
    </row>
    <row r="315" spans="10:10">
      <c r="J315" s="209"/>
    </row>
    <row r="316" spans="10:10">
      <c r="J316" s="209"/>
    </row>
    <row r="317" spans="10:10">
      <c r="J317" s="209"/>
    </row>
    <row r="318" spans="10:10">
      <c r="J318" s="209"/>
    </row>
    <row r="319" spans="10:10">
      <c r="J319" s="209"/>
    </row>
    <row r="320" spans="10:10">
      <c r="J320" s="209"/>
    </row>
    <row r="321" spans="10:10">
      <c r="J321" s="209"/>
    </row>
    <row r="322" spans="10:10">
      <c r="J322" s="209"/>
    </row>
    <row r="323" spans="10:10">
      <c r="J323" s="209"/>
    </row>
    <row r="324" spans="10:10">
      <c r="J324" s="209"/>
    </row>
    <row r="325" spans="10:10">
      <c r="J325" s="209"/>
    </row>
    <row r="326" spans="10:10">
      <c r="J326" s="209"/>
    </row>
    <row r="327" spans="10:10">
      <c r="J327" s="209"/>
    </row>
    <row r="328" spans="10:10">
      <c r="J328" s="209"/>
    </row>
    <row r="329" spans="10:10">
      <c r="J329" s="209"/>
    </row>
    <row r="330" spans="10:10">
      <c r="J330" s="209"/>
    </row>
    <row r="331" spans="10:10">
      <c r="J331" s="209"/>
    </row>
    <row r="332" spans="10:10">
      <c r="J332" s="209"/>
    </row>
    <row r="333" spans="10:10">
      <c r="J333" s="209"/>
    </row>
    <row r="334" spans="10:10">
      <c r="J334" s="209"/>
    </row>
    <row r="335" spans="10:10">
      <c r="J335" s="209"/>
    </row>
    <row r="336" spans="10:10">
      <c r="J336" s="209"/>
    </row>
    <row r="337" spans="10:10">
      <c r="J337" s="209"/>
    </row>
    <row r="338" spans="10:10">
      <c r="J338" s="209"/>
    </row>
    <row r="339" spans="10:10">
      <c r="J339" s="209"/>
    </row>
    <row r="340" spans="10:10">
      <c r="J340" s="209"/>
    </row>
    <row r="341" spans="10:10">
      <c r="J341" s="209"/>
    </row>
    <row r="342" spans="10:10">
      <c r="J342" s="209"/>
    </row>
    <row r="343" spans="10:10">
      <c r="J343" s="209"/>
    </row>
    <row r="344" spans="10:10">
      <c r="J344" s="209"/>
    </row>
    <row r="345" spans="10:10">
      <c r="J345" s="209"/>
    </row>
    <row r="346" spans="10:10">
      <c r="J346" s="209"/>
    </row>
    <row r="347" spans="10:10">
      <c r="J347" s="209"/>
    </row>
    <row r="348" spans="10:10">
      <c r="J348" s="209"/>
    </row>
    <row r="349" spans="10:10">
      <c r="J349" s="209"/>
    </row>
    <row r="350" spans="10:10">
      <c r="J350" s="209"/>
    </row>
    <row r="351" spans="10:10">
      <c r="J351" s="209"/>
    </row>
    <row r="352" spans="10:10">
      <c r="J352" s="209"/>
    </row>
    <row r="353" spans="10:10">
      <c r="J353" s="209"/>
    </row>
    <row r="354" spans="10:10">
      <c r="J354" s="209"/>
    </row>
    <row r="355" spans="10:10">
      <c r="J355" s="209"/>
    </row>
    <row r="356" spans="10:10">
      <c r="J356" s="209"/>
    </row>
    <row r="357" spans="10:10">
      <c r="J357" s="209"/>
    </row>
    <row r="358" spans="10:10">
      <c r="J358" s="209"/>
    </row>
    <row r="359" spans="10:10">
      <c r="J359" s="209"/>
    </row>
    <row r="360" spans="10:10">
      <c r="J360" s="209"/>
    </row>
    <row r="361" spans="10:10">
      <c r="J361" s="209"/>
    </row>
    <row r="362" spans="10:10">
      <c r="J362" s="209"/>
    </row>
    <row r="363" spans="10:10">
      <c r="J363" s="209"/>
    </row>
    <row r="364" spans="10:10">
      <c r="J364" s="209"/>
    </row>
    <row r="365" spans="10:10">
      <c r="J365" s="209"/>
    </row>
    <row r="366" spans="10:10">
      <c r="J366" s="209"/>
    </row>
    <row r="367" spans="10:10">
      <c r="J367" s="209"/>
    </row>
    <row r="368" spans="10:10">
      <c r="J368" s="209"/>
    </row>
    <row r="369" spans="10:10">
      <c r="J369" s="209"/>
    </row>
  </sheetData>
  <mergeCells count="6">
    <mergeCell ref="A103:C103"/>
    <mergeCell ref="K6:L6"/>
    <mergeCell ref="I31:J31"/>
    <mergeCell ref="I36:J36"/>
    <mergeCell ref="I43:J43"/>
    <mergeCell ref="A31:D31"/>
  </mergeCells>
  <printOptions horizontalCentered="1" verticalCentered="1"/>
  <pageMargins left="0.25" right="0.25" top="0.75" bottom="0.25" header="0" footer="0.25"/>
  <pageSetup scale="76" orientation="portrait" horizontalDpi="4294967292" r:id="rId1"/>
  <headerFooter alignWithMargins="0">
    <oddFooter>&amp;L&amp;8Tx Desk Logistics - Daren Farmer&amp;R&amp;8&amp;D
&amp;T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J369"/>
  <sheetViews>
    <sheetView showGridLines="0" topLeftCell="A23" zoomScale="80" workbookViewId="0">
      <selection activeCell="B52" sqref="B52:I52"/>
    </sheetView>
  </sheetViews>
  <sheetFormatPr defaultRowHeight="12"/>
  <cols>
    <col min="1" max="2" width="12.140625" style="12" customWidth="1"/>
    <col min="3" max="3" width="11.28515625" style="12" customWidth="1"/>
    <col min="4" max="4" width="11.85546875" style="12" customWidth="1"/>
    <col min="5" max="5" width="11.5703125" style="12" customWidth="1"/>
    <col min="6" max="6" width="11.7109375" style="12" customWidth="1"/>
    <col min="7" max="7" width="11.85546875" style="12" customWidth="1"/>
    <col min="8" max="8" width="11.7109375" style="12" customWidth="1"/>
    <col min="9" max="9" width="11.85546875" style="12" customWidth="1"/>
    <col min="10" max="10" width="8.7109375" style="12" customWidth="1"/>
    <col min="11" max="11" width="11.85546875" style="12" customWidth="1"/>
    <col min="12" max="12" width="9.140625" style="12"/>
    <col min="13" max="13" width="8.5703125" style="12" bestFit="1" customWidth="1"/>
    <col min="14" max="14" width="9.140625" style="12"/>
    <col min="15" max="15" width="5.5703125" style="12" customWidth="1"/>
    <col min="16" max="16384" width="9.140625" style="12"/>
  </cols>
  <sheetData>
    <row r="1" spans="1:16" s="7" customFormat="1" ht="16.5" thickBot="1">
      <c r="A1" s="1" t="s">
        <v>374</v>
      </c>
      <c r="B1" s="2"/>
      <c r="C1" s="3"/>
      <c r="D1" s="4"/>
      <c r="E1" s="2"/>
      <c r="F1" s="2"/>
      <c r="G1" s="2"/>
      <c r="H1" s="5"/>
      <c r="I1" s="6"/>
    </row>
    <row r="2" spans="1:16" ht="12.75">
      <c r="A2" s="8"/>
      <c r="B2" s="9"/>
      <c r="C2" s="9"/>
      <c r="D2" s="10"/>
      <c r="E2" s="10"/>
      <c r="F2" s="10"/>
      <c r="G2" s="9"/>
      <c r="H2" s="11"/>
    </row>
    <row r="3" spans="1:16" ht="13.5" thickBot="1">
      <c r="A3" s="13"/>
      <c r="B3" s="14"/>
      <c r="C3" s="15"/>
      <c r="D3" s="10"/>
      <c r="E3" s="15"/>
      <c r="F3" s="15"/>
      <c r="G3" s="15"/>
      <c r="H3" s="11"/>
    </row>
    <row r="4" spans="1:16" ht="12.75">
      <c r="A4" s="16"/>
      <c r="B4" s="9"/>
      <c r="C4" s="9"/>
      <c r="D4" s="17" t="s">
        <v>419</v>
      </c>
      <c r="E4" s="285"/>
      <c r="F4" s="285"/>
      <c r="G4" s="286"/>
      <c r="H4" s="287"/>
      <c r="L4"/>
    </row>
    <row r="5" spans="1:16" ht="13.5" thickBot="1">
      <c r="A5" s="21"/>
      <c r="B5" s="22"/>
      <c r="C5" s="22"/>
      <c r="D5" s="233" t="s">
        <v>328</v>
      </c>
      <c r="E5" s="288" t="s">
        <v>371</v>
      </c>
      <c r="F5" s="288" t="str">
        <f>D4</f>
        <v>Mar</v>
      </c>
      <c r="G5" s="289" t="str">
        <f>+F5</f>
        <v>Mar</v>
      </c>
      <c r="H5" s="290" t="str">
        <f>+F5</f>
        <v>Mar</v>
      </c>
      <c r="L5"/>
    </row>
    <row r="6" spans="1:16" ht="13.5" thickBot="1">
      <c r="A6" s="21"/>
      <c r="B6" s="22"/>
      <c r="C6" s="22"/>
      <c r="D6" s="26" t="s">
        <v>1</v>
      </c>
      <c r="E6" s="334" t="s">
        <v>328</v>
      </c>
      <c r="F6" s="291">
        <v>99</v>
      </c>
      <c r="G6" s="292" t="s">
        <v>2</v>
      </c>
      <c r="H6" s="293" t="s">
        <v>3</v>
      </c>
      <c r="I6" s="30"/>
      <c r="K6" s="424" t="s">
        <v>4</v>
      </c>
      <c r="L6" s="425"/>
    </row>
    <row r="7" spans="1:16" ht="12.75">
      <c r="A7" s="31" t="s">
        <v>5</v>
      </c>
      <c r="B7" s="22"/>
      <c r="D7" s="32">
        <f>C186+C206</f>
        <v>468.54400000000004</v>
      </c>
      <c r="E7" s="335">
        <f>736.504-E11-E12</f>
        <v>514.48599999999999</v>
      </c>
      <c r="F7" s="264">
        <v>541.20000000000005</v>
      </c>
      <c r="G7" s="265">
        <f>D7*1.1</f>
        <v>515.39840000000004</v>
      </c>
      <c r="H7" s="266">
        <f>D7*0.9</f>
        <v>421.68960000000004</v>
      </c>
      <c r="I7" s="33"/>
      <c r="K7" s="34" t="s">
        <v>6</v>
      </c>
      <c r="L7" s="35">
        <f>C113</f>
        <v>16.5</v>
      </c>
      <c r="N7"/>
      <c r="O7"/>
    </row>
    <row r="8" spans="1:16" ht="12.75">
      <c r="A8" s="31" t="s">
        <v>380</v>
      </c>
      <c r="B8" s="22"/>
      <c r="C8" s="36"/>
      <c r="D8" s="37">
        <f>70+70</f>
        <v>140</v>
      </c>
      <c r="E8" s="335">
        <f>71.396+94.42</f>
        <v>165.816</v>
      </c>
      <c r="F8" s="267">
        <f>39.366+43.281</f>
        <v>82.646999999999991</v>
      </c>
      <c r="G8" s="268">
        <f>73+105</f>
        <v>178</v>
      </c>
      <c r="H8" s="266">
        <f>65.7+60</f>
        <v>125.7</v>
      </c>
      <c r="I8" s="30"/>
      <c r="K8" s="38" t="s">
        <v>7</v>
      </c>
      <c r="L8" s="39">
        <f>C114+C190</f>
        <v>0</v>
      </c>
      <c r="N8"/>
      <c r="O8"/>
    </row>
    <row r="9" spans="1:16" ht="12.75">
      <c r="A9" s="31" t="s">
        <v>8</v>
      </c>
      <c r="B9" s="22"/>
      <c r="C9" s="10"/>
      <c r="D9" s="37">
        <v>20</v>
      </c>
      <c r="E9" s="335">
        <v>36.81</v>
      </c>
      <c r="F9" s="267">
        <v>20.407</v>
      </c>
      <c r="G9" s="268">
        <v>60</v>
      </c>
      <c r="H9" s="266">
        <v>20</v>
      </c>
      <c r="I9" s="30"/>
      <c r="K9" s="38" t="s">
        <v>9</v>
      </c>
      <c r="L9" s="263">
        <f>C120+C192</f>
        <v>20</v>
      </c>
      <c r="N9"/>
      <c r="O9"/>
    </row>
    <row r="10" spans="1:16" ht="12.75">
      <c r="A10" s="31" t="s">
        <v>10</v>
      </c>
      <c r="B10" s="22"/>
      <c r="C10" s="22"/>
      <c r="D10" s="37">
        <v>34.118000000000002</v>
      </c>
      <c r="E10" s="335">
        <v>33.024999999999999</v>
      </c>
      <c r="F10" s="267">
        <v>77</v>
      </c>
      <c r="G10" s="268">
        <v>0</v>
      </c>
      <c r="H10" s="266">
        <v>0</v>
      </c>
      <c r="I10" s="40"/>
      <c r="K10" s="38" t="s">
        <v>11</v>
      </c>
      <c r="L10" s="39">
        <f>C122+C193</f>
        <v>0</v>
      </c>
      <c r="N10"/>
      <c r="O10"/>
    </row>
    <row r="11" spans="1:16" ht="12.75">
      <c r="A11" s="31" t="s">
        <v>330</v>
      </c>
      <c r="B11" s="22"/>
      <c r="C11" s="22"/>
      <c r="D11" s="37">
        <f>110+15+0.4</f>
        <v>125.4</v>
      </c>
      <c r="E11" s="335">
        <v>126.13</v>
      </c>
      <c r="F11" s="267">
        <v>114.28</v>
      </c>
      <c r="G11" s="268">
        <v>145</v>
      </c>
      <c r="H11" s="266">
        <v>90</v>
      </c>
      <c r="I11" s="30"/>
      <c r="K11" s="38" t="s">
        <v>12</v>
      </c>
      <c r="L11" s="39">
        <f>C129+C194</f>
        <v>0</v>
      </c>
      <c r="N11"/>
      <c r="O11"/>
    </row>
    <row r="12" spans="1:16" ht="12.75">
      <c r="A12" s="31" t="s">
        <v>13</v>
      </c>
      <c r="B12" s="22"/>
      <c r="C12" s="22"/>
      <c r="D12" s="37">
        <v>95</v>
      </c>
      <c r="E12" s="335">
        <v>95.888000000000005</v>
      </c>
      <c r="F12" s="267">
        <v>106.53</v>
      </c>
      <c r="G12" s="268">
        <f>90*1.05</f>
        <v>94.5</v>
      </c>
      <c r="H12" s="266">
        <f>90*0.95</f>
        <v>85.5</v>
      </c>
      <c r="I12" s="30"/>
      <c r="K12" s="38" t="s">
        <v>14</v>
      </c>
      <c r="L12" s="39">
        <f>C139+C197</f>
        <v>65</v>
      </c>
      <c r="N12"/>
      <c r="O12"/>
    </row>
    <row r="13" spans="1:16" ht="12.75">
      <c r="A13" s="31" t="s">
        <v>15</v>
      </c>
      <c r="B13" s="22"/>
      <c r="C13" s="22"/>
      <c r="D13" s="37">
        <v>55</v>
      </c>
      <c r="E13" s="335">
        <v>55</v>
      </c>
      <c r="F13" s="267">
        <v>53.493000000000002</v>
      </c>
      <c r="G13" s="268">
        <v>180</v>
      </c>
      <c r="H13" s="266">
        <v>0</v>
      </c>
      <c r="I13" s="30"/>
      <c r="J13"/>
      <c r="K13" s="38" t="s">
        <v>16</v>
      </c>
      <c r="L13" s="39">
        <f>C138+C196</f>
        <v>33</v>
      </c>
      <c r="N13"/>
      <c r="O13"/>
    </row>
    <row r="14" spans="1:16" ht="12.75">
      <c r="A14" s="31" t="s">
        <v>17</v>
      </c>
      <c r="B14" s="22"/>
      <c r="C14" s="22"/>
      <c r="D14" s="37">
        <f>B67</f>
        <v>11.058</v>
      </c>
      <c r="E14" s="335">
        <v>10.558</v>
      </c>
      <c r="F14" s="267">
        <v>6.7</v>
      </c>
      <c r="G14" s="268">
        <f>D14*1.05</f>
        <v>11.610900000000001</v>
      </c>
      <c r="H14" s="266">
        <f>D14*0.95</f>
        <v>10.505099999999999</v>
      </c>
      <c r="I14" s="30"/>
      <c r="K14" s="38" t="s">
        <v>18</v>
      </c>
      <c r="L14" s="39">
        <f>C142+C198</f>
        <v>30</v>
      </c>
      <c r="N14"/>
      <c r="O14"/>
    </row>
    <row r="15" spans="1:16" ht="12.75">
      <c r="A15" s="31" t="s">
        <v>373</v>
      </c>
      <c r="B15" s="22"/>
      <c r="C15" s="22"/>
      <c r="D15" s="37">
        <f>SUM(D16:D18)</f>
        <v>228</v>
      </c>
      <c r="E15" s="335">
        <f>SUM(E16:E18)</f>
        <v>201</v>
      </c>
      <c r="F15" s="267">
        <f>SUM(F16:F18)</f>
        <v>141</v>
      </c>
      <c r="G15" s="268">
        <v>1174</v>
      </c>
      <c r="H15" s="266">
        <v>0</v>
      </c>
      <c r="I15" s="30"/>
      <c r="K15" s="38" t="s">
        <v>20</v>
      </c>
      <c r="L15" s="39">
        <f>C154+C200</f>
        <v>20</v>
      </c>
      <c r="N15"/>
      <c r="O15"/>
    </row>
    <row r="16" spans="1:16" ht="12.75">
      <c r="A16" s="31" t="s">
        <v>368</v>
      </c>
      <c r="B16" s="41"/>
      <c r="C16" s="22"/>
      <c r="D16" s="213">
        <v>160</v>
      </c>
      <c r="E16" s="335">
        <f>127+5</f>
        <v>132</v>
      </c>
      <c r="F16" s="267">
        <v>75</v>
      </c>
      <c r="G16" s="268"/>
      <c r="H16" s="266"/>
      <c r="I16" s="30"/>
      <c r="K16" s="38" t="s">
        <v>22</v>
      </c>
      <c r="L16" s="39">
        <f>C110</f>
        <v>0</v>
      </c>
      <c r="N16"/>
      <c r="O16"/>
      <c r="P16"/>
    </row>
    <row r="17" spans="1:36" ht="12.75">
      <c r="A17" s="31" t="s">
        <v>369</v>
      </c>
      <c r="B17" s="41"/>
      <c r="C17" s="22"/>
      <c r="D17" s="213">
        <v>10</v>
      </c>
      <c r="E17" s="335">
        <v>10</v>
      </c>
      <c r="F17" s="267">
        <v>8</v>
      </c>
      <c r="G17" s="268"/>
      <c r="H17" s="266"/>
      <c r="I17" s="30"/>
      <c r="K17" s="38" t="s">
        <v>24</v>
      </c>
      <c r="L17" s="39">
        <f>C172+C202</f>
        <v>40</v>
      </c>
      <c r="N17"/>
      <c r="O17"/>
      <c r="P17"/>
    </row>
    <row r="18" spans="1:36" ht="12.75">
      <c r="A18" s="31" t="s">
        <v>370</v>
      </c>
      <c r="B18" s="41"/>
      <c r="C18" s="22"/>
      <c r="D18" s="213">
        <v>58</v>
      </c>
      <c r="E18" s="335">
        <v>59</v>
      </c>
      <c r="F18" s="267">
        <v>58</v>
      </c>
      <c r="G18" s="268"/>
      <c r="H18" s="266"/>
      <c r="I18" s="30"/>
      <c r="K18" s="38" t="s">
        <v>26</v>
      </c>
      <c r="L18" s="39">
        <f>C173</f>
        <v>19</v>
      </c>
      <c r="N18"/>
      <c r="O18"/>
      <c r="P18"/>
    </row>
    <row r="19" spans="1:36" ht="13.5" thickBot="1">
      <c r="A19" s="31" t="s">
        <v>21</v>
      </c>
      <c r="B19" s="36"/>
      <c r="C19" s="36"/>
      <c r="D19" s="37">
        <f>F68-B67</f>
        <v>155</v>
      </c>
      <c r="E19" s="335">
        <f>Jan!D16</f>
        <v>257.21000000000004</v>
      </c>
      <c r="F19" s="267">
        <v>0</v>
      </c>
      <c r="G19" s="268">
        <v>0</v>
      </c>
      <c r="H19" s="266">
        <v>0</v>
      </c>
      <c r="I19" s="42"/>
      <c r="K19" s="47" t="s">
        <v>28</v>
      </c>
      <c r="L19" s="48">
        <f>C177+C205</f>
        <v>65</v>
      </c>
      <c r="N19"/>
      <c r="O19"/>
    </row>
    <row r="20" spans="1:36" ht="12.75">
      <c r="A20" s="31" t="s">
        <v>23</v>
      </c>
      <c r="B20" s="22"/>
      <c r="C20" s="22"/>
      <c r="D20" s="43">
        <f>SUM(D7:D19)-D15</f>
        <v>1332.1200000000001</v>
      </c>
      <c r="E20" s="336">
        <f>SUM(E7:E19)-E15</f>
        <v>1495.9230000000002</v>
      </c>
      <c r="F20" s="336">
        <f>SUM(F7:F19)-F15</f>
        <v>1143.2570000000001</v>
      </c>
      <c r="G20" s="269">
        <f>SUM(G7:G19)</f>
        <v>2358.5092999999997</v>
      </c>
      <c r="H20" s="270">
        <f>SUM(H7:H19)</f>
        <v>753.39470000000006</v>
      </c>
      <c r="I20" s="33"/>
      <c r="L20"/>
      <c r="N20"/>
      <c r="O20" s="45"/>
    </row>
    <row r="21" spans="1:36" ht="12.75">
      <c r="A21" s="31" t="s">
        <v>25</v>
      </c>
      <c r="B21" s="22"/>
      <c r="C21" s="22"/>
      <c r="D21" s="46">
        <f>D32</f>
        <v>0</v>
      </c>
      <c r="E21" s="337">
        <v>-64.516129032258064</v>
      </c>
      <c r="F21" s="271">
        <v>0</v>
      </c>
      <c r="G21" s="272">
        <v>0</v>
      </c>
      <c r="H21" s="273">
        <v>0</v>
      </c>
      <c r="I21" s="30"/>
      <c r="L21"/>
      <c r="N21" s="45"/>
      <c r="O21"/>
    </row>
    <row r="22" spans="1:36" ht="12.75">
      <c r="A22" s="31" t="s">
        <v>27</v>
      </c>
      <c r="B22" s="22"/>
      <c r="C22" s="22"/>
      <c r="D22" s="37">
        <v>2.5</v>
      </c>
      <c r="E22" s="267">
        <v>2.5</v>
      </c>
      <c r="F22" s="267">
        <v>2.5</v>
      </c>
      <c r="G22" s="274">
        <v>0</v>
      </c>
      <c r="H22" s="273">
        <v>0</v>
      </c>
      <c r="I22" s="30"/>
      <c r="L22"/>
      <c r="N22"/>
    </row>
    <row r="23" spans="1:36" ht="12.75">
      <c r="A23" s="49"/>
      <c r="B23" s="22"/>
      <c r="C23" s="50" t="s">
        <v>29</v>
      </c>
      <c r="D23" s="314">
        <f>D22+D21+D20</f>
        <v>1334.6200000000001</v>
      </c>
      <c r="E23" s="269">
        <f>E22+E21+E20</f>
        <v>1433.9068709677422</v>
      </c>
      <c r="F23" s="269">
        <f>F22+F21+F20</f>
        <v>1145.7570000000001</v>
      </c>
      <c r="G23" s="269">
        <f>G22+G21+G20</f>
        <v>2358.5092999999997</v>
      </c>
      <c r="H23" s="275">
        <f>H22+H21+H20</f>
        <v>753.39470000000006</v>
      </c>
      <c r="I23" s="30"/>
      <c r="L23"/>
    </row>
    <row r="24" spans="1:36" ht="12.75">
      <c r="A24" s="31" t="s">
        <v>30</v>
      </c>
      <c r="B24" s="22"/>
      <c r="C24" s="22"/>
      <c r="D24" s="46">
        <f>D44</f>
        <v>1065.7760000000001</v>
      </c>
      <c r="E24" s="338">
        <f>Jan!D21</f>
        <v>1168.8259999999998</v>
      </c>
      <c r="F24" s="338">
        <v>1660</v>
      </c>
      <c r="G24" s="339">
        <f>D24</f>
        <v>1065.7760000000001</v>
      </c>
      <c r="H24" s="340">
        <f>D24</f>
        <v>1065.7760000000001</v>
      </c>
      <c r="I24" s="30"/>
      <c r="L24"/>
    </row>
    <row r="25" spans="1:36" ht="12.75">
      <c r="A25" s="315" t="s">
        <v>334</v>
      </c>
      <c r="B25" s="22"/>
      <c r="C25" s="22"/>
      <c r="D25" s="46">
        <v>44.4</v>
      </c>
      <c r="E25" s="267">
        <v>54</v>
      </c>
      <c r="F25" s="267"/>
      <c r="G25" s="271"/>
      <c r="H25" s="273"/>
      <c r="I25" s="30"/>
      <c r="L25"/>
    </row>
    <row r="26" spans="1:36" ht="13.5" thickBot="1">
      <c r="A26" s="51"/>
      <c r="B26" s="52"/>
      <c r="C26" s="53" t="s">
        <v>31</v>
      </c>
      <c r="D26" s="54">
        <f>D24+D25-D23</f>
        <v>-224.44399999999996</v>
      </c>
      <c r="E26" s="278">
        <f>E24-E23+E25</f>
        <v>-211.08087096774238</v>
      </c>
      <c r="F26" s="278">
        <f>F24-F23</f>
        <v>514.24299999999994</v>
      </c>
      <c r="G26" s="278">
        <f>+G23-G24</f>
        <v>1292.7332999999996</v>
      </c>
      <c r="H26" s="278">
        <f>+(H23-H24)</f>
        <v>-312.38130000000001</v>
      </c>
      <c r="I26" s="33"/>
      <c r="L26"/>
    </row>
    <row r="27" spans="1:36" ht="4.5" customHeight="1">
      <c r="A27" s="55"/>
      <c r="B27" s="22"/>
      <c r="C27" s="56"/>
      <c r="D27" s="57"/>
      <c r="E27" s="58"/>
      <c r="F27" s="58"/>
      <c r="G27" s="59"/>
      <c r="H27" s="59"/>
      <c r="I27" s="33"/>
      <c r="K27" s="65"/>
      <c r="L27" s="66"/>
    </row>
    <row r="28" spans="1:36" ht="12.75">
      <c r="A28" s="49"/>
      <c r="C28" s="60" t="s">
        <v>32</v>
      </c>
      <c r="D28" s="238">
        <v>0</v>
      </c>
      <c r="E28" s="58"/>
      <c r="F28" s="58"/>
      <c r="G28" s="58"/>
      <c r="H28" s="58"/>
      <c r="I28" s="33"/>
      <c r="L28"/>
    </row>
    <row r="29" spans="1:36" s="67" customFormat="1" ht="13.5" customHeight="1" thickBot="1">
      <c r="A29" s="61"/>
      <c r="B29" s="62"/>
      <c r="C29" s="63" t="s">
        <v>33</v>
      </c>
      <c r="D29" s="64">
        <f>D26+D28</f>
        <v>-224.44399999999996</v>
      </c>
      <c r="E29" s="58"/>
      <c r="F29" s="58"/>
      <c r="G29" s="58"/>
      <c r="H29" s="58"/>
      <c r="I29" s="33"/>
      <c r="J29" s="65"/>
      <c r="K29" s="12"/>
      <c r="L2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</row>
    <row r="30" spans="1:36" ht="8.25" customHeight="1" thickBot="1">
      <c r="A30" s="68"/>
      <c r="B30" s="69"/>
      <c r="C30" s="70"/>
      <c r="D30" s="71"/>
      <c r="E30" s="10"/>
      <c r="F30" s="10"/>
      <c r="G30" s="72"/>
      <c r="H30" s="73"/>
      <c r="I30" s="74"/>
      <c r="K30"/>
    </row>
    <row r="31" spans="1:36" ht="13.5" thickBot="1">
      <c r="A31" s="429" t="s">
        <v>389</v>
      </c>
      <c r="B31" s="430"/>
      <c r="C31" s="430"/>
      <c r="D31" s="431"/>
      <c r="E31" s="75" t="s">
        <v>35</v>
      </c>
      <c r="F31" s="76"/>
      <c r="G31" s="77"/>
      <c r="H31" s="78"/>
      <c r="I31" s="426" t="s">
        <v>36</v>
      </c>
      <c r="J31" s="427"/>
      <c r="K31" s="96"/>
      <c r="L31" s="96"/>
    </row>
    <row r="32" spans="1:36" ht="13.5" thickBot="1">
      <c r="A32" s="31" t="s">
        <v>37</v>
      </c>
      <c r="B32" s="72"/>
      <c r="C32" s="72"/>
      <c r="D32" s="282">
        <v>0</v>
      </c>
      <c r="E32" s="79" t="s">
        <v>38</v>
      </c>
      <c r="F32" s="80"/>
      <c r="G32" s="81" t="s">
        <v>39</v>
      </c>
      <c r="H32" s="82"/>
      <c r="I32" s="83" t="s">
        <v>40</v>
      </c>
      <c r="J32" s="84" t="s">
        <v>41</v>
      </c>
      <c r="K32" s="99"/>
      <c r="L32" s="99"/>
    </row>
    <row r="33" spans="1:18" ht="13.5" thickBot="1">
      <c r="A33" s="85" t="s">
        <v>42</v>
      </c>
      <c r="B33" s="86">
        <v>0</v>
      </c>
      <c r="C33" s="87" t="s">
        <v>43</v>
      </c>
      <c r="D33" s="88"/>
      <c r="E33" s="283"/>
      <c r="F33" s="284"/>
      <c r="G33" s="90"/>
      <c r="H33" s="91"/>
      <c r="I33" s="239">
        <f>57.5+5</f>
        <v>62.5</v>
      </c>
      <c r="J33" s="240">
        <f>60+5+10+15+10</f>
        <v>100</v>
      </c>
      <c r="K33" s="74"/>
      <c r="L33" s="74"/>
    </row>
    <row r="34" spans="1:18" ht="13.5" thickBot="1">
      <c r="A34" s="85" t="s">
        <v>44</v>
      </c>
      <c r="B34" s="92">
        <v>0</v>
      </c>
      <c r="C34" s="22"/>
      <c r="D34" s="93"/>
      <c r="E34" s="90"/>
      <c r="F34" s="91"/>
      <c r="G34" s="90"/>
      <c r="H34" s="91"/>
      <c r="I34" s="307" t="s">
        <v>45</v>
      </c>
      <c r="J34" s="95">
        <f>+I33-J33</f>
        <v>-37.5</v>
      </c>
      <c r="K34"/>
      <c r="L34"/>
    </row>
    <row r="35" spans="1:18" ht="13.5" thickBot="1">
      <c r="A35" s="97"/>
      <c r="B35" s="52"/>
      <c r="C35" s="52"/>
      <c r="D35" s="98"/>
      <c r="E35" s="283"/>
      <c r="F35" s="284"/>
      <c r="G35" s="90"/>
      <c r="H35" s="91"/>
      <c r="I35"/>
      <c r="J35"/>
      <c r="K35"/>
      <c r="L35"/>
    </row>
    <row r="36" spans="1:18" ht="13.5" thickBot="1">
      <c r="A36" s="100"/>
      <c r="B36" s="101"/>
      <c r="C36" s="101"/>
      <c r="D36" s="102"/>
      <c r="E36" s="283"/>
      <c r="F36" s="284"/>
      <c r="G36" s="90"/>
      <c r="H36" s="91"/>
      <c r="I36" s="426" t="s">
        <v>46</v>
      </c>
      <c r="J36" s="428"/>
      <c r="K36" s="112"/>
      <c r="L36"/>
    </row>
    <row r="37" spans="1:18" ht="13.5" thickBot="1">
      <c r="A37" s="103" t="s">
        <v>47</v>
      </c>
      <c r="B37" s="104"/>
      <c r="C37" s="104"/>
      <c r="D37" s="105"/>
      <c r="E37" s="89"/>
      <c r="F37" s="218"/>
      <c r="G37" s="106"/>
      <c r="H37" s="107"/>
      <c r="I37" s="83" t="s">
        <v>48</v>
      </c>
      <c r="J37" s="84" t="s">
        <v>49</v>
      </c>
      <c r="K37" s="112"/>
      <c r="L37"/>
    </row>
    <row r="38" spans="1:18" ht="13.5" thickBot="1">
      <c r="A38" s="31"/>
      <c r="B38" s="22"/>
      <c r="C38" s="22"/>
      <c r="D38" s="108"/>
      <c r="E38" s="89"/>
      <c r="F38" s="218"/>
      <c r="G38" s="106"/>
      <c r="H38" s="107"/>
      <c r="I38" s="305">
        <v>0</v>
      </c>
      <c r="J38" s="241">
        <f>10-30+10</f>
        <v>-10</v>
      </c>
      <c r="K38" s="112"/>
      <c r="L38"/>
    </row>
    <row r="39" spans="1:18" ht="13.5" thickBot="1">
      <c r="A39" s="31" t="s">
        <v>50</v>
      </c>
      <c r="B39" s="22"/>
      <c r="C39" s="22"/>
      <c r="D39" s="110">
        <f>K191/1000</f>
        <v>89.093000000000004</v>
      </c>
      <c r="E39" s="89"/>
      <c r="F39" s="218"/>
      <c r="G39" s="106"/>
      <c r="H39" s="107"/>
      <c r="I39" s="111" t="s">
        <v>51</v>
      </c>
      <c r="J39" s="84" t="s">
        <v>52</v>
      </c>
      <c r="K39"/>
      <c r="L39"/>
    </row>
    <row r="40" spans="1:18" ht="13.5" thickBot="1">
      <c r="A40" s="31" t="s">
        <v>53</v>
      </c>
      <c r="B40" s="22"/>
      <c r="C40" s="22"/>
      <c r="D40" s="108">
        <f>L68</f>
        <v>256.87900000000002</v>
      </c>
      <c r="E40" s="89"/>
      <c r="F40" s="218"/>
      <c r="G40" s="113"/>
      <c r="H40" s="114"/>
      <c r="I40" s="242">
        <v>40</v>
      </c>
      <c r="J40" s="306">
        <v>0</v>
      </c>
      <c r="K40"/>
      <c r="L40"/>
    </row>
    <row r="41" spans="1:18" ht="13.5" thickBot="1">
      <c r="A41" s="31" t="s">
        <v>54</v>
      </c>
      <c r="B41" s="22"/>
      <c r="C41" s="22"/>
      <c r="D41" s="281">
        <v>40</v>
      </c>
      <c r="E41" s="89"/>
      <c r="F41" s="218"/>
      <c r="G41" s="113"/>
      <c r="H41" s="114"/>
      <c r="I41" s="308" t="s">
        <v>55</v>
      </c>
      <c r="J41" s="95">
        <f>J34+I38+J38+I40+J40</f>
        <v>-7.5</v>
      </c>
      <c r="K41"/>
      <c r="L41"/>
    </row>
    <row r="42" spans="1:18" ht="13.5" thickBot="1">
      <c r="A42" s="31" t="s">
        <v>56</v>
      </c>
      <c r="B42" s="22"/>
      <c r="C42" s="22"/>
      <c r="D42" s="117">
        <f>642.804+10+20+7</f>
        <v>679.80399999999997</v>
      </c>
      <c r="E42" s="89"/>
      <c r="F42" s="218"/>
      <c r="G42" s="10"/>
      <c r="H42" s="11"/>
      <c r="K42"/>
      <c r="L42"/>
    </row>
    <row r="43" spans="1:18" ht="13.5" thickBot="1">
      <c r="A43" s="31"/>
      <c r="B43" s="22"/>
      <c r="C43" s="22"/>
      <c r="D43" s="108"/>
      <c r="E43" s="89"/>
      <c r="F43" s="218"/>
      <c r="G43" s="10"/>
      <c r="H43" s="11"/>
      <c r="I43" s="426" t="s">
        <v>57</v>
      </c>
      <c r="J43" s="427"/>
      <c r="K43"/>
      <c r="L43"/>
    </row>
    <row r="44" spans="1:18" ht="13.5" thickBot="1">
      <c r="A44" s="51"/>
      <c r="B44" s="118" t="s">
        <v>58</v>
      </c>
      <c r="C44" s="119" t="str">
        <f>+F5</f>
        <v>Mar</v>
      </c>
      <c r="D44" s="120">
        <f>SUM(D39:D42)</f>
        <v>1065.7760000000001</v>
      </c>
      <c r="E44" s="121" t="s">
        <v>59</v>
      </c>
      <c r="F44" s="122">
        <f>SUM(F33:F42)</f>
        <v>0</v>
      </c>
      <c r="G44" s="121" t="s">
        <v>59</v>
      </c>
      <c r="H44" s="123">
        <f>SUM(H33:H43)</f>
        <v>0</v>
      </c>
      <c r="I44"/>
      <c r="J44" s="95">
        <v>15</v>
      </c>
      <c r="K44"/>
      <c r="L44"/>
    </row>
    <row r="45" spans="1:18" ht="12.75" thickBot="1"/>
    <row r="46" spans="1:18" ht="12.75" thickBot="1">
      <c r="A46" s="124" t="s">
        <v>60</v>
      </c>
      <c r="B46" s="125"/>
      <c r="C46" s="125"/>
      <c r="D46" s="125"/>
      <c r="E46" s="126"/>
      <c r="F46" s="127"/>
      <c r="G46" s="124" t="s">
        <v>61</v>
      </c>
      <c r="H46" s="125"/>
      <c r="I46" s="125"/>
      <c r="J46" s="125"/>
      <c r="K46" s="125"/>
      <c r="L46" s="128"/>
      <c r="P46" s="12" t="s">
        <v>62</v>
      </c>
    </row>
    <row r="47" spans="1:18">
      <c r="A47" s="129" t="s">
        <v>63</v>
      </c>
      <c r="B47" s="130"/>
      <c r="C47" s="131" t="s">
        <v>64</v>
      </c>
      <c r="D47" s="130"/>
      <c r="E47" s="131" t="s">
        <v>65</v>
      </c>
      <c r="F47" s="132"/>
      <c r="G47" s="133"/>
      <c r="H47" s="130"/>
      <c r="I47" s="131" t="s">
        <v>64</v>
      </c>
      <c r="J47" s="130"/>
      <c r="K47" s="131" t="s">
        <v>65</v>
      </c>
      <c r="L47" s="132"/>
      <c r="P47" s="12" t="s">
        <v>66</v>
      </c>
      <c r="Q47" s="12">
        <v>6789</v>
      </c>
      <c r="R47" s="12">
        <v>8000</v>
      </c>
    </row>
    <row r="48" spans="1:18">
      <c r="A48" s="134" t="s">
        <v>67</v>
      </c>
      <c r="B48" s="135">
        <v>0.2</v>
      </c>
      <c r="C48" s="136" t="s">
        <v>317</v>
      </c>
      <c r="D48" s="135">
        <v>10</v>
      </c>
      <c r="E48" s="215" t="s">
        <v>311</v>
      </c>
      <c r="F48" s="135">
        <v>10</v>
      </c>
      <c r="G48" s="138"/>
      <c r="H48" s="139"/>
      <c r="I48" s="136" t="s">
        <v>68</v>
      </c>
      <c r="J48" s="243">
        <v>40</v>
      </c>
      <c r="K48" s="136" t="s">
        <v>335</v>
      </c>
      <c r="L48" s="140">
        <v>25</v>
      </c>
    </row>
    <row r="49" spans="1:12">
      <c r="A49" s="134" t="s">
        <v>69</v>
      </c>
      <c r="B49" s="135">
        <v>0.21199999999999999</v>
      </c>
      <c r="C49" s="136" t="s">
        <v>11</v>
      </c>
      <c r="D49" s="135">
        <v>5</v>
      </c>
      <c r="E49" s="136" t="s">
        <v>97</v>
      </c>
      <c r="F49" s="140">
        <v>5</v>
      </c>
      <c r="G49" s="138"/>
      <c r="H49" s="139"/>
      <c r="I49" s="141" t="s">
        <v>71</v>
      </c>
      <c r="J49" s="257">
        <v>20</v>
      </c>
      <c r="K49" s="136" t="s">
        <v>420</v>
      </c>
      <c r="L49" s="140">
        <v>5</v>
      </c>
    </row>
    <row r="50" spans="1:12">
      <c r="A50" s="134" t="s">
        <v>72</v>
      </c>
      <c r="B50" s="135">
        <v>4.8000000000000001E-2</v>
      </c>
      <c r="C50" s="136" t="s">
        <v>73</v>
      </c>
      <c r="D50" s="135">
        <v>40</v>
      </c>
      <c r="E50" s="136" t="s">
        <v>97</v>
      </c>
      <c r="F50" s="140">
        <v>5</v>
      </c>
      <c r="G50" s="138"/>
      <c r="H50" s="139"/>
      <c r="I50" s="141" t="s">
        <v>75</v>
      </c>
      <c r="J50" s="135">
        <v>20</v>
      </c>
      <c r="K50" s="136"/>
      <c r="L50" s="140"/>
    </row>
    <row r="51" spans="1:12">
      <c r="A51" s="134" t="s">
        <v>76</v>
      </c>
      <c r="B51" s="135">
        <v>0.45</v>
      </c>
      <c r="C51" s="136" t="s">
        <v>348</v>
      </c>
      <c r="D51" s="135">
        <v>0</v>
      </c>
      <c r="E51" s="136" t="s">
        <v>97</v>
      </c>
      <c r="F51" s="140">
        <v>10</v>
      </c>
      <c r="G51" s="138"/>
      <c r="H51" s="139"/>
      <c r="I51" s="141" t="s">
        <v>78</v>
      </c>
      <c r="J51" s="135">
        <v>20</v>
      </c>
      <c r="K51" s="136"/>
      <c r="L51" s="140"/>
    </row>
    <row r="52" spans="1:12">
      <c r="A52" s="134" t="s">
        <v>79</v>
      </c>
      <c r="B52" s="135">
        <v>4.8000000000000001E-2</v>
      </c>
      <c r="C52" s="136" t="s">
        <v>80</v>
      </c>
      <c r="D52" s="135">
        <v>20</v>
      </c>
      <c r="E52" s="136" t="s">
        <v>97</v>
      </c>
      <c r="F52" s="140">
        <v>10</v>
      </c>
      <c r="G52" s="138"/>
      <c r="H52" s="139"/>
      <c r="I52" s="141" t="s">
        <v>82</v>
      </c>
      <c r="J52" s="135">
        <v>3.879</v>
      </c>
      <c r="K52" s="136"/>
      <c r="L52" s="140"/>
    </row>
    <row r="53" spans="1:12">
      <c r="A53" s="134" t="s">
        <v>83</v>
      </c>
      <c r="B53" s="135">
        <v>0.5</v>
      </c>
      <c r="C53" s="136" t="s">
        <v>85</v>
      </c>
      <c r="D53" s="135">
        <v>6</v>
      </c>
      <c r="E53" s="136"/>
      <c r="F53" s="140"/>
      <c r="G53" s="138"/>
      <c r="H53" s="139"/>
      <c r="I53" s="141" t="s">
        <v>87</v>
      </c>
      <c r="J53" s="135">
        <v>33</v>
      </c>
      <c r="K53" s="136"/>
      <c r="L53" s="140"/>
    </row>
    <row r="54" spans="1:12">
      <c r="A54" s="134" t="s">
        <v>85</v>
      </c>
      <c r="B54" s="341">
        <v>9.6</v>
      </c>
      <c r="C54" s="136" t="s">
        <v>89</v>
      </c>
      <c r="D54" s="135">
        <v>2</v>
      </c>
      <c r="E54" s="136"/>
      <c r="F54" s="140"/>
      <c r="G54" s="138"/>
      <c r="H54" s="139"/>
      <c r="I54" s="141" t="s">
        <v>90</v>
      </c>
      <c r="J54" s="135">
        <v>15</v>
      </c>
      <c r="K54" s="136"/>
      <c r="L54" s="140"/>
    </row>
    <row r="55" spans="1:12">
      <c r="A55" s="134"/>
      <c r="B55" s="135"/>
      <c r="C55" s="136"/>
      <c r="D55" s="135"/>
      <c r="E55" s="136"/>
      <c r="F55" s="140"/>
      <c r="G55" s="138"/>
      <c r="H55" s="139"/>
      <c r="I55" s="141" t="s">
        <v>91</v>
      </c>
      <c r="J55" s="135">
        <v>2</v>
      </c>
      <c r="K55" s="136"/>
      <c r="L55" s="140"/>
    </row>
    <row r="56" spans="1:12">
      <c r="A56" s="134"/>
      <c r="B56" s="135"/>
      <c r="C56" s="136"/>
      <c r="D56" s="135"/>
      <c r="E56" s="136"/>
      <c r="F56" s="140"/>
      <c r="G56" s="138"/>
      <c r="H56" s="139"/>
      <c r="I56" s="141" t="s">
        <v>93</v>
      </c>
      <c r="J56" s="135">
        <v>30</v>
      </c>
      <c r="K56" s="136"/>
      <c r="L56" s="140"/>
    </row>
    <row r="57" spans="1:12">
      <c r="A57" s="138"/>
      <c r="B57" s="139"/>
      <c r="C57" s="136"/>
      <c r="D57" s="135"/>
      <c r="E57" s="136"/>
      <c r="F57" s="140"/>
      <c r="G57" s="138"/>
      <c r="H57" s="139"/>
      <c r="I57" s="141" t="s">
        <v>94</v>
      </c>
      <c r="J57" s="135">
        <v>5</v>
      </c>
      <c r="K57" s="136"/>
      <c r="L57" s="140"/>
    </row>
    <row r="58" spans="1:12">
      <c r="A58" s="138"/>
      <c r="B58" s="139"/>
      <c r="C58" s="136"/>
      <c r="D58" s="135"/>
      <c r="E58" s="136"/>
      <c r="F58" s="140"/>
      <c r="G58" s="138"/>
      <c r="H58" s="139"/>
      <c r="I58" s="141" t="s">
        <v>95</v>
      </c>
      <c r="J58" s="135">
        <v>20</v>
      </c>
      <c r="K58" s="136"/>
      <c r="L58" s="140"/>
    </row>
    <row r="59" spans="1:12">
      <c r="A59" s="138"/>
      <c r="B59" s="139"/>
      <c r="C59" s="136"/>
      <c r="D59" s="135"/>
      <c r="E59" s="136"/>
      <c r="F59" s="135"/>
      <c r="G59" s="138"/>
      <c r="H59" s="139"/>
      <c r="I59" s="141"/>
      <c r="J59" s="135"/>
      <c r="K59" s="136"/>
      <c r="L59" s="140"/>
    </row>
    <row r="60" spans="1:12">
      <c r="A60" s="138"/>
      <c r="B60" s="139"/>
      <c r="C60" s="136"/>
      <c r="D60" s="135"/>
      <c r="E60" s="136"/>
      <c r="F60" s="137"/>
      <c r="G60" s="138"/>
      <c r="H60" s="139"/>
      <c r="I60" s="141"/>
      <c r="J60" s="135"/>
      <c r="K60" s="136"/>
      <c r="L60" s="140"/>
    </row>
    <row r="61" spans="1:12">
      <c r="A61" s="143"/>
      <c r="B61" s="144"/>
      <c r="C61" s="136"/>
      <c r="D61" s="135"/>
      <c r="E61" s="136"/>
      <c r="F61" s="137"/>
      <c r="G61" s="138"/>
      <c r="H61" s="139"/>
      <c r="I61" s="136"/>
      <c r="J61" s="135"/>
      <c r="K61" s="136"/>
      <c r="L61" s="140"/>
    </row>
    <row r="62" spans="1:12">
      <c r="A62" s="143"/>
      <c r="B62" s="144"/>
      <c r="C62" s="146" t="s">
        <v>98</v>
      </c>
      <c r="D62" s="147"/>
      <c r="E62" s="148"/>
      <c r="F62" s="149"/>
      <c r="G62" s="138"/>
      <c r="H62" s="139"/>
      <c r="I62" s="146" t="s">
        <v>98</v>
      </c>
      <c r="J62" s="150"/>
      <c r="K62" s="216"/>
      <c r="L62" s="217"/>
    </row>
    <row r="63" spans="1:12">
      <c r="A63" s="143"/>
      <c r="B63" s="144"/>
      <c r="C63" s="136" t="s">
        <v>99</v>
      </c>
      <c r="D63" s="135">
        <v>18</v>
      </c>
      <c r="E63" s="136"/>
      <c r="F63" s="140"/>
      <c r="G63" s="151"/>
      <c r="H63" s="139"/>
      <c r="I63" s="136" t="s">
        <v>324</v>
      </c>
      <c r="J63" s="135">
        <v>5</v>
      </c>
      <c r="K63" s="136"/>
      <c r="L63" s="140"/>
    </row>
    <row r="64" spans="1:12">
      <c r="A64" s="143"/>
      <c r="B64" s="144"/>
      <c r="C64" s="136" t="s">
        <v>101</v>
      </c>
      <c r="D64" s="135">
        <v>10</v>
      </c>
      <c r="E64" s="136"/>
      <c r="F64" s="140"/>
      <c r="G64" s="138"/>
      <c r="H64" s="139"/>
      <c r="I64" s="136" t="s">
        <v>100</v>
      </c>
      <c r="J64" s="135">
        <v>8</v>
      </c>
      <c r="K64" s="136"/>
      <c r="L64" s="140"/>
    </row>
    <row r="65" spans="1:15">
      <c r="A65" s="143"/>
      <c r="B65" s="144"/>
      <c r="C65" s="136" t="s">
        <v>414</v>
      </c>
      <c r="D65" s="135">
        <v>4</v>
      </c>
      <c r="E65" s="136"/>
      <c r="F65" s="140"/>
      <c r="G65" s="138"/>
      <c r="H65" s="139"/>
      <c r="I65" s="136" t="s">
        <v>81</v>
      </c>
      <c r="J65" s="135">
        <v>5</v>
      </c>
      <c r="K65" s="136"/>
      <c r="L65" s="140"/>
    </row>
    <row r="66" spans="1:15">
      <c r="A66" s="152"/>
      <c r="B66" s="153"/>
      <c r="C66" s="154"/>
      <c r="D66" s="153"/>
      <c r="E66" s="155"/>
      <c r="F66" s="156"/>
      <c r="G66" s="152"/>
      <c r="H66" s="153"/>
      <c r="I66" s="154"/>
      <c r="J66" s="342"/>
      <c r="K66" s="252"/>
      <c r="L66" s="253"/>
    </row>
    <row r="67" spans="1:15">
      <c r="A67" s="157" t="s">
        <v>103</v>
      </c>
      <c r="B67" s="158">
        <f>SUM(B47:B66)</f>
        <v>11.058</v>
      </c>
      <c r="C67" s="159" t="s">
        <v>103</v>
      </c>
      <c r="D67" s="158">
        <f>SUM(D47:D66)</f>
        <v>115</v>
      </c>
      <c r="E67" s="159" t="s">
        <v>103</v>
      </c>
      <c r="F67" s="160">
        <f>SUM(F47:F66)</f>
        <v>40</v>
      </c>
      <c r="G67" s="157"/>
      <c r="H67" s="158"/>
      <c r="I67" s="159" t="s">
        <v>103</v>
      </c>
      <c r="J67" s="161">
        <f>SUM(J47:J66)</f>
        <v>226.87900000000002</v>
      </c>
      <c r="K67" s="159" t="s">
        <v>103</v>
      </c>
      <c r="L67" s="162">
        <f>SUM(L47:L66)</f>
        <v>30</v>
      </c>
    </row>
    <row r="68" spans="1:15" ht="12.75" thickBot="1">
      <c r="A68" s="163"/>
      <c r="B68" s="164"/>
      <c r="C68" s="165"/>
      <c r="D68" s="164"/>
      <c r="E68" s="166" t="s">
        <v>104</v>
      </c>
      <c r="F68" s="167">
        <f>+B67+F67+D67</f>
        <v>166.05799999999999</v>
      </c>
      <c r="G68" s="163"/>
      <c r="H68" s="164"/>
      <c r="I68" s="165"/>
      <c r="J68" s="164"/>
      <c r="K68" s="166" t="s">
        <v>104</v>
      </c>
      <c r="L68" s="167">
        <f>J67+L67</f>
        <v>256.87900000000002</v>
      </c>
    </row>
    <row r="69" spans="1:15" ht="12.75">
      <c r="G69" s="168"/>
      <c r="H69"/>
    </row>
    <row r="70" spans="1:15" ht="12.75">
      <c r="A70" s="12" t="s">
        <v>390</v>
      </c>
      <c r="G70" s="12" t="s">
        <v>393</v>
      </c>
      <c r="H70"/>
    </row>
    <row r="71" spans="1:15" ht="12.75">
      <c r="A71" s="12" t="s">
        <v>391</v>
      </c>
      <c r="G71" s="310" t="s">
        <v>392</v>
      </c>
      <c r="H71"/>
    </row>
    <row r="72" spans="1:15" ht="12.75" hidden="1">
      <c r="E72"/>
      <c r="G72" s="12" t="s">
        <v>105</v>
      </c>
      <c r="H72"/>
    </row>
    <row r="73" spans="1:15" ht="24" hidden="1">
      <c r="A73" s="169" t="s">
        <v>106</v>
      </c>
      <c r="B73" s="169" t="s">
        <v>107</v>
      </c>
      <c r="C73" s="169" t="s">
        <v>108</v>
      </c>
      <c r="D73" s="169" t="s">
        <v>109</v>
      </c>
      <c r="E73" s="169" t="s">
        <v>110</v>
      </c>
      <c r="F73" s="169" t="s">
        <v>111</v>
      </c>
      <c r="G73" s="12">
        <v>1.65</v>
      </c>
      <c r="H73"/>
    </row>
    <row r="74" spans="1:15" ht="12.75" hidden="1">
      <c r="A74" t="s">
        <v>112</v>
      </c>
      <c r="B74" t="s">
        <v>113</v>
      </c>
      <c r="C74">
        <v>10</v>
      </c>
      <c r="D74">
        <v>95</v>
      </c>
      <c r="E74">
        <v>0.09</v>
      </c>
      <c r="F74">
        <f>+$G$73*(E74/100)</f>
        <v>1.4849999999999998E-3</v>
      </c>
      <c r="G74"/>
      <c r="H74"/>
      <c r="I74"/>
      <c r="J74"/>
      <c r="K74"/>
      <c r="L74"/>
      <c r="M74"/>
      <c r="N74"/>
      <c r="O74"/>
    </row>
    <row r="75" spans="1:15" ht="12.75" hidden="1">
      <c r="A75"/>
      <c r="B75" t="s">
        <v>114</v>
      </c>
      <c r="C75">
        <v>42</v>
      </c>
      <c r="D75">
        <v>65</v>
      </c>
      <c r="E75">
        <v>0.27</v>
      </c>
      <c r="F75">
        <f>+$G$73*(E75/100)</f>
        <v>4.4549999999999998E-3</v>
      </c>
      <c r="G75"/>
      <c r="H75"/>
      <c r="I75"/>
      <c r="J75"/>
      <c r="K75"/>
      <c r="L75"/>
      <c r="M75"/>
      <c r="N75"/>
      <c r="O75"/>
    </row>
    <row r="76" spans="1:15" ht="12.75" hidden="1">
      <c r="A76"/>
      <c r="B76" t="s">
        <v>115</v>
      </c>
      <c r="C76">
        <v>89</v>
      </c>
      <c r="D76">
        <v>43.87</v>
      </c>
      <c r="E76">
        <v>0.39</v>
      </c>
      <c r="F76">
        <f>+$G$73*(E76/100)</f>
        <v>6.4349999999999997E-3</v>
      </c>
      <c r="G76"/>
      <c r="H76"/>
      <c r="I76"/>
      <c r="J76"/>
      <c r="K76"/>
      <c r="L76"/>
      <c r="M76"/>
      <c r="N76"/>
      <c r="O76"/>
    </row>
    <row r="77" spans="1:15" ht="12.75" hidden="1">
      <c r="A77"/>
      <c r="B77" t="s">
        <v>116</v>
      </c>
      <c r="C77">
        <v>2.44</v>
      </c>
      <c r="D77">
        <v>1.05</v>
      </c>
      <c r="E77">
        <v>0.03</v>
      </c>
      <c r="F77">
        <f>+$G$73*(E77/100)</f>
        <v>4.9499999999999989E-4</v>
      </c>
      <c r="G77"/>
      <c r="H77"/>
      <c r="I77"/>
      <c r="J77"/>
      <c r="K77"/>
      <c r="L77"/>
      <c r="M77"/>
      <c r="N77"/>
      <c r="O77"/>
    </row>
    <row r="78" spans="1:15" ht="12.75" hidden="1">
      <c r="A78"/>
      <c r="B78"/>
      <c r="C78"/>
      <c r="D78"/>
      <c r="E78" s="170" t="s">
        <v>104</v>
      </c>
      <c r="F78">
        <f>SUM(F74:F77)</f>
        <v>1.2869999999999999E-2</v>
      </c>
      <c r="G78"/>
      <c r="H78"/>
      <c r="I78"/>
      <c r="J78"/>
      <c r="K78"/>
      <c r="L78"/>
      <c r="M78"/>
      <c r="N78"/>
      <c r="O78"/>
    </row>
    <row r="79" spans="1:15" ht="12.75" hidden="1">
      <c r="A79"/>
      <c r="B79"/>
      <c r="C79"/>
      <c r="D79"/>
      <c r="E79" s="170"/>
      <c r="F79"/>
      <c r="G79"/>
      <c r="H79"/>
      <c r="I79"/>
      <c r="J79"/>
      <c r="K79"/>
      <c r="L79"/>
      <c r="M79"/>
      <c r="N79"/>
      <c r="O79"/>
    </row>
    <row r="80" spans="1:15" ht="12.75" hidden="1">
      <c r="A80" t="s">
        <v>117</v>
      </c>
      <c r="B80" t="s">
        <v>118</v>
      </c>
      <c r="C80" s="171">
        <v>0.27</v>
      </c>
      <c r="D80" s="171">
        <v>96.33</v>
      </c>
      <c r="E80" s="171">
        <v>0.26</v>
      </c>
      <c r="F80" s="171">
        <f>+$G$73*(E80/100)</f>
        <v>4.2899999999999995E-3</v>
      </c>
      <c r="G80"/>
      <c r="H80"/>
      <c r="I80"/>
      <c r="J80"/>
      <c r="K80"/>
      <c r="L80"/>
      <c r="M80"/>
      <c r="N80"/>
      <c r="O80"/>
    </row>
    <row r="81" spans="1:15" ht="12.75" hidden="1">
      <c r="A81"/>
      <c r="B81" t="s">
        <v>119</v>
      </c>
      <c r="C81" s="171">
        <v>0.36</v>
      </c>
      <c r="D81" s="171">
        <v>85.77</v>
      </c>
      <c r="E81" s="171">
        <v>0.31</v>
      </c>
      <c r="F81" s="171">
        <f>+$G$73*(E81/100)</f>
        <v>5.1149999999999998E-3</v>
      </c>
      <c r="G81"/>
      <c r="H81"/>
      <c r="I81"/>
      <c r="J81"/>
      <c r="K81"/>
      <c r="L81"/>
      <c r="M81"/>
      <c r="N81"/>
      <c r="O81"/>
    </row>
    <row r="82" spans="1:15" ht="12.75" hidden="1">
      <c r="A82"/>
      <c r="B82" t="s">
        <v>120</v>
      </c>
      <c r="C82" s="171">
        <v>0.8</v>
      </c>
      <c r="D82" s="171">
        <v>9.94</v>
      </c>
      <c r="E82" s="171">
        <v>0.08</v>
      </c>
      <c r="F82" s="171">
        <f>+$G$73*(E82/100)</f>
        <v>1.32E-3</v>
      </c>
      <c r="G82"/>
      <c r="H82"/>
      <c r="I82"/>
      <c r="J82"/>
      <c r="K82"/>
      <c r="L82"/>
      <c r="M82"/>
      <c r="N82"/>
      <c r="O82"/>
    </row>
    <row r="83" spans="1:15" ht="12.75" hidden="1">
      <c r="A83"/>
      <c r="B83" t="s">
        <v>121</v>
      </c>
      <c r="C83" s="171">
        <v>1.1399999999999999</v>
      </c>
      <c r="D83" s="171">
        <v>6.21</v>
      </c>
      <c r="E83" s="171">
        <v>7.0000000000000007E-2</v>
      </c>
      <c r="F83" s="171">
        <f>+$G$73*(E83/100)</f>
        <v>1.1550000000000002E-3</v>
      </c>
      <c r="G83"/>
      <c r="H83"/>
      <c r="I83"/>
      <c r="J83"/>
      <c r="K83"/>
      <c r="L83"/>
      <c r="M83"/>
      <c r="N83"/>
      <c r="O83"/>
    </row>
    <row r="84" spans="1:15" ht="12.75" hidden="1">
      <c r="A84"/>
      <c r="B84"/>
      <c r="C84" s="171"/>
      <c r="D84" s="171"/>
      <c r="E84" s="172" t="s">
        <v>122</v>
      </c>
      <c r="F84" s="171">
        <f>SUM(F81:F83)</f>
        <v>7.5899999999999995E-3</v>
      </c>
      <c r="G84"/>
      <c r="H84"/>
      <c r="I84"/>
      <c r="J84"/>
      <c r="K84"/>
      <c r="L84"/>
      <c r="M84"/>
      <c r="N84"/>
      <c r="O84"/>
    </row>
    <row r="85" spans="1:15" ht="12.75" hidden="1">
      <c r="A85"/>
      <c r="B85"/>
      <c r="C85" s="171"/>
      <c r="D85" s="171"/>
      <c r="E85" s="172" t="s">
        <v>123</v>
      </c>
      <c r="F85" s="171">
        <f>SUM(F80:F83)</f>
        <v>1.188E-2</v>
      </c>
      <c r="G85"/>
      <c r="H85"/>
      <c r="I85"/>
      <c r="J85"/>
      <c r="K85"/>
      <c r="L85"/>
      <c r="M85"/>
      <c r="N85"/>
      <c r="O85"/>
    </row>
    <row r="86" spans="1:15" ht="12.75" hidden="1">
      <c r="A86"/>
      <c r="B86"/>
      <c r="C86" s="171"/>
      <c r="D86" s="171"/>
      <c r="E86" s="171"/>
      <c r="F86" s="171"/>
      <c r="G86"/>
      <c r="H86"/>
      <c r="I86"/>
      <c r="J86"/>
      <c r="K86"/>
      <c r="L86"/>
      <c r="M86"/>
      <c r="N86"/>
      <c r="O86"/>
    </row>
    <row r="87" spans="1:15" ht="12.75" hidden="1">
      <c r="A87" t="s">
        <v>124</v>
      </c>
      <c r="B87" t="s">
        <v>124</v>
      </c>
      <c r="C87" s="171">
        <v>0.62</v>
      </c>
      <c r="D87" s="171">
        <v>94.29</v>
      </c>
      <c r="E87" s="171">
        <v>0.57999999999999996</v>
      </c>
      <c r="F87" s="171">
        <f>+$G$73*(E87/100)</f>
        <v>9.5699999999999986E-3</v>
      </c>
      <c r="G87"/>
      <c r="H87"/>
      <c r="I87"/>
      <c r="J87"/>
      <c r="K87"/>
      <c r="L87"/>
      <c r="M87"/>
      <c r="N87"/>
      <c r="O87"/>
    </row>
    <row r="88" spans="1:15" ht="12.75" hidden="1">
      <c r="A88"/>
      <c r="B88"/>
      <c r="C88" s="171"/>
      <c r="D88" s="171"/>
      <c r="E88" s="171"/>
      <c r="F88" s="171"/>
      <c r="G88"/>
      <c r="H88"/>
      <c r="I88"/>
      <c r="J88"/>
      <c r="K88"/>
      <c r="L88"/>
      <c r="M88"/>
      <c r="N88"/>
      <c r="O88"/>
    </row>
    <row r="89" spans="1:15" ht="12.75" hidden="1">
      <c r="A89" t="s">
        <v>125</v>
      </c>
      <c r="B89" t="s">
        <v>126</v>
      </c>
      <c r="C89" s="171">
        <v>0.85</v>
      </c>
      <c r="D89" s="171">
        <v>100</v>
      </c>
      <c r="E89" s="171">
        <v>0.85</v>
      </c>
      <c r="F89" s="171">
        <f>+$G$73*(E89/100)</f>
        <v>1.4025000000000001E-2</v>
      </c>
      <c r="G89"/>
      <c r="H89"/>
      <c r="I89"/>
      <c r="J89"/>
      <c r="K89"/>
      <c r="L89"/>
      <c r="M89"/>
      <c r="N89"/>
      <c r="O89"/>
    </row>
    <row r="90" spans="1:15" ht="12.75" hidden="1">
      <c r="A90"/>
      <c r="B90"/>
      <c r="C90" s="171"/>
      <c r="D90" s="171"/>
      <c r="E90" s="171"/>
      <c r="F90" s="171"/>
      <c r="G90"/>
      <c r="H90"/>
      <c r="I90"/>
      <c r="J90"/>
      <c r="K90"/>
      <c r="L90"/>
      <c r="M90"/>
      <c r="N90"/>
      <c r="O90"/>
    </row>
    <row r="91" spans="1:15" ht="12.75" hidden="1">
      <c r="A91" t="s">
        <v>127</v>
      </c>
      <c r="B91" t="s">
        <v>128</v>
      </c>
      <c r="C91" s="171" t="s">
        <v>129</v>
      </c>
      <c r="D91" s="171"/>
      <c r="E91" s="171">
        <v>0.35460000000000003</v>
      </c>
      <c r="F91" s="171">
        <f>+$G$73*(E91/100)</f>
        <v>5.8509E-3</v>
      </c>
      <c r="G91"/>
      <c r="H91"/>
      <c r="I91"/>
      <c r="J91"/>
      <c r="K91"/>
      <c r="L91"/>
      <c r="M91"/>
      <c r="N91"/>
      <c r="O91"/>
    </row>
    <row r="92" spans="1:15" ht="12.75" hidden="1">
      <c r="A92"/>
      <c r="B92" t="s">
        <v>130</v>
      </c>
      <c r="C92" s="171" t="s">
        <v>131</v>
      </c>
      <c r="D92" s="171"/>
      <c r="E92" s="171">
        <v>0.55700000000000005</v>
      </c>
      <c r="F92" s="171">
        <f>+$G$73*(E92/100)</f>
        <v>9.1905000000000008E-3</v>
      </c>
      <c r="G92"/>
      <c r="H92"/>
      <c r="I92"/>
    </row>
    <row r="93" spans="1:15" ht="12.75" hidden="1">
      <c r="A93"/>
      <c r="B93" t="s">
        <v>132</v>
      </c>
      <c r="C93" s="171" t="s">
        <v>133</v>
      </c>
      <c r="D93" s="171"/>
      <c r="E93" s="171">
        <v>0.628</v>
      </c>
      <c r="F93" s="171">
        <f>+$G$73*(E93/100)</f>
        <v>1.0362E-2</v>
      </c>
      <c r="G93"/>
      <c r="H93"/>
      <c r="I93"/>
    </row>
    <row r="94" spans="1:15" ht="12.75" hidden="1">
      <c r="A94"/>
      <c r="B94"/>
      <c r="C94" s="171"/>
      <c r="D94" s="171"/>
      <c r="E94" s="171"/>
      <c r="F94" s="171"/>
      <c r="G94"/>
      <c r="H94"/>
      <c r="I94"/>
    </row>
    <row r="95" spans="1:15" ht="12.75" hidden="1">
      <c r="A95" t="s">
        <v>134</v>
      </c>
      <c r="B95" t="s">
        <v>135</v>
      </c>
      <c r="C95" s="171" t="s">
        <v>136</v>
      </c>
      <c r="D95" s="171"/>
      <c r="E95" s="171">
        <v>0.309</v>
      </c>
      <c r="F95" s="171">
        <f>+$G$73*(E95/100)</f>
        <v>5.0984999999999997E-3</v>
      </c>
      <c r="G95"/>
      <c r="H95"/>
      <c r="I95"/>
    </row>
    <row r="96" spans="1:15" ht="12.75" hidden="1">
      <c r="A96"/>
      <c r="B96"/>
      <c r="C96" s="171"/>
      <c r="D96" s="171"/>
      <c r="E96" s="171"/>
      <c r="F96" s="171"/>
      <c r="G96"/>
      <c r="H96"/>
      <c r="I96"/>
    </row>
    <row r="97" spans="1:15" ht="12.75" hidden="1">
      <c r="A97" t="s">
        <v>137</v>
      </c>
      <c r="B97" t="s">
        <v>138</v>
      </c>
      <c r="C97" s="171" t="s">
        <v>139</v>
      </c>
      <c r="D97" s="171"/>
      <c r="E97" s="171">
        <v>0.37480000000000002</v>
      </c>
      <c r="F97" s="171">
        <f>+$G$73*(E97/100)</f>
        <v>6.1841999999999999E-3</v>
      </c>
      <c r="G97"/>
      <c r="H97"/>
      <c r="I97"/>
    </row>
    <row r="98" spans="1:15" ht="12.75" hidden="1">
      <c r="A98"/>
      <c r="B98"/>
      <c r="C98"/>
      <c r="D98"/>
      <c r="E98"/>
      <c r="F98"/>
      <c r="G98"/>
      <c r="H98"/>
      <c r="I98"/>
    </row>
    <row r="99" spans="1:15" ht="12.75">
      <c r="B99"/>
      <c r="C99"/>
      <c r="D99"/>
      <c r="E99"/>
      <c r="F99"/>
      <c r="G99"/>
      <c r="H99"/>
      <c r="I99"/>
    </row>
    <row r="100" spans="1:15" ht="12.75">
      <c r="A100"/>
      <c r="B100"/>
      <c r="C100"/>
      <c r="D100"/>
      <c r="E100"/>
      <c r="F100"/>
      <c r="G100"/>
      <c r="H100"/>
      <c r="I100"/>
    </row>
    <row r="101" spans="1:15" ht="12.75">
      <c r="A101"/>
      <c r="B101"/>
      <c r="C101"/>
      <c r="D101"/>
      <c r="E101"/>
      <c r="F101"/>
      <c r="G101"/>
      <c r="H101"/>
      <c r="I101"/>
    </row>
    <row r="102" spans="1:15" ht="12.75">
      <c r="A102"/>
      <c r="B102"/>
      <c r="C102"/>
      <c r="D102"/>
      <c r="E102"/>
      <c r="F102"/>
      <c r="G102"/>
      <c r="H102"/>
      <c r="I102"/>
    </row>
    <row r="103" spans="1:15" ht="12.75">
      <c r="A103" s="421" t="s">
        <v>140</v>
      </c>
      <c r="B103" s="422"/>
      <c r="C103" s="423"/>
      <c r="D103"/>
      <c r="E103" s="173" t="s">
        <v>141</v>
      </c>
      <c r="F103"/>
      <c r="G103" s="174"/>
      <c r="H103"/>
      <c r="I103" s="302" t="s">
        <v>47</v>
      </c>
      <c r="J103" s="303"/>
      <c r="K103" s="304"/>
      <c r="N103" s="12" t="s">
        <v>142</v>
      </c>
    </row>
    <row r="104" spans="1:15" ht="12.75">
      <c r="A104" s="178" t="s">
        <v>143</v>
      </c>
      <c r="B104" s="176" t="s">
        <v>144</v>
      </c>
      <c r="C104" s="323">
        <v>0.63</v>
      </c>
      <c r="D104" s="65"/>
      <c r="E104" s="176">
        <v>0.83299999999999996</v>
      </c>
      <c r="F104" s="66">
        <f>C104-E104</f>
        <v>-0.20299999999999996</v>
      </c>
      <c r="G104" s="178">
        <v>0.83299999999999996</v>
      </c>
      <c r="H104" s="66"/>
      <c r="I104" s="178" t="s">
        <v>145</v>
      </c>
      <c r="J104" s="65"/>
      <c r="K104" s="177">
        <v>0</v>
      </c>
      <c r="L104" s="65">
        <v>882</v>
      </c>
      <c r="N104" s="12" t="s">
        <v>146</v>
      </c>
      <c r="O104" s="12">
        <v>1024</v>
      </c>
    </row>
    <row r="105" spans="1:15" ht="12.75">
      <c r="A105" s="65"/>
      <c r="B105" s="176" t="s">
        <v>147</v>
      </c>
      <c r="C105" s="323">
        <v>1E-3</v>
      </c>
      <c r="D105" s="65"/>
      <c r="E105" s="66">
        <v>1E-3</v>
      </c>
      <c r="F105" s="66">
        <f>C105-E105</f>
        <v>0</v>
      </c>
      <c r="G105" s="178">
        <v>1E-3</v>
      </c>
      <c r="H105" s="66"/>
      <c r="I105" s="178" t="s">
        <v>148</v>
      </c>
      <c r="J105" s="65">
        <v>6688</v>
      </c>
      <c r="K105" s="316">
        <v>17</v>
      </c>
      <c r="L105" s="65"/>
      <c r="N105" s="12" t="s">
        <v>149</v>
      </c>
      <c r="O105" s="12">
        <v>1500</v>
      </c>
    </row>
    <row r="106" spans="1:15" ht="12.75">
      <c r="A106" s="65"/>
      <c r="B106" s="176" t="s">
        <v>150</v>
      </c>
      <c r="C106" s="323">
        <v>0.5</v>
      </c>
      <c r="D106" s="65"/>
      <c r="E106" s="66">
        <v>0.5</v>
      </c>
      <c r="F106" s="66">
        <f>C106-E106</f>
        <v>0</v>
      </c>
      <c r="G106" s="178">
        <v>0.5</v>
      </c>
      <c r="H106" s="66"/>
      <c r="I106" s="178" t="s">
        <v>68</v>
      </c>
      <c r="J106" s="65">
        <v>6888</v>
      </c>
      <c r="K106" s="322">
        <v>5687</v>
      </c>
      <c r="L106" s="65"/>
      <c r="N106" s="12" t="s">
        <v>151</v>
      </c>
      <c r="O106" s="12">
        <v>219</v>
      </c>
    </row>
    <row r="107" spans="1:15" ht="12.75">
      <c r="A107" s="65"/>
      <c r="B107" s="176" t="s">
        <v>152</v>
      </c>
      <c r="C107" s="323">
        <v>10</v>
      </c>
      <c r="D107" s="65">
        <v>2</v>
      </c>
      <c r="E107" s="66">
        <v>10</v>
      </c>
      <c r="F107" s="66">
        <f>C107-E107</f>
        <v>0</v>
      </c>
      <c r="G107" s="178">
        <v>12</v>
      </c>
      <c r="H107" s="66"/>
      <c r="I107" s="178"/>
      <c r="J107" s="65"/>
      <c r="K107" s="177"/>
      <c r="L107" s="65"/>
      <c r="N107" s="12" t="s">
        <v>153</v>
      </c>
      <c r="O107" s="12">
        <v>1000</v>
      </c>
    </row>
    <row r="108" spans="1:15" ht="12.75">
      <c r="A108" s="178" t="s">
        <v>154</v>
      </c>
      <c r="B108" s="176" t="s">
        <v>155</v>
      </c>
      <c r="C108" s="323">
        <v>3.6</v>
      </c>
      <c r="D108" s="65"/>
      <c r="E108" s="66">
        <v>3.6</v>
      </c>
      <c r="F108" s="66">
        <f>C108-E108</f>
        <v>0</v>
      </c>
      <c r="G108" s="178">
        <v>3.6</v>
      </c>
      <c r="H108" s="66"/>
      <c r="I108" s="178" t="s">
        <v>156</v>
      </c>
      <c r="J108" s="65">
        <v>900338</v>
      </c>
      <c r="K108" s="322">
        <v>749</v>
      </c>
      <c r="L108" s="65"/>
      <c r="N108" s="12" t="s">
        <v>157</v>
      </c>
      <c r="O108" s="12">
        <v>90</v>
      </c>
    </row>
    <row r="109" spans="1:15" ht="12.75">
      <c r="A109" s="178"/>
      <c r="B109" s="176"/>
      <c r="C109" s="176"/>
      <c r="D109" s="65"/>
      <c r="E109" s="66"/>
      <c r="F109" s="66"/>
      <c r="G109" s="178"/>
      <c r="H109" s="66"/>
      <c r="I109" s="178"/>
      <c r="J109" s="65"/>
      <c r="K109" s="179"/>
      <c r="L109" s="65"/>
    </row>
    <row r="110" spans="1:15" ht="12.75">
      <c r="A110" s="65"/>
      <c r="B110" s="176" t="s">
        <v>22</v>
      </c>
      <c r="C110" s="178">
        <v>0</v>
      </c>
      <c r="D110" s="65" t="s">
        <v>158</v>
      </c>
      <c r="E110" s="66">
        <v>0</v>
      </c>
      <c r="F110" s="66">
        <f>C110-E110</f>
        <v>0</v>
      </c>
      <c r="G110" s="178">
        <v>0</v>
      </c>
      <c r="H110" s="66"/>
      <c r="I110" s="178" t="s">
        <v>386</v>
      </c>
      <c r="J110" s="65">
        <v>3405</v>
      </c>
      <c r="K110" s="322">
        <v>2429</v>
      </c>
      <c r="L110" s="65"/>
      <c r="N110" s="12" t="s">
        <v>80</v>
      </c>
    </row>
    <row r="111" spans="1:15" ht="12.75">
      <c r="A111" s="65"/>
      <c r="B111" s="176" t="s">
        <v>160</v>
      </c>
      <c r="C111" s="323">
        <v>2.4</v>
      </c>
      <c r="D111" s="65"/>
      <c r="E111" s="66">
        <v>2.4</v>
      </c>
      <c r="F111" s="66">
        <f>C111-E111</f>
        <v>0</v>
      </c>
      <c r="G111" s="178">
        <v>2.4</v>
      </c>
      <c r="H111" s="66"/>
      <c r="I111" s="178" t="s">
        <v>161</v>
      </c>
      <c r="J111" s="65"/>
      <c r="K111" s="179">
        <v>0</v>
      </c>
      <c r="L111" s="65">
        <v>660</v>
      </c>
    </row>
    <row r="112" spans="1:15" ht="12.75">
      <c r="A112" s="178" t="s">
        <v>162</v>
      </c>
      <c r="B112" s="176" t="s">
        <v>163</v>
      </c>
      <c r="C112" s="323">
        <v>0.8</v>
      </c>
      <c r="D112" s="66"/>
      <c r="E112" s="66">
        <v>0.8</v>
      </c>
      <c r="F112" s="66">
        <f>C112-E112</f>
        <v>0</v>
      </c>
      <c r="G112" s="178">
        <v>0.8</v>
      </c>
      <c r="H112" s="66"/>
      <c r="I112" s="178" t="s">
        <v>365</v>
      </c>
      <c r="J112" s="65">
        <v>5333</v>
      </c>
      <c r="K112" s="322">
        <v>250</v>
      </c>
      <c r="L112" s="65" t="s">
        <v>366</v>
      </c>
    </row>
    <row r="113" spans="1:12" ht="12.75">
      <c r="A113" s="66"/>
      <c r="B113" s="176" t="s">
        <v>6</v>
      </c>
      <c r="C113" s="323">
        <v>16.5</v>
      </c>
      <c r="D113" s="66"/>
      <c r="E113" s="66">
        <v>16.940999999999999</v>
      </c>
      <c r="F113" s="66">
        <f>C113-E113</f>
        <v>-0.44099999999999895</v>
      </c>
      <c r="G113" s="178">
        <v>16.5</v>
      </c>
      <c r="H113" s="178"/>
      <c r="I113" s="177" t="s">
        <v>164</v>
      </c>
      <c r="J113" s="65">
        <v>6835</v>
      </c>
      <c r="K113" s="322">
        <v>24</v>
      </c>
      <c r="L113" s="65"/>
    </row>
    <row r="114" spans="1:12" ht="12.75">
      <c r="A114" s="66"/>
      <c r="B114" s="176" t="s">
        <v>7</v>
      </c>
      <c r="C114" s="178">
        <v>0</v>
      </c>
      <c r="D114" s="66" t="s">
        <v>65</v>
      </c>
      <c r="E114" s="66">
        <v>0</v>
      </c>
      <c r="F114" s="66">
        <f>C114-E114</f>
        <v>0</v>
      </c>
      <c r="G114" s="178">
        <v>20</v>
      </c>
      <c r="H114" s="66"/>
      <c r="I114" s="177" t="s">
        <v>165</v>
      </c>
      <c r="J114" s="65">
        <v>4286</v>
      </c>
      <c r="K114" s="322">
        <v>39</v>
      </c>
      <c r="L114" s="65"/>
    </row>
    <row r="115" spans="1:12" ht="12.75">
      <c r="A115" s="66"/>
      <c r="B115" s="176"/>
      <c r="C115" s="178"/>
      <c r="D115" s="66"/>
      <c r="E115" s="66"/>
      <c r="F115" s="66"/>
      <c r="G115" s="178"/>
      <c r="H115" s="66"/>
      <c r="I115" s="177" t="s">
        <v>166</v>
      </c>
      <c r="J115" s="65">
        <v>9676</v>
      </c>
      <c r="K115" s="301">
        <v>0</v>
      </c>
      <c r="L115" s="235" t="s">
        <v>331</v>
      </c>
    </row>
    <row r="116" spans="1:12" ht="12.75">
      <c r="A116" s="66"/>
      <c r="B116" s="176" t="s">
        <v>167</v>
      </c>
      <c r="C116" s="323">
        <v>2.5000000000000001E-2</v>
      </c>
      <c r="D116" s="66"/>
      <c r="E116" s="66">
        <v>2.5000000000000001E-2</v>
      </c>
      <c r="F116" s="66">
        <f>C116-E116</f>
        <v>0</v>
      </c>
      <c r="G116" s="178">
        <v>2.5000000000000001E-2</v>
      </c>
      <c r="H116" s="66"/>
      <c r="I116" s="177" t="s">
        <v>401</v>
      </c>
      <c r="J116" s="65">
        <v>6480</v>
      </c>
      <c r="K116" s="322">
        <v>1</v>
      </c>
      <c r="L116" s="235"/>
    </row>
    <row r="117" spans="1:12" ht="12.75">
      <c r="A117" s="66"/>
      <c r="B117" s="176" t="s">
        <v>169</v>
      </c>
      <c r="C117" s="178">
        <v>0</v>
      </c>
      <c r="D117" s="66"/>
      <c r="E117" s="66">
        <v>1.3</v>
      </c>
      <c r="F117" s="66">
        <f>C117-E117</f>
        <v>-1.3</v>
      </c>
      <c r="G117" s="178">
        <v>1.3</v>
      </c>
      <c r="H117" s="66"/>
      <c r="I117" s="177" t="s">
        <v>342</v>
      </c>
      <c r="J117" s="65">
        <v>6551</v>
      </c>
      <c r="K117" s="322">
        <v>100</v>
      </c>
      <c r="L117" s="65"/>
    </row>
    <row r="118" spans="1:12" ht="12.75">
      <c r="A118" s="66"/>
      <c r="B118" s="176" t="s">
        <v>171</v>
      </c>
      <c r="C118" s="323">
        <v>7</v>
      </c>
      <c r="D118" s="66">
        <v>8</v>
      </c>
      <c r="E118" s="66">
        <v>7.407</v>
      </c>
      <c r="F118" s="66">
        <f>C118-E118</f>
        <v>-0.40700000000000003</v>
      </c>
      <c r="G118" s="178">
        <v>8</v>
      </c>
      <c r="H118" s="66"/>
      <c r="I118" s="177" t="s">
        <v>168</v>
      </c>
      <c r="J118" s="65">
        <v>6373</v>
      </c>
      <c r="K118" s="322">
        <v>1</v>
      </c>
      <c r="L118" s="65"/>
    </row>
    <row r="119" spans="1:12" ht="12.75">
      <c r="A119" s="66"/>
      <c r="B119" s="176"/>
      <c r="C119" s="176"/>
      <c r="D119" s="66"/>
      <c r="E119" s="66"/>
      <c r="F119" s="66"/>
      <c r="G119" s="178"/>
      <c r="H119" s="66"/>
      <c r="I119" s="177" t="s">
        <v>402</v>
      </c>
      <c r="J119" s="65">
        <v>4056</v>
      </c>
      <c r="K119" s="322">
        <v>514</v>
      </c>
      <c r="L119" s="65"/>
    </row>
    <row r="120" spans="1:12" ht="12.75">
      <c r="A120" s="66"/>
      <c r="B120" s="176" t="s">
        <v>173</v>
      </c>
      <c r="C120" s="327">
        <v>20</v>
      </c>
      <c r="D120" s="66" t="s">
        <v>415</v>
      </c>
      <c r="E120" s="66">
        <v>20</v>
      </c>
      <c r="F120" s="66">
        <f t="shared" ref="F120:F126" si="0">C120-E120</f>
        <v>0</v>
      </c>
      <c r="G120" s="178">
        <v>22.5</v>
      </c>
      <c r="H120" s="65"/>
      <c r="I120" s="177" t="s">
        <v>402</v>
      </c>
      <c r="J120" s="65">
        <v>6855</v>
      </c>
      <c r="K120" s="322">
        <v>3</v>
      </c>
      <c r="L120" s="65"/>
    </row>
    <row r="121" spans="1:12" ht="12.75">
      <c r="A121" s="66"/>
      <c r="B121" s="176" t="s">
        <v>175</v>
      </c>
      <c r="C121" s="323">
        <v>3.85</v>
      </c>
      <c r="D121" s="66"/>
      <c r="E121" s="66">
        <v>3.85</v>
      </c>
      <c r="F121" s="66">
        <f t="shared" si="0"/>
        <v>0</v>
      </c>
      <c r="G121" s="178">
        <v>3.85</v>
      </c>
      <c r="H121" s="65"/>
      <c r="I121" s="177" t="s">
        <v>170</v>
      </c>
      <c r="J121" s="65">
        <v>4132</v>
      </c>
      <c r="K121" s="322">
        <v>154</v>
      </c>
      <c r="L121" s="65">
        <v>11</v>
      </c>
    </row>
    <row r="122" spans="1:12" ht="12.75">
      <c r="A122" s="66"/>
      <c r="B122" s="176" t="s">
        <v>11</v>
      </c>
      <c r="C122" s="176">
        <v>0</v>
      </c>
      <c r="D122" s="66"/>
      <c r="E122" s="66">
        <v>0</v>
      </c>
      <c r="F122" s="66">
        <f t="shared" si="0"/>
        <v>0</v>
      </c>
      <c r="G122" s="178">
        <v>62</v>
      </c>
      <c r="H122" s="65"/>
      <c r="I122" s="177" t="s">
        <v>172</v>
      </c>
      <c r="J122" s="65">
        <v>4120</v>
      </c>
      <c r="K122" s="322">
        <v>821</v>
      </c>
      <c r="L122" s="65"/>
    </row>
    <row r="123" spans="1:12" ht="12.75">
      <c r="A123" s="66"/>
      <c r="B123" s="176" t="s">
        <v>178</v>
      </c>
      <c r="C123" s="323">
        <v>2.5000000000000001E-2</v>
      </c>
      <c r="D123" s="66"/>
      <c r="E123" s="66">
        <v>2.5000000000000001E-2</v>
      </c>
      <c r="F123" s="66">
        <f t="shared" si="0"/>
        <v>0</v>
      </c>
      <c r="G123" s="178">
        <v>2.5000000000000001E-2</v>
      </c>
      <c r="H123" s="65"/>
      <c r="I123" s="177" t="s">
        <v>78</v>
      </c>
      <c r="J123" s="65">
        <v>639</v>
      </c>
      <c r="K123" s="322">
        <v>500</v>
      </c>
      <c r="L123" s="65"/>
    </row>
    <row r="124" spans="1:12" ht="12.75">
      <c r="A124" s="66"/>
      <c r="B124" s="176" t="s">
        <v>180</v>
      </c>
      <c r="C124" s="323">
        <v>0.05</v>
      </c>
      <c r="D124" s="66"/>
      <c r="E124" s="66">
        <v>0.05</v>
      </c>
      <c r="F124" s="66">
        <f t="shared" si="0"/>
        <v>0</v>
      </c>
      <c r="G124" s="178">
        <v>0.05</v>
      </c>
      <c r="H124" s="65"/>
      <c r="I124" s="177" t="s">
        <v>343</v>
      </c>
      <c r="J124" s="65">
        <v>6840</v>
      </c>
      <c r="K124" s="322">
        <v>1317</v>
      </c>
      <c r="L124" s="65"/>
    </row>
    <row r="125" spans="1:12" ht="12.75">
      <c r="A125" s="66"/>
      <c r="B125" s="176" t="s">
        <v>181</v>
      </c>
      <c r="C125" s="323">
        <v>13</v>
      </c>
      <c r="D125" s="66">
        <v>11</v>
      </c>
      <c r="E125" s="66">
        <v>4.665</v>
      </c>
      <c r="F125" s="66">
        <f t="shared" si="0"/>
        <v>8.3350000000000009</v>
      </c>
      <c r="G125" s="178">
        <v>6</v>
      </c>
      <c r="H125" s="65"/>
      <c r="I125" s="177"/>
      <c r="J125" s="65"/>
      <c r="K125" s="177"/>
      <c r="L125" s="65"/>
    </row>
    <row r="126" spans="1:12" ht="12.75">
      <c r="A126" s="66"/>
      <c r="B126" s="176" t="s">
        <v>183</v>
      </c>
      <c r="C126" s="323">
        <v>0.41899999999999998</v>
      </c>
      <c r="D126" s="65"/>
      <c r="E126" s="66">
        <v>0.41899999999999998</v>
      </c>
      <c r="F126" s="66">
        <f t="shared" si="0"/>
        <v>0</v>
      </c>
      <c r="G126" s="178">
        <v>0.41899999999999998</v>
      </c>
      <c r="H126" s="65"/>
      <c r="I126" s="177" t="s">
        <v>176</v>
      </c>
      <c r="J126" s="65">
        <v>6519</v>
      </c>
      <c r="K126" s="322">
        <v>2</v>
      </c>
      <c r="L126" s="65"/>
    </row>
    <row r="127" spans="1:12" ht="12.75">
      <c r="A127" s="66"/>
      <c r="B127" s="176"/>
      <c r="C127" s="176"/>
      <c r="D127" s="65"/>
      <c r="E127" s="66"/>
      <c r="F127" s="66"/>
      <c r="G127" s="178"/>
      <c r="H127" s="65"/>
      <c r="I127" s="177" t="s">
        <v>177</v>
      </c>
      <c r="J127" s="65">
        <v>5502</v>
      </c>
      <c r="K127" s="322">
        <v>37</v>
      </c>
      <c r="L127" s="65"/>
    </row>
    <row r="128" spans="1:12" ht="12.75">
      <c r="A128" s="65"/>
      <c r="B128" s="176" t="s">
        <v>186</v>
      </c>
      <c r="C128" s="323">
        <v>5</v>
      </c>
      <c r="D128" s="65"/>
      <c r="E128" s="66">
        <v>5</v>
      </c>
      <c r="F128" s="66">
        <f t="shared" ref="F128:F142" si="1">C128-E128</f>
        <v>0</v>
      </c>
      <c r="G128" s="178">
        <v>5</v>
      </c>
      <c r="H128" s="65"/>
      <c r="I128" s="177" t="s">
        <v>179</v>
      </c>
      <c r="J128" s="65">
        <v>6789</v>
      </c>
      <c r="K128" s="322">
        <v>12500</v>
      </c>
      <c r="L128" s="65"/>
    </row>
    <row r="129" spans="1:12" ht="12.75">
      <c r="A129" s="65"/>
      <c r="B129" s="176" t="s">
        <v>187</v>
      </c>
      <c r="C129" s="178">
        <v>0</v>
      </c>
      <c r="D129" s="65"/>
      <c r="E129" s="66">
        <v>0</v>
      </c>
      <c r="F129" s="66">
        <f t="shared" si="1"/>
        <v>0</v>
      </c>
      <c r="G129" s="178">
        <v>20</v>
      </c>
      <c r="H129" s="65"/>
      <c r="I129" s="177" t="s">
        <v>354</v>
      </c>
      <c r="J129" s="211">
        <v>6545</v>
      </c>
      <c r="K129" s="322">
        <v>68</v>
      </c>
      <c r="L129" s="65"/>
    </row>
    <row r="130" spans="1:12" ht="12.75">
      <c r="A130" s="65"/>
      <c r="B130" s="176" t="s">
        <v>189</v>
      </c>
      <c r="C130" s="323">
        <v>10</v>
      </c>
      <c r="D130" s="65"/>
      <c r="E130" s="66">
        <v>9.5619999999999994</v>
      </c>
      <c r="F130" s="66">
        <f t="shared" si="1"/>
        <v>0.43800000000000061</v>
      </c>
      <c r="G130" s="178">
        <v>10</v>
      </c>
      <c r="H130" s="65"/>
      <c r="I130" s="177" t="s">
        <v>354</v>
      </c>
      <c r="J130" s="211">
        <v>275</v>
      </c>
      <c r="K130" s="322">
        <v>82</v>
      </c>
      <c r="L130" s="65" t="s">
        <v>185</v>
      </c>
    </row>
    <row r="131" spans="1:12" ht="12.75">
      <c r="A131" s="65"/>
      <c r="B131" s="176" t="s">
        <v>191</v>
      </c>
      <c r="C131" s="323">
        <v>0.1</v>
      </c>
      <c r="D131" s="65"/>
      <c r="E131" s="66">
        <v>0.1</v>
      </c>
      <c r="F131" s="66">
        <f t="shared" si="1"/>
        <v>0</v>
      </c>
      <c r="G131" s="178">
        <v>0.1</v>
      </c>
      <c r="H131" s="65"/>
      <c r="I131" s="177" t="s">
        <v>355</v>
      </c>
      <c r="J131" s="211">
        <v>9812</v>
      </c>
      <c r="K131" s="322">
        <v>471</v>
      </c>
      <c r="L131" s="65"/>
    </row>
    <row r="132" spans="1:12" ht="12.75">
      <c r="A132" s="65"/>
      <c r="B132" s="176" t="s">
        <v>327</v>
      </c>
      <c r="C132" s="323">
        <v>2</v>
      </c>
      <c r="D132" s="65"/>
      <c r="E132" s="66">
        <v>2</v>
      </c>
      <c r="F132" s="66">
        <f t="shared" si="1"/>
        <v>0</v>
      </c>
      <c r="G132" s="178">
        <v>2</v>
      </c>
      <c r="H132" s="65"/>
      <c r="I132" s="177" t="s">
        <v>356</v>
      </c>
      <c r="J132" s="211">
        <v>6387</v>
      </c>
      <c r="K132" s="322">
        <v>400</v>
      </c>
      <c r="L132" s="65"/>
    </row>
    <row r="133" spans="1:12" ht="12.75">
      <c r="A133" s="65"/>
      <c r="B133" s="176" t="s">
        <v>196</v>
      </c>
      <c r="C133" s="323">
        <v>0.02</v>
      </c>
      <c r="D133" s="65"/>
      <c r="E133" s="66">
        <v>0.02</v>
      </c>
      <c r="F133" s="66">
        <f t="shared" si="1"/>
        <v>0</v>
      </c>
      <c r="G133" s="178">
        <v>0.02</v>
      </c>
      <c r="H133" s="65"/>
      <c r="I133" s="177" t="s">
        <v>356</v>
      </c>
      <c r="J133" s="211">
        <v>6347</v>
      </c>
      <c r="K133" s="322">
        <v>186</v>
      </c>
      <c r="L133" s="65"/>
    </row>
    <row r="134" spans="1:12" ht="12.75">
      <c r="A134" s="65"/>
      <c r="B134" s="176"/>
      <c r="C134" s="178"/>
      <c r="D134" s="65"/>
      <c r="E134" s="66">
        <v>0</v>
      </c>
      <c r="F134" s="66">
        <f t="shared" si="1"/>
        <v>0</v>
      </c>
      <c r="G134" s="178">
        <v>10</v>
      </c>
      <c r="H134" s="65"/>
      <c r="I134" s="177" t="s">
        <v>356</v>
      </c>
      <c r="J134" s="211">
        <v>5892</v>
      </c>
      <c r="K134" s="322">
        <v>105</v>
      </c>
      <c r="L134" s="65"/>
    </row>
    <row r="135" spans="1:12" ht="12.75">
      <c r="A135" s="65"/>
      <c r="B135" s="176" t="s">
        <v>198</v>
      </c>
      <c r="C135" s="323">
        <v>0.55600000000000005</v>
      </c>
      <c r="D135" s="65"/>
      <c r="E135" s="66">
        <v>0.5</v>
      </c>
      <c r="F135" s="66">
        <f t="shared" si="1"/>
        <v>5.600000000000005E-2</v>
      </c>
      <c r="G135" s="178">
        <v>0.70499999999999996</v>
      </c>
      <c r="H135" s="65"/>
      <c r="I135" s="177" t="s">
        <v>356</v>
      </c>
      <c r="J135" s="211">
        <v>6757</v>
      </c>
      <c r="K135" s="322">
        <v>194</v>
      </c>
      <c r="L135" s="65"/>
    </row>
    <row r="136" spans="1:12" ht="12.75">
      <c r="A136" s="65"/>
      <c r="B136" s="176" t="s">
        <v>201</v>
      </c>
      <c r="C136" s="323">
        <v>10</v>
      </c>
      <c r="D136" s="65"/>
      <c r="E136" s="66">
        <v>10.922000000000001</v>
      </c>
      <c r="F136" s="66">
        <f t="shared" si="1"/>
        <v>-0.9220000000000006</v>
      </c>
      <c r="G136" s="178">
        <v>8.5</v>
      </c>
      <c r="H136" s="65"/>
      <c r="I136" s="177" t="s">
        <v>182</v>
      </c>
      <c r="J136" s="65">
        <v>6598</v>
      </c>
      <c r="K136" s="322">
        <v>235</v>
      </c>
      <c r="L136" s="65"/>
    </row>
    <row r="137" spans="1:12" ht="12.75">
      <c r="A137" s="65"/>
      <c r="B137" s="176" t="s">
        <v>203</v>
      </c>
      <c r="C137" s="323">
        <v>2</v>
      </c>
      <c r="D137" s="65"/>
      <c r="E137" s="66">
        <v>2</v>
      </c>
      <c r="F137" s="66">
        <f t="shared" si="1"/>
        <v>0</v>
      </c>
      <c r="G137" s="178">
        <v>0</v>
      </c>
      <c r="H137" s="65"/>
      <c r="I137" s="177" t="s">
        <v>184</v>
      </c>
      <c r="J137" s="65">
        <v>6392</v>
      </c>
      <c r="K137" s="322">
        <v>65</v>
      </c>
      <c r="L137" s="65">
        <v>1287</v>
      </c>
    </row>
    <row r="138" spans="1:12" ht="12.75">
      <c r="A138" s="65"/>
      <c r="B138" s="176" t="s">
        <v>16</v>
      </c>
      <c r="C138" s="323">
        <v>33</v>
      </c>
      <c r="D138" s="65"/>
      <c r="E138" s="66">
        <v>42.670999999999999</v>
      </c>
      <c r="F138" s="66">
        <f t="shared" si="1"/>
        <v>-9.6709999999999994</v>
      </c>
      <c r="G138" s="178">
        <v>30</v>
      </c>
      <c r="H138" s="65"/>
      <c r="I138" s="177" t="s">
        <v>297</v>
      </c>
      <c r="J138" s="65">
        <v>440</v>
      </c>
      <c r="K138" s="322">
        <v>444</v>
      </c>
      <c r="L138" s="65">
        <v>4770</v>
      </c>
    </row>
    <row r="139" spans="1:12" ht="12.75">
      <c r="A139" s="65"/>
      <c r="B139" s="319" t="s">
        <v>14</v>
      </c>
      <c r="C139" s="323">
        <v>65</v>
      </c>
      <c r="D139" s="65">
        <v>65</v>
      </c>
      <c r="E139" s="66">
        <v>63.606999999999999</v>
      </c>
      <c r="F139" s="66">
        <f t="shared" si="1"/>
        <v>1.3930000000000007</v>
      </c>
      <c r="G139" s="178">
        <v>65</v>
      </c>
      <c r="H139" s="65"/>
      <c r="I139" s="177" t="s">
        <v>149</v>
      </c>
      <c r="J139" s="65">
        <v>6173</v>
      </c>
      <c r="K139" s="301">
        <v>975</v>
      </c>
      <c r="L139" s="65"/>
    </row>
    <row r="140" spans="1:12" ht="12.75">
      <c r="A140" s="65"/>
      <c r="B140" s="176" t="s">
        <v>208</v>
      </c>
      <c r="C140" s="323">
        <v>0.18</v>
      </c>
      <c r="D140" s="65"/>
      <c r="E140" s="66">
        <v>0.18</v>
      </c>
      <c r="F140" s="66">
        <f t="shared" si="1"/>
        <v>0</v>
      </c>
      <c r="G140" s="178">
        <v>0.18</v>
      </c>
      <c r="H140" s="65"/>
      <c r="I140" s="177" t="s">
        <v>188</v>
      </c>
      <c r="J140" s="65"/>
      <c r="K140" s="177">
        <v>0</v>
      </c>
      <c r="L140" s="65"/>
    </row>
    <row r="141" spans="1:12" ht="12.75">
      <c r="A141" s="65"/>
      <c r="B141" s="180" t="s">
        <v>210</v>
      </c>
      <c r="C141" s="329">
        <v>2.5</v>
      </c>
      <c r="D141" s="65"/>
      <c r="E141" s="66">
        <v>0</v>
      </c>
      <c r="F141" s="66">
        <f t="shared" si="1"/>
        <v>2.5</v>
      </c>
      <c r="G141" s="178">
        <v>1.9910000000000001</v>
      </c>
      <c r="H141" s="65"/>
      <c r="I141" s="177" t="s">
        <v>190</v>
      </c>
      <c r="J141" s="65">
        <v>4132</v>
      </c>
      <c r="K141" s="322">
        <v>7500</v>
      </c>
      <c r="L141" s="65"/>
    </row>
    <row r="142" spans="1:12" ht="12.75">
      <c r="A142" s="65"/>
      <c r="B142" s="176" t="s">
        <v>18</v>
      </c>
      <c r="C142" s="323">
        <v>30</v>
      </c>
      <c r="D142" s="65"/>
      <c r="E142" s="66">
        <v>26.359000000000002</v>
      </c>
      <c r="F142" s="66">
        <f t="shared" si="1"/>
        <v>3.6409999999999982</v>
      </c>
      <c r="G142" s="178">
        <v>45</v>
      </c>
      <c r="H142" s="65"/>
      <c r="I142" s="177" t="s">
        <v>192</v>
      </c>
      <c r="J142" s="211" t="s">
        <v>193</v>
      </c>
      <c r="K142" s="322">
        <v>3506</v>
      </c>
      <c r="L142" s="65"/>
    </row>
    <row r="143" spans="1:12" ht="12.75">
      <c r="A143" s="65"/>
      <c r="B143" s="176"/>
      <c r="C143" s="176"/>
      <c r="D143" s="65"/>
      <c r="E143" s="66"/>
      <c r="F143" s="66"/>
      <c r="G143" s="178"/>
      <c r="H143" s="65"/>
      <c r="I143" s="177" t="s">
        <v>195</v>
      </c>
      <c r="J143" s="65">
        <v>3405</v>
      </c>
      <c r="K143" s="177">
        <v>0</v>
      </c>
      <c r="L143" s="65"/>
    </row>
    <row r="144" spans="1:12" ht="12.75">
      <c r="A144" s="65"/>
      <c r="B144" s="176" t="s">
        <v>214</v>
      </c>
      <c r="C144" s="176">
        <v>0</v>
      </c>
      <c r="D144" s="65"/>
      <c r="E144" s="66">
        <v>6.1420000000000003</v>
      </c>
      <c r="F144" s="66">
        <f t="shared" ref="F144:F161" si="2">C144-E144</f>
        <v>-6.1420000000000003</v>
      </c>
      <c r="G144" s="178">
        <v>6</v>
      </c>
      <c r="H144" s="65"/>
      <c r="I144" s="177" t="s">
        <v>197</v>
      </c>
      <c r="J144" s="65">
        <v>6353</v>
      </c>
      <c r="K144" s="322">
        <v>4000</v>
      </c>
      <c r="L144" s="65" t="s">
        <v>185</v>
      </c>
    </row>
    <row r="145" spans="1:12" ht="12.75">
      <c r="A145" s="65"/>
      <c r="B145" s="176" t="s">
        <v>216</v>
      </c>
      <c r="C145" s="300">
        <v>11</v>
      </c>
      <c r="D145" s="235" t="s">
        <v>376</v>
      </c>
      <c r="E145" s="66">
        <v>11.156000000000001</v>
      </c>
      <c r="F145" s="66">
        <f t="shared" si="2"/>
        <v>-0.15600000000000058</v>
      </c>
      <c r="G145" s="178">
        <v>11.5</v>
      </c>
      <c r="H145" s="65"/>
      <c r="I145" s="177" t="s">
        <v>199</v>
      </c>
      <c r="J145" s="65">
        <v>6899</v>
      </c>
      <c r="K145" s="322">
        <v>1</v>
      </c>
      <c r="L145" s="65"/>
    </row>
    <row r="146" spans="1:12" ht="12.75">
      <c r="A146" s="65"/>
      <c r="B146" s="176" t="s">
        <v>218</v>
      </c>
      <c r="C146" s="323">
        <v>0.5</v>
      </c>
      <c r="D146" s="65"/>
      <c r="E146" s="66">
        <v>0.5</v>
      </c>
      <c r="F146" s="66">
        <f t="shared" si="2"/>
        <v>0</v>
      </c>
      <c r="G146" s="178">
        <v>0.3</v>
      </c>
      <c r="H146" s="65"/>
      <c r="I146" s="177"/>
      <c r="J146" s="65"/>
      <c r="K146" s="179"/>
      <c r="L146" s="65"/>
    </row>
    <row r="147" spans="1:12" ht="12.75">
      <c r="A147" s="65"/>
      <c r="B147" s="176" t="s">
        <v>220</v>
      </c>
      <c r="C147" s="323">
        <v>0.215</v>
      </c>
      <c r="D147" s="65"/>
      <c r="E147" s="66">
        <v>0.215</v>
      </c>
      <c r="F147" s="66">
        <f t="shared" si="2"/>
        <v>0</v>
      </c>
      <c r="G147" s="178">
        <v>0.215</v>
      </c>
      <c r="H147" s="65"/>
      <c r="I147" s="177" t="s">
        <v>357</v>
      </c>
      <c r="J147" s="258" t="s">
        <v>358</v>
      </c>
      <c r="K147" s="322">
        <v>20</v>
      </c>
      <c r="L147" s="65">
        <v>2000</v>
      </c>
    </row>
    <row r="148" spans="1:12" ht="12.75">
      <c r="A148" s="65"/>
      <c r="B148" s="176" t="s">
        <v>222</v>
      </c>
      <c r="C148" s="323">
        <v>0.8</v>
      </c>
      <c r="D148" s="65"/>
      <c r="E148" s="66">
        <v>0.9</v>
      </c>
      <c r="F148" s="66">
        <f t="shared" si="2"/>
        <v>-9.9999999999999978E-2</v>
      </c>
      <c r="G148" s="178">
        <v>0.9</v>
      </c>
      <c r="H148" s="65"/>
      <c r="I148" s="177" t="s">
        <v>202</v>
      </c>
      <c r="J148" s="65">
        <v>7491</v>
      </c>
      <c r="K148" s="322">
        <v>1000</v>
      </c>
      <c r="L148" s="65"/>
    </row>
    <row r="149" spans="1:12" ht="12.75">
      <c r="A149" s="65"/>
      <c r="B149" s="176" t="s">
        <v>88</v>
      </c>
      <c r="C149" s="178">
        <v>0</v>
      </c>
      <c r="D149" s="65"/>
      <c r="E149" s="66">
        <v>0</v>
      </c>
      <c r="F149" s="66">
        <f t="shared" si="2"/>
        <v>0</v>
      </c>
      <c r="G149" s="178">
        <v>0.08</v>
      </c>
      <c r="H149" s="65"/>
      <c r="I149" s="177" t="s">
        <v>359</v>
      </c>
      <c r="J149" s="65">
        <v>6173</v>
      </c>
      <c r="K149" s="236">
        <v>0</v>
      </c>
      <c r="L149" s="65"/>
    </row>
    <row r="150" spans="1:12" ht="12.75">
      <c r="A150" s="65"/>
      <c r="B150" s="176" t="s">
        <v>225</v>
      </c>
      <c r="C150" s="176">
        <v>0</v>
      </c>
      <c r="D150" s="65"/>
      <c r="E150" s="66">
        <v>0</v>
      </c>
      <c r="F150" s="66">
        <f t="shared" si="2"/>
        <v>0</v>
      </c>
      <c r="G150" s="178">
        <v>0</v>
      </c>
      <c r="H150" s="65"/>
      <c r="I150" s="177" t="s">
        <v>204</v>
      </c>
      <c r="J150" s="65">
        <v>6210</v>
      </c>
      <c r="K150" s="322">
        <v>7500</v>
      </c>
      <c r="L150" s="65">
        <v>7307</v>
      </c>
    </row>
    <row r="151" spans="1:12" ht="12.75">
      <c r="A151" s="65"/>
      <c r="B151" s="176" t="s">
        <v>227</v>
      </c>
      <c r="C151" s="323">
        <v>1</v>
      </c>
      <c r="D151" s="65"/>
      <c r="E151" s="66">
        <v>1</v>
      </c>
      <c r="F151" s="66">
        <f t="shared" si="2"/>
        <v>0</v>
      </c>
      <c r="G151" s="178">
        <v>1.5</v>
      </c>
      <c r="H151" s="65"/>
      <c r="I151" s="177" t="s">
        <v>205</v>
      </c>
      <c r="J151" s="65">
        <v>5097</v>
      </c>
      <c r="K151" s="179">
        <v>0</v>
      </c>
      <c r="L151" s="65"/>
    </row>
    <row r="152" spans="1:12" ht="12.75">
      <c r="A152" s="65"/>
      <c r="B152" s="176" t="s">
        <v>229</v>
      </c>
      <c r="C152" s="323">
        <v>1.5</v>
      </c>
      <c r="D152" s="65"/>
      <c r="E152" s="66">
        <v>1.5</v>
      </c>
      <c r="F152" s="66">
        <f t="shared" si="2"/>
        <v>0</v>
      </c>
      <c r="G152" s="178">
        <v>1</v>
      </c>
      <c r="H152" s="65"/>
      <c r="I152" s="177" t="s">
        <v>206</v>
      </c>
      <c r="J152" s="212" t="s">
        <v>382</v>
      </c>
      <c r="K152" s="322">
        <v>60</v>
      </c>
      <c r="L152" s="65"/>
    </row>
    <row r="153" spans="1:12" ht="12.75">
      <c r="A153" s="65"/>
      <c r="B153" s="176" t="s">
        <v>231</v>
      </c>
      <c r="C153" s="323">
        <v>1.4</v>
      </c>
      <c r="D153" s="65"/>
      <c r="E153" s="66">
        <v>1.4</v>
      </c>
      <c r="F153" s="66">
        <f t="shared" si="2"/>
        <v>0</v>
      </c>
      <c r="G153" s="178">
        <v>1.5</v>
      </c>
      <c r="H153" s="65"/>
      <c r="I153" s="177" t="s">
        <v>209</v>
      </c>
      <c r="J153" s="258" t="s">
        <v>358</v>
      </c>
      <c r="K153" s="322">
        <v>800</v>
      </c>
      <c r="L153" s="65"/>
    </row>
    <row r="154" spans="1:12" ht="12.75">
      <c r="A154" s="65"/>
      <c r="B154" s="176" t="s">
        <v>233</v>
      </c>
      <c r="C154" s="323">
        <v>20</v>
      </c>
      <c r="D154" s="177"/>
      <c r="E154" s="66">
        <v>25.216999999999999</v>
      </c>
      <c r="F154" s="66">
        <f t="shared" si="2"/>
        <v>-5.2169999999999987</v>
      </c>
      <c r="G154" s="178">
        <v>1.4</v>
      </c>
      <c r="H154" s="65"/>
      <c r="I154" s="177"/>
      <c r="J154" s="212"/>
      <c r="K154" s="179"/>
      <c r="L154" s="65"/>
    </row>
    <row r="155" spans="1:12" ht="12.75">
      <c r="A155" s="65"/>
      <c r="B155" s="176" t="s">
        <v>235</v>
      </c>
      <c r="C155" s="323">
        <v>5.46</v>
      </c>
      <c r="D155" s="65"/>
      <c r="E155" s="66">
        <v>5.9749999999999996</v>
      </c>
      <c r="F155" s="66">
        <f t="shared" si="2"/>
        <v>-0.51499999999999968</v>
      </c>
      <c r="G155" s="178">
        <v>25</v>
      </c>
      <c r="H155" s="65"/>
      <c r="I155" s="177" t="s">
        <v>213</v>
      </c>
      <c r="J155" s="65">
        <v>5310</v>
      </c>
      <c r="K155" s="322">
        <v>138</v>
      </c>
      <c r="L155" s="65"/>
    </row>
    <row r="156" spans="1:12" ht="12.75">
      <c r="A156" s="65"/>
      <c r="B156" s="176" t="s">
        <v>237</v>
      </c>
      <c r="C156" s="323">
        <v>15</v>
      </c>
      <c r="D156" s="65"/>
      <c r="E156" s="66">
        <v>10</v>
      </c>
      <c r="F156" s="66">
        <f t="shared" si="2"/>
        <v>5</v>
      </c>
      <c r="G156" s="178">
        <v>5.9749999999999996</v>
      </c>
      <c r="H156" s="65"/>
      <c r="I156" s="177"/>
      <c r="J156" s="65"/>
      <c r="K156" s="301"/>
      <c r="L156" s="65"/>
    </row>
    <row r="157" spans="1:12" ht="12.75">
      <c r="A157" s="65"/>
      <c r="B157" s="176" t="s">
        <v>239</v>
      </c>
      <c r="C157" s="323">
        <v>0.05</v>
      </c>
      <c r="D157" s="65"/>
      <c r="E157" s="66">
        <v>0.05</v>
      </c>
      <c r="F157" s="66">
        <f t="shared" si="2"/>
        <v>0</v>
      </c>
      <c r="G157" s="178">
        <v>10</v>
      </c>
      <c r="H157" s="65"/>
      <c r="I157" s="177" t="s">
        <v>333</v>
      </c>
      <c r="J157" s="212" t="s">
        <v>383</v>
      </c>
      <c r="K157" s="322">
        <v>120</v>
      </c>
      <c r="L157" s="65"/>
    </row>
    <row r="158" spans="1:12" ht="12.75">
      <c r="A158" s="65"/>
      <c r="B158" s="176" t="s">
        <v>241</v>
      </c>
      <c r="C158" s="323">
        <v>0.6</v>
      </c>
      <c r="D158" s="65"/>
      <c r="E158" s="66">
        <v>0.71299999999999997</v>
      </c>
      <c r="F158" s="66">
        <f t="shared" si="2"/>
        <v>-0.11299999999999999</v>
      </c>
      <c r="G158" s="178">
        <v>0.05</v>
      </c>
      <c r="H158" s="65"/>
      <c r="I158" s="177" t="s">
        <v>333</v>
      </c>
      <c r="J158" s="65">
        <v>6534</v>
      </c>
      <c r="K158" s="322">
        <v>2038</v>
      </c>
      <c r="L158" s="65"/>
    </row>
    <row r="159" spans="1:12" ht="12.75">
      <c r="A159" s="65"/>
      <c r="B159" s="176" t="s">
        <v>243</v>
      </c>
      <c r="C159" s="323">
        <v>0.24</v>
      </c>
      <c r="D159" s="65"/>
      <c r="E159" s="66">
        <v>1.2</v>
      </c>
      <c r="F159" s="66">
        <f t="shared" si="2"/>
        <v>-0.96</v>
      </c>
      <c r="G159" s="178">
        <v>0.71299999999999997</v>
      </c>
      <c r="H159" s="65"/>
      <c r="I159" s="177" t="s">
        <v>219</v>
      </c>
      <c r="J159" s="65">
        <v>6614</v>
      </c>
      <c r="K159" s="179">
        <v>0</v>
      </c>
      <c r="L159" s="65"/>
    </row>
    <row r="160" spans="1:12" ht="12.75">
      <c r="A160" s="65"/>
      <c r="B160" s="176" t="s">
        <v>92</v>
      </c>
      <c r="C160" s="331">
        <v>5</v>
      </c>
      <c r="D160" s="65"/>
      <c r="E160" s="66">
        <v>0</v>
      </c>
      <c r="F160" s="66">
        <f t="shared" si="2"/>
        <v>5</v>
      </c>
      <c r="G160" s="178">
        <v>1.2</v>
      </c>
      <c r="H160" s="65"/>
      <c r="I160" s="177" t="s">
        <v>221</v>
      </c>
      <c r="J160" s="65">
        <v>6542</v>
      </c>
      <c r="K160" s="301">
        <v>1</v>
      </c>
      <c r="L160" s="65"/>
    </row>
    <row r="161" spans="1:12" ht="12.75">
      <c r="A161" s="65"/>
      <c r="B161" s="176" t="s">
        <v>86</v>
      </c>
      <c r="C161" s="323">
        <v>10</v>
      </c>
      <c r="D161" s="65"/>
      <c r="E161" s="66">
        <v>10</v>
      </c>
      <c r="F161" s="66">
        <f t="shared" si="2"/>
        <v>0</v>
      </c>
      <c r="G161" s="178">
        <v>5</v>
      </c>
      <c r="H161" s="65"/>
      <c r="I161" s="177" t="s">
        <v>223</v>
      </c>
      <c r="J161" s="65">
        <v>5310</v>
      </c>
      <c r="K161" s="322">
        <v>184</v>
      </c>
      <c r="L161" s="65"/>
    </row>
    <row r="162" spans="1:12" ht="12.75">
      <c r="A162" s="65"/>
      <c r="B162" s="176"/>
      <c r="C162" s="176"/>
      <c r="D162" s="65"/>
      <c r="E162" s="66"/>
      <c r="F162" s="66"/>
      <c r="G162" s="178"/>
      <c r="H162" s="65"/>
      <c r="I162" s="177" t="s">
        <v>224</v>
      </c>
      <c r="J162" s="65">
        <v>5310</v>
      </c>
      <c r="K162" s="322">
        <v>1200</v>
      </c>
      <c r="L162" s="65"/>
    </row>
    <row r="163" spans="1:12" ht="12.75">
      <c r="A163" s="65"/>
      <c r="B163" s="176" t="s">
        <v>246</v>
      </c>
      <c r="C163" s="323">
        <v>0.45</v>
      </c>
      <c r="D163" s="65"/>
      <c r="E163" s="66">
        <v>0.45</v>
      </c>
      <c r="F163" s="66">
        <f>C163-E163</f>
        <v>0</v>
      </c>
      <c r="G163" s="178">
        <v>10</v>
      </c>
      <c r="H163" s="65"/>
      <c r="I163" s="177" t="s">
        <v>226</v>
      </c>
      <c r="J163" s="65"/>
      <c r="K163" s="177">
        <v>0</v>
      </c>
      <c r="L163" s="65"/>
    </row>
    <row r="164" spans="1:12" ht="12.75">
      <c r="A164" s="65"/>
      <c r="B164" s="66" t="s">
        <v>248</v>
      </c>
      <c r="C164" s="66">
        <v>0</v>
      </c>
      <c r="D164" s="65"/>
      <c r="E164" s="66">
        <v>0</v>
      </c>
      <c r="F164" s="66">
        <f>C164-E164</f>
        <v>0</v>
      </c>
      <c r="G164" s="178">
        <v>0.45</v>
      </c>
      <c r="H164" s="65"/>
      <c r="I164" s="177" t="s">
        <v>228</v>
      </c>
      <c r="J164" s="65"/>
      <c r="K164" s="177">
        <v>0</v>
      </c>
      <c r="L164" s="65"/>
    </row>
    <row r="165" spans="1:12" ht="12.75">
      <c r="A165" s="65"/>
      <c r="B165" s="176" t="s">
        <v>251</v>
      </c>
      <c r="C165" s="323">
        <v>20</v>
      </c>
      <c r="D165" s="65"/>
      <c r="E165" s="66">
        <v>20</v>
      </c>
      <c r="F165" s="66">
        <f>C165-E165</f>
        <v>0</v>
      </c>
      <c r="G165" s="178">
        <v>19</v>
      </c>
      <c r="H165" s="65"/>
      <c r="I165" s="177" t="s">
        <v>230</v>
      </c>
      <c r="J165" s="65"/>
      <c r="K165" s="177">
        <v>0</v>
      </c>
      <c r="L165" s="65"/>
    </row>
    <row r="166" spans="1:12" ht="12.75">
      <c r="A166" s="65"/>
      <c r="B166" s="176" t="s">
        <v>253</v>
      </c>
      <c r="C166" s="323">
        <v>1.5</v>
      </c>
      <c r="D166" s="65"/>
      <c r="E166" s="66">
        <v>1.5</v>
      </c>
      <c r="F166" s="66">
        <f>C166-E166</f>
        <v>0</v>
      </c>
      <c r="G166" s="178">
        <v>10</v>
      </c>
      <c r="H166" s="65"/>
      <c r="I166" s="177" t="s">
        <v>232</v>
      </c>
      <c r="J166" s="65"/>
      <c r="K166" s="177">
        <v>0</v>
      </c>
      <c r="L166" s="65"/>
    </row>
    <row r="167" spans="1:12" ht="12.75">
      <c r="A167" s="65"/>
      <c r="B167" s="66" t="s">
        <v>84</v>
      </c>
      <c r="C167" s="332">
        <v>4.5</v>
      </c>
      <c r="D167" s="333"/>
      <c r="E167" s="66">
        <v>0</v>
      </c>
      <c r="F167" s="66">
        <f>C167-E167</f>
        <v>4.5</v>
      </c>
      <c r="G167" s="178">
        <v>1.5</v>
      </c>
      <c r="H167" s="65"/>
      <c r="I167" s="177" t="s">
        <v>234</v>
      </c>
      <c r="J167" s="65"/>
      <c r="K167" s="177">
        <v>0</v>
      </c>
      <c r="L167" s="65"/>
    </row>
    <row r="168" spans="1:12" ht="12.75">
      <c r="A168" s="65"/>
      <c r="B168" s="66"/>
      <c r="C168" s="66"/>
      <c r="D168" s="65"/>
      <c r="E168" s="66"/>
      <c r="F168" s="66"/>
      <c r="G168" s="178"/>
      <c r="H168" s="65"/>
      <c r="I168" s="177" t="s">
        <v>236</v>
      </c>
      <c r="J168" s="65">
        <v>7211</v>
      </c>
      <c r="K168" s="179">
        <v>0</v>
      </c>
      <c r="L168" s="65">
        <v>12500</v>
      </c>
    </row>
    <row r="169" spans="1:12" ht="12.75">
      <c r="A169" s="65"/>
      <c r="B169" s="66"/>
      <c r="C169" s="66"/>
      <c r="D169" s="65"/>
      <c r="E169" s="66"/>
      <c r="F169" s="66"/>
      <c r="G169" s="178"/>
      <c r="H169" s="65"/>
      <c r="I169" s="177" t="s">
        <v>238</v>
      </c>
      <c r="J169" s="65">
        <v>6722</v>
      </c>
      <c r="K169" s="322">
        <v>41</v>
      </c>
      <c r="L169" s="65"/>
    </row>
    <row r="170" spans="1:12" ht="12.75">
      <c r="A170" s="65"/>
      <c r="B170" s="176" t="s">
        <v>256</v>
      </c>
      <c r="C170" s="323">
        <v>4</v>
      </c>
      <c r="D170" s="65"/>
      <c r="E170" s="66">
        <v>4</v>
      </c>
      <c r="F170" s="66">
        <f t="shared" ref="F170:F178" si="3">C170-E170</f>
        <v>0</v>
      </c>
      <c r="G170" s="178">
        <v>4.5</v>
      </c>
      <c r="H170" s="65"/>
      <c r="I170" s="177" t="s">
        <v>240</v>
      </c>
      <c r="J170" s="65"/>
      <c r="K170" s="322">
        <v>630</v>
      </c>
      <c r="L170" s="65"/>
    </row>
    <row r="171" spans="1:12" ht="12.75">
      <c r="A171" s="65"/>
      <c r="B171" s="176" t="s">
        <v>257</v>
      </c>
      <c r="C171" s="323">
        <v>0.08</v>
      </c>
      <c r="D171" s="65"/>
      <c r="E171" s="66">
        <v>6.0999999999999999E-2</v>
      </c>
      <c r="F171" s="66">
        <f t="shared" si="3"/>
        <v>1.9000000000000003E-2</v>
      </c>
      <c r="G171" s="178">
        <v>4</v>
      </c>
      <c r="H171" s="65"/>
      <c r="I171" s="177" t="s">
        <v>242</v>
      </c>
      <c r="J171" s="65">
        <v>4063</v>
      </c>
      <c r="K171" s="322">
        <v>231</v>
      </c>
      <c r="L171" s="65"/>
    </row>
    <row r="172" spans="1:12" ht="12.75">
      <c r="A172" s="65"/>
      <c r="B172" s="176" t="s">
        <v>258</v>
      </c>
      <c r="C172" s="323">
        <v>40</v>
      </c>
      <c r="D172" s="65"/>
      <c r="E172" s="66">
        <v>41.424999999999997</v>
      </c>
      <c r="F172" s="180">
        <f t="shared" si="3"/>
        <v>-1.4249999999999972</v>
      </c>
      <c r="G172" s="178">
        <v>6.0999999999999999E-2</v>
      </c>
      <c r="H172" s="65"/>
      <c r="I172" s="177" t="s">
        <v>94</v>
      </c>
      <c r="J172" s="65">
        <v>3405</v>
      </c>
      <c r="K172" s="322">
        <v>2591</v>
      </c>
      <c r="L172" s="65"/>
    </row>
    <row r="173" spans="1:12" ht="12.75">
      <c r="A173" s="65"/>
      <c r="B173" s="176" t="s">
        <v>26</v>
      </c>
      <c r="C173" s="323">
        <v>19</v>
      </c>
      <c r="D173" s="65"/>
      <c r="E173" s="66">
        <v>18.899000000000001</v>
      </c>
      <c r="F173" s="66">
        <f t="shared" si="3"/>
        <v>0.10099999999999909</v>
      </c>
      <c r="G173" s="178">
        <v>40</v>
      </c>
      <c r="H173" s="65"/>
      <c r="I173" s="177" t="s">
        <v>52</v>
      </c>
      <c r="J173" s="65" t="s">
        <v>385</v>
      </c>
      <c r="K173" s="322">
        <v>7000</v>
      </c>
      <c r="L173" s="65"/>
    </row>
    <row r="174" spans="1:12" ht="12.75">
      <c r="A174" s="65"/>
      <c r="B174" s="176" t="s">
        <v>261</v>
      </c>
      <c r="C174" s="323">
        <v>1</v>
      </c>
      <c r="D174" s="65"/>
      <c r="E174" s="66">
        <v>1</v>
      </c>
      <c r="F174" s="66">
        <f t="shared" si="3"/>
        <v>0</v>
      </c>
      <c r="G174" s="178">
        <v>20</v>
      </c>
      <c r="H174" s="65"/>
      <c r="I174" s="177" t="s">
        <v>362</v>
      </c>
      <c r="J174" s="65">
        <v>9643</v>
      </c>
      <c r="K174" s="322">
        <v>4300</v>
      </c>
      <c r="L174" s="65"/>
    </row>
    <row r="175" spans="1:12" ht="12.75">
      <c r="A175" s="65"/>
      <c r="B175" s="176" t="s">
        <v>152</v>
      </c>
      <c r="C175" s="176">
        <v>0</v>
      </c>
      <c r="D175" s="65"/>
      <c r="E175" s="66">
        <v>0</v>
      </c>
      <c r="F175" s="66">
        <f t="shared" si="3"/>
        <v>0</v>
      </c>
      <c r="G175" s="178">
        <v>1</v>
      </c>
      <c r="H175" s="65"/>
      <c r="I175" s="177" t="s">
        <v>244</v>
      </c>
      <c r="J175" s="65">
        <v>6788</v>
      </c>
      <c r="K175" s="322">
        <v>250</v>
      </c>
      <c r="L175" s="65">
        <v>863</v>
      </c>
    </row>
    <row r="176" spans="1:12" ht="12.75">
      <c r="A176" s="65"/>
      <c r="B176" s="176" t="s">
        <v>262</v>
      </c>
      <c r="C176" s="323">
        <v>1</v>
      </c>
      <c r="D176" s="65"/>
      <c r="E176" s="66">
        <v>1</v>
      </c>
      <c r="F176" s="66">
        <f t="shared" si="3"/>
        <v>0</v>
      </c>
      <c r="G176" s="178">
        <v>10</v>
      </c>
      <c r="H176" s="65"/>
      <c r="I176" s="177" t="s">
        <v>245</v>
      </c>
      <c r="J176" s="65">
        <v>6683</v>
      </c>
      <c r="K176" s="322">
        <v>2500</v>
      </c>
      <c r="L176" s="65"/>
    </row>
    <row r="177" spans="1:12" ht="12.75">
      <c r="A177" s="65"/>
      <c r="B177" s="176" t="s">
        <v>263</v>
      </c>
      <c r="C177" s="323">
        <v>65</v>
      </c>
      <c r="D177" s="65" t="s">
        <v>415</v>
      </c>
      <c r="E177" s="66">
        <v>67.477999999999994</v>
      </c>
      <c r="F177" s="66">
        <f t="shared" si="3"/>
        <v>-2.4779999999999944</v>
      </c>
      <c r="G177" s="178">
        <v>1</v>
      </c>
      <c r="H177" s="65"/>
      <c r="I177" s="177" t="s">
        <v>360</v>
      </c>
      <c r="J177" s="65">
        <v>2185</v>
      </c>
      <c r="K177" s="322">
        <v>35</v>
      </c>
      <c r="L177" s="65"/>
    </row>
    <row r="178" spans="1:12" ht="12.75">
      <c r="A178" s="65"/>
      <c r="B178" s="176" t="s">
        <v>264</v>
      </c>
      <c r="C178" s="300">
        <v>0</v>
      </c>
      <c r="D178" s="65"/>
      <c r="E178" s="66">
        <v>0.2</v>
      </c>
      <c r="F178" s="66">
        <f t="shared" si="3"/>
        <v>-0.2</v>
      </c>
      <c r="G178" s="178">
        <v>65</v>
      </c>
      <c r="H178" s="65"/>
      <c r="I178" s="177"/>
      <c r="J178" s="65"/>
      <c r="K178" s="179"/>
      <c r="L178" s="65"/>
    </row>
    <row r="179" spans="1:12" ht="12.75">
      <c r="A179" s="65"/>
      <c r="B179" s="176" t="s">
        <v>322</v>
      </c>
      <c r="C179" s="323">
        <v>4.2999999999999997E-2</v>
      </c>
      <c r="D179" s="65"/>
      <c r="E179" s="66"/>
      <c r="F179" s="66"/>
      <c r="G179" s="178"/>
      <c r="H179" s="65"/>
      <c r="I179" s="177"/>
      <c r="J179" s="65"/>
      <c r="K179" s="179"/>
      <c r="L179" s="65">
        <v>10</v>
      </c>
    </row>
    <row r="180" spans="1:12" ht="12.75">
      <c r="A180" s="65"/>
      <c r="B180" s="176" t="s">
        <v>265</v>
      </c>
      <c r="C180" s="176">
        <v>0</v>
      </c>
      <c r="D180" s="65"/>
      <c r="E180" s="66">
        <v>4.665</v>
      </c>
      <c r="F180" s="66">
        <f t="shared" ref="F180:F185" si="4">C180-E180</f>
        <v>-4.665</v>
      </c>
      <c r="G180" s="178">
        <v>0.2</v>
      </c>
      <c r="H180" s="65"/>
      <c r="I180" s="177" t="s">
        <v>249</v>
      </c>
      <c r="J180" s="212" t="s">
        <v>384</v>
      </c>
      <c r="K180" s="322">
        <v>8677</v>
      </c>
      <c r="L180" s="65"/>
    </row>
    <row r="181" spans="1:12" ht="12.75">
      <c r="A181" s="65"/>
      <c r="B181" s="176" t="s">
        <v>266</v>
      </c>
      <c r="C181" s="323">
        <v>0.05</v>
      </c>
      <c r="D181" s="65"/>
      <c r="E181" s="66">
        <v>0.05</v>
      </c>
      <c r="F181" s="66">
        <f t="shared" si="4"/>
        <v>0</v>
      </c>
      <c r="G181" s="178">
        <v>4</v>
      </c>
      <c r="H181" s="65"/>
      <c r="I181" s="177" t="s">
        <v>252</v>
      </c>
      <c r="J181" s="65">
        <v>4132</v>
      </c>
      <c r="K181" s="322">
        <v>10</v>
      </c>
      <c r="L181" s="65"/>
    </row>
    <row r="182" spans="1:12" ht="12.75">
      <c r="A182" s="65"/>
      <c r="B182" s="66" t="s">
        <v>178</v>
      </c>
      <c r="C182" s="66">
        <v>0</v>
      </c>
      <c r="D182" s="65"/>
      <c r="E182" s="66">
        <v>0</v>
      </c>
      <c r="F182" s="66">
        <f t="shared" si="4"/>
        <v>0</v>
      </c>
      <c r="G182" s="178">
        <v>0.05</v>
      </c>
      <c r="H182" s="65"/>
      <c r="I182" s="177" t="s">
        <v>254</v>
      </c>
      <c r="J182" s="65">
        <v>2540</v>
      </c>
      <c r="K182" s="179">
        <v>0</v>
      </c>
      <c r="L182" s="65"/>
    </row>
    <row r="183" spans="1:12" ht="12.75">
      <c r="A183" s="65"/>
      <c r="B183" s="176" t="s">
        <v>267</v>
      </c>
      <c r="C183" s="176">
        <v>0</v>
      </c>
      <c r="D183" s="65"/>
      <c r="E183" s="66">
        <v>0</v>
      </c>
      <c r="F183" s="66">
        <f t="shared" si="4"/>
        <v>0</v>
      </c>
      <c r="G183" s="178">
        <v>0</v>
      </c>
      <c r="H183" s="65"/>
      <c r="I183" s="177" t="s">
        <v>255</v>
      </c>
      <c r="J183" s="65">
        <v>3405</v>
      </c>
      <c r="K183" s="322">
        <v>15</v>
      </c>
      <c r="L183" s="65"/>
    </row>
    <row r="184" spans="1:12" ht="12.75">
      <c r="B184" t="s">
        <v>268</v>
      </c>
      <c r="C184" s="66">
        <v>0</v>
      </c>
      <c r="D184" s="65" t="s">
        <v>269</v>
      </c>
      <c r="E184" s="66">
        <v>0</v>
      </c>
      <c r="F184" s="66">
        <f t="shared" si="4"/>
        <v>0</v>
      </c>
      <c r="G184" s="178">
        <v>12.5</v>
      </c>
      <c r="H184" s="65"/>
      <c r="I184" s="177" t="s">
        <v>255</v>
      </c>
      <c r="J184" s="65">
        <v>5801</v>
      </c>
      <c r="K184" s="322">
        <v>1</v>
      </c>
      <c r="L184" s="65"/>
    </row>
    <row r="185" spans="1:12" ht="12.75">
      <c r="B185" t="s">
        <v>270</v>
      </c>
      <c r="C185" s="66">
        <v>0</v>
      </c>
      <c r="D185" s="65"/>
      <c r="E185" s="66">
        <v>0</v>
      </c>
      <c r="F185" s="66">
        <f t="shared" si="4"/>
        <v>0</v>
      </c>
      <c r="G185" s="178">
        <v>0</v>
      </c>
      <c r="H185" s="65"/>
      <c r="I185" s="177" t="s">
        <v>96</v>
      </c>
      <c r="J185" s="65">
        <v>6589</v>
      </c>
      <c r="K185" s="322">
        <v>1100</v>
      </c>
      <c r="L185" s="65"/>
    </row>
    <row r="186" spans="1:12" ht="12.75">
      <c r="B186"/>
      <c r="C186" s="182">
        <f>SUM(C104:C185)</f>
        <v>468.54400000000004</v>
      </c>
      <c r="D186" s="65"/>
      <c r="E186" s="182">
        <f>SUM(E104:E185)</f>
        <v>472.43299999999999</v>
      </c>
      <c r="F186" s="66">
        <f>C185-E185</f>
        <v>0</v>
      </c>
      <c r="G186" s="177"/>
      <c r="H186" s="65"/>
      <c r="I186" s="177"/>
      <c r="J186" s="65"/>
      <c r="K186" s="322"/>
      <c r="L186" s="65"/>
    </row>
    <row r="187" spans="1:12" ht="12.75">
      <c r="B187"/>
      <c r="C187" s="66"/>
      <c r="D187" s="65"/>
      <c r="E187" s="65"/>
      <c r="F187" s="65"/>
      <c r="G187" s="65"/>
      <c r="H187" s="65"/>
      <c r="I187" s="177" t="s">
        <v>259</v>
      </c>
      <c r="J187" s="65">
        <v>106</v>
      </c>
      <c r="K187" s="322">
        <v>1068</v>
      </c>
      <c r="L187" s="65"/>
    </row>
    <row r="188" spans="1:12" ht="12.75">
      <c r="A188" s="183"/>
      <c r="B188"/>
      <c r="C188" s="66"/>
      <c r="D188" s="65"/>
      <c r="E188" s="65"/>
      <c r="F188" s="65"/>
      <c r="G188" s="65"/>
      <c r="H188" s="65"/>
      <c r="I188" s="177"/>
      <c r="J188" s="65"/>
      <c r="K188" s="179"/>
      <c r="L188" s="65" t="s">
        <v>185</v>
      </c>
    </row>
    <row r="189" spans="1:12" ht="12.75">
      <c r="B189"/>
      <c r="C189" s="66"/>
      <c r="D189" s="65"/>
      <c r="E189" s="65"/>
      <c r="F189" s="65"/>
      <c r="G189" s="65"/>
      <c r="H189" s="65"/>
      <c r="I189" s="177" t="s">
        <v>260</v>
      </c>
      <c r="J189" s="65">
        <v>6598</v>
      </c>
      <c r="K189" s="322">
        <v>4206</v>
      </c>
    </row>
    <row r="190" spans="1:12" ht="12.75">
      <c r="B190" s="175" t="s">
        <v>7</v>
      </c>
      <c r="C190" s="176">
        <v>0</v>
      </c>
      <c r="D190" s="65"/>
      <c r="E190" s="65"/>
      <c r="F190" s="65"/>
      <c r="G190" s="65"/>
      <c r="H190" s="65"/>
      <c r="I190" s="66"/>
      <c r="J190" s="65"/>
      <c r="K190" s="179"/>
    </row>
    <row r="191" spans="1:12" ht="12.75">
      <c r="B191" s="175" t="s">
        <v>6</v>
      </c>
      <c r="C191" s="176">
        <v>0</v>
      </c>
      <c r="D191" s="65">
        <v>3</v>
      </c>
      <c r="E191" s="65"/>
      <c r="F191" s="65"/>
      <c r="G191" s="65"/>
      <c r="H191" s="65"/>
      <c r="I191" s="65"/>
      <c r="J191" s="65"/>
      <c r="K191" s="181">
        <f>SUM(K104:K190)</f>
        <v>89093</v>
      </c>
    </row>
    <row r="192" spans="1:12" ht="12.75">
      <c r="B192" s="175" t="s">
        <v>271</v>
      </c>
      <c r="C192" s="176">
        <v>0</v>
      </c>
      <c r="D192" s="65" t="s">
        <v>272</v>
      </c>
      <c r="E192" s="65"/>
      <c r="F192" s="65"/>
      <c r="G192" s="65"/>
      <c r="H192" s="65"/>
      <c r="I192" s="65"/>
      <c r="J192" s="65"/>
      <c r="K192" s="65"/>
    </row>
    <row r="193" spans="1:11" ht="12.75">
      <c r="B193" s="175" t="s">
        <v>11</v>
      </c>
      <c r="C193" s="176">
        <v>0</v>
      </c>
      <c r="D193" s="65"/>
      <c r="E193" s="65"/>
      <c r="F193" s="65">
        <v>5</v>
      </c>
      <c r="G193" s="65"/>
      <c r="H193" s="65"/>
      <c r="I193" s="65"/>
      <c r="J193" s="65"/>
      <c r="K193" s="65"/>
    </row>
    <row r="194" spans="1:11" ht="12.75">
      <c r="B194" s="175" t="s">
        <v>187</v>
      </c>
      <c r="C194" s="176">
        <v>0</v>
      </c>
      <c r="D194" s="65" t="s">
        <v>273</v>
      </c>
      <c r="E194" s="65"/>
      <c r="F194" s="65">
        <v>10</v>
      </c>
      <c r="G194" s="65"/>
      <c r="H194" s="65"/>
      <c r="I194" s="65"/>
      <c r="J194" s="65"/>
      <c r="K194" s="65"/>
    </row>
    <row r="195" spans="1:11" ht="12.75">
      <c r="B195" s="175" t="s">
        <v>201</v>
      </c>
      <c r="C195" s="176">
        <v>0</v>
      </c>
      <c r="D195" s="65"/>
      <c r="E195" s="65"/>
      <c r="F195" s="65"/>
      <c r="G195" s="65"/>
      <c r="H195" s="65"/>
      <c r="I195" s="65"/>
      <c r="J195" s="65"/>
      <c r="K195" s="65"/>
    </row>
    <row r="196" spans="1:11" ht="12.75">
      <c r="B196" s="175" t="s">
        <v>16</v>
      </c>
      <c r="C196" s="176">
        <v>0</v>
      </c>
      <c r="D196" s="65"/>
      <c r="E196" s="65"/>
      <c r="F196" s="65"/>
      <c r="G196" s="65"/>
      <c r="H196" s="65"/>
      <c r="I196" s="65"/>
      <c r="J196" s="65"/>
      <c r="K196" s="65"/>
    </row>
    <row r="197" spans="1:11" ht="12.75">
      <c r="B197" s="175" t="s">
        <v>14</v>
      </c>
      <c r="C197" s="176">
        <v>0</v>
      </c>
      <c r="D197" s="65" t="s">
        <v>272</v>
      </c>
      <c r="E197" s="65"/>
      <c r="F197" s="65">
        <v>5</v>
      </c>
      <c r="G197" s="65"/>
      <c r="H197" s="65"/>
      <c r="I197" s="66"/>
      <c r="J197" s="65"/>
      <c r="K197" s="65"/>
    </row>
    <row r="198" spans="1:11" ht="12.75">
      <c r="A198" s="12" t="s">
        <v>274</v>
      </c>
      <c r="B198" s="175" t="s">
        <v>18</v>
      </c>
      <c r="C198" s="176">
        <v>0</v>
      </c>
      <c r="D198" s="65" t="s">
        <v>272</v>
      </c>
      <c r="E198" s="65"/>
      <c r="F198" s="65">
        <v>15</v>
      </c>
      <c r="G198" s="65"/>
      <c r="H198" s="65"/>
      <c r="I198" s="65"/>
      <c r="J198" s="65"/>
    </row>
    <row r="199" spans="1:11" ht="12.75">
      <c r="B199" t="s">
        <v>216</v>
      </c>
      <c r="C199" s="66">
        <v>0</v>
      </c>
      <c r="D199" s="65" t="s">
        <v>272</v>
      </c>
      <c r="E199" s="65"/>
      <c r="F199" s="65">
        <v>15</v>
      </c>
      <c r="G199" s="65"/>
      <c r="H199" s="65"/>
      <c r="I199" s="65"/>
      <c r="J199" s="65"/>
    </row>
    <row r="200" spans="1:11" ht="12.75">
      <c r="B200" s="175" t="s">
        <v>233</v>
      </c>
      <c r="C200" s="176">
        <v>0</v>
      </c>
      <c r="D200" s="65"/>
      <c r="E200" s="65"/>
      <c r="F200" s="65">
        <v>5</v>
      </c>
      <c r="G200" s="65"/>
      <c r="H200" s="65"/>
      <c r="I200" s="65"/>
      <c r="J200" s="65"/>
    </row>
    <row r="201" spans="1:11" ht="12.75">
      <c r="B201" s="175" t="s">
        <v>275</v>
      </c>
      <c r="C201" s="176">
        <v>0</v>
      </c>
      <c r="D201" s="65" t="s">
        <v>276</v>
      </c>
      <c r="E201" s="65"/>
      <c r="F201" s="65"/>
      <c r="G201" s="65"/>
      <c r="H201" s="65"/>
      <c r="I201" s="65"/>
      <c r="J201" s="65"/>
    </row>
    <row r="202" spans="1:11" ht="12.75">
      <c r="B202" t="s">
        <v>258</v>
      </c>
      <c r="C202" s="178">
        <v>0</v>
      </c>
      <c r="D202" s="65"/>
      <c r="E202" s="65"/>
      <c r="F202" s="65">
        <f>SUM(F193:F201)</f>
        <v>55</v>
      </c>
      <c r="G202" s="65"/>
      <c r="H202" s="65"/>
      <c r="I202" s="65"/>
      <c r="J202" s="65"/>
    </row>
    <row r="203" spans="1:11" ht="12.75">
      <c r="B203" t="s">
        <v>26</v>
      </c>
      <c r="C203" s="178">
        <v>0</v>
      </c>
      <c r="D203" s="65"/>
      <c r="E203" s="65"/>
      <c r="F203" s="65"/>
      <c r="G203" s="65"/>
      <c r="H203" s="65"/>
      <c r="I203" s="65"/>
      <c r="J203" s="65"/>
    </row>
    <row r="204" spans="1:11" ht="12.75">
      <c r="B204" t="s">
        <v>267</v>
      </c>
      <c r="C204" s="178">
        <v>0</v>
      </c>
      <c r="D204" s="65"/>
      <c r="E204" s="65"/>
      <c r="F204" s="65"/>
      <c r="G204" s="65"/>
      <c r="H204" s="65"/>
      <c r="I204" s="65"/>
      <c r="J204" s="65"/>
    </row>
    <row r="205" spans="1:11" ht="12.75">
      <c r="B205" t="s">
        <v>277</v>
      </c>
      <c r="C205" s="178">
        <v>0</v>
      </c>
      <c r="D205" s="65"/>
      <c r="E205" s="65"/>
      <c r="F205" s="65"/>
      <c r="G205" s="65"/>
      <c r="H205" s="65"/>
      <c r="I205" s="65"/>
      <c r="J205" s="65"/>
    </row>
    <row r="206" spans="1:11" ht="12.75">
      <c r="B206" t="s">
        <v>278</v>
      </c>
      <c r="C206" s="184">
        <f>SUM(C190:C205)</f>
        <v>0</v>
      </c>
      <c r="D206" s="65"/>
      <c r="F206" s="65"/>
      <c r="G206" s="65"/>
      <c r="H206" s="65"/>
      <c r="I206" s="65"/>
      <c r="J206" s="65"/>
    </row>
    <row r="207" spans="1:11" ht="12.75">
      <c r="B207" s="45"/>
      <c r="C207" s="45"/>
      <c r="I207" s="65"/>
      <c r="J207" s="65"/>
    </row>
    <row r="208" spans="1:11" ht="12.75">
      <c r="B208"/>
      <c r="C208">
        <f>C186+C206</f>
        <v>468.54400000000004</v>
      </c>
      <c r="I208" s="66"/>
      <c r="J208" s="65"/>
    </row>
    <row r="209" spans="2:19" ht="12.75">
      <c r="B209"/>
      <c r="C209"/>
      <c r="I209" s="66"/>
      <c r="J209" s="65"/>
    </row>
    <row r="210" spans="2:19" ht="12.75">
      <c r="B210"/>
      <c r="C210">
        <f>E186-C208</f>
        <v>3.8889999999999532</v>
      </c>
      <c r="G210" s="185" t="s">
        <v>279</v>
      </c>
      <c r="H210" s="186"/>
      <c r="I210" s="65"/>
      <c r="J210" s="65"/>
      <c r="Q210" s="186"/>
      <c r="R210" s="186"/>
      <c r="S210" s="187"/>
    </row>
    <row r="211" spans="2:19" ht="12.75">
      <c r="B211"/>
      <c r="C211"/>
      <c r="G211" s="188"/>
      <c r="H211" s="189" t="s">
        <v>280</v>
      </c>
      <c r="I211" s="65"/>
      <c r="J211" s="65"/>
      <c r="N211" s="186"/>
      <c r="O211" s="186"/>
      <c r="P211" s="186"/>
      <c r="Q211" s="190"/>
      <c r="R211" s="190"/>
      <c r="S211" s="158"/>
    </row>
    <row r="212" spans="2:19">
      <c r="G212" s="191"/>
      <c r="H212" s="74"/>
      <c r="I212" s="65"/>
      <c r="J212" s="65"/>
      <c r="N212" s="190"/>
      <c r="O212" s="190"/>
      <c r="P212" s="190"/>
      <c r="Q212" s="74"/>
      <c r="R212" s="74"/>
      <c r="S212" s="161"/>
    </row>
    <row r="213" spans="2:19">
      <c r="G213" s="191"/>
      <c r="H213" s="74"/>
      <c r="I213" s="65"/>
      <c r="J213" s="65"/>
      <c r="N213" s="74"/>
      <c r="O213" s="74"/>
      <c r="P213" s="74"/>
      <c r="Q213" s="74"/>
      <c r="R213" s="74"/>
      <c r="S213" s="161"/>
    </row>
    <row r="214" spans="2:19" ht="12.75">
      <c r="B214"/>
      <c r="C214" s="195"/>
      <c r="G214" s="191"/>
      <c r="H214" s="74"/>
      <c r="I214" s="65"/>
      <c r="J214" s="65"/>
      <c r="N214" s="74"/>
      <c r="O214" s="74"/>
      <c r="P214" s="74"/>
      <c r="Q214" s="74"/>
      <c r="R214" s="74"/>
      <c r="S214" s="161"/>
    </row>
    <row r="215" spans="2:19" ht="12.75">
      <c r="B215"/>
      <c r="C215" s="195"/>
      <c r="G215" s="191"/>
      <c r="H215" s="74"/>
      <c r="I215" s="65"/>
      <c r="J215" s="65"/>
      <c r="N215" s="74"/>
      <c r="O215" s="74"/>
      <c r="P215" s="74"/>
      <c r="Q215" s="74"/>
      <c r="R215" s="74"/>
      <c r="S215" s="161"/>
    </row>
    <row r="216" spans="2:19" ht="12.75">
      <c r="B216"/>
      <c r="C216" s="195"/>
      <c r="G216" s="191"/>
      <c r="H216" s="74"/>
      <c r="I216" s="65"/>
      <c r="J216" s="65"/>
      <c r="M216" s="186"/>
      <c r="N216" s="74"/>
      <c r="O216" s="74"/>
      <c r="P216" s="74"/>
      <c r="Q216" s="74"/>
      <c r="R216" s="74"/>
      <c r="S216" s="161"/>
    </row>
    <row r="217" spans="2:19" ht="12.75">
      <c r="B217"/>
      <c r="C217" s="195"/>
      <c r="G217" s="191"/>
      <c r="H217" s="74"/>
      <c r="I217" s="65"/>
      <c r="J217" s="65"/>
      <c r="M217" s="190"/>
      <c r="N217" s="74"/>
      <c r="O217" s="74"/>
      <c r="P217" s="74"/>
      <c r="Q217" s="74"/>
      <c r="R217" s="74"/>
      <c r="S217" s="161"/>
    </row>
    <row r="218" spans="2:19" ht="12.75">
      <c r="B218"/>
      <c r="C218" s="195"/>
      <c r="G218" s="191"/>
      <c r="H218" s="74"/>
      <c r="I218" s="65"/>
      <c r="J218" s="65"/>
      <c r="M218" s="74"/>
      <c r="N218" s="74"/>
      <c r="O218" s="74"/>
      <c r="P218" s="74"/>
      <c r="Q218" s="74"/>
      <c r="R218" s="74"/>
      <c r="S218" s="161"/>
    </row>
    <row r="219" spans="2:19" ht="12.75">
      <c r="B219"/>
      <c r="C219" s="195"/>
      <c r="G219" s="191"/>
      <c r="H219" s="74"/>
      <c r="I219" s="65"/>
      <c r="J219" s="65"/>
      <c r="M219" s="74"/>
      <c r="N219" s="74"/>
      <c r="O219" s="74"/>
      <c r="P219" s="74"/>
      <c r="Q219" s="74"/>
      <c r="R219" s="74"/>
      <c r="S219" s="161"/>
    </row>
    <row r="220" spans="2:19" ht="12.75">
      <c r="B220"/>
      <c r="C220" s="195"/>
      <c r="G220" s="191"/>
      <c r="H220" s="74" t="s">
        <v>288</v>
      </c>
      <c r="I220" s="65"/>
      <c r="J220" s="65"/>
      <c r="M220" s="74"/>
      <c r="N220" s="74"/>
      <c r="O220" s="74"/>
      <c r="P220" s="74"/>
      <c r="Q220" s="74"/>
      <c r="R220" s="74"/>
      <c r="S220" s="161"/>
    </row>
    <row r="221" spans="2:19" ht="12.75">
      <c r="B221"/>
      <c r="C221" s="195"/>
      <c r="G221" s="191"/>
      <c r="H221" s="74"/>
      <c r="I221" s="65"/>
      <c r="J221" s="65"/>
      <c r="M221" s="74"/>
      <c r="N221" s="74"/>
      <c r="O221" s="74"/>
      <c r="P221" s="74"/>
      <c r="Q221" s="74"/>
      <c r="R221" s="74"/>
      <c r="S221" s="161"/>
    </row>
    <row r="222" spans="2:19" ht="12.75">
      <c r="B222"/>
      <c r="C222" s="195"/>
      <c r="G222" s="191"/>
      <c r="H222" s="74"/>
      <c r="I222" s="65"/>
      <c r="J222" s="65"/>
      <c r="M222" s="74"/>
      <c r="N222" s="74"/>
      <c r="O222" s="74"/>
      <c r="P222" s="74"/>
      <c r="Q222" s="74"/>
      <c r="R222" s="74"/>
      <c r="S222" s="161"/>
    </row>
    <row r="223" spans="2:19" ht="12.75">
      <c r="B223"/>
      <c r="C223" s="195"/>
      <c r="G223" s="191"/>
      <c r="H223" s="74"/>
      <c r="L223" s="186"/>
      <c r="M223" s="74"/>
      <c r="N223" s="74"/>
      <c r="O223" s="74"/>
      <c r="P223" s="74"/>
      <c r="Q223" s="74"/>
      <c r="R223" s="74"/>
      <c r="S223" s="161"/>
    </row>
    <row r="224" spans="2:19" ht="12.75">
      <c r="B224"/>
      <c r="C224" s="195"/>
      <c r="G224" s="191"/>
      <c r="H224" s="74"/>
      <c r="L224" s="190"/>
      <c r="M224" s="74"/>
      <c r="N224" s="74"/>
      <c r="O224" s="74"/>
      <c r="P224" s="74"/>
      <c r="Q224" s="74"/>
      <c r="R224" s="74"/>
      <c r="S224" s="161"/>
    </row>
    <row r="225" spans="2:19" ht="12.75">
      <c r="B225"/>
      <c r="C225" s="195"/>
      <c r="G225" s="191"/>
      <c r="H225" s="74"/>
      <c r="L225" s="74"/>
      <c r="M225" s="74"/>
      <c r="N225" s="74"/>
      <c r="O225" s="74"/>
      <c r="P225" s="74"/>
      <c r="Q225" s="74"/>
      <c r="R225" s="74"/>
      <c r="S225" s="161"/>
    </row>
    <row r="226" spans="2:19" ht="12.75">
      <c r="B226"/>
      <c r="C226" s="195"/>
      <c r="G226" s="191"/>
      <c r="H226" s="74"/>
      <c r="L226" s="74"/>
      <c r="M226" s="74"/>
      <c r="N226" s="74"/>
      <c r="O226" s="74"/>
      <c r="P226" s="74"/>
      <c r="Q226" s="74"/>
      <c r="R226" s="74"/>
      <c r="S226" s="161"/>
    </row>
    <row r="227" spans="2:19" ht="12.75">
      <c r="B227"/>
      <c r="C227" s="195"/>
      <c r="G227" s="191"/>
      <c r="H227" s="74"/>
      <c r="I227" s="186"/>
      <c r="J227" s="186"/>
      <c r="K227" s="186"/>
      <c r="L227" s="74"/>
      <c r="M227" s="74"/>
      <c r="N227" s="74"/>
      <c r="O227" s="74"/>
      <c r="P227" s="74"/>
      <c r="Q227" s="74"/>
      <c r="R227" s="74"/>
      <c r="S227" s="161"/>
    </row>
    <row r="228" spans="2:19" ht="12.75">
      <c r="B228"/>
      <c r="C228" s="195"/>
      <c r="G228" s="191"/>
      <c r="H228" s="74"/>
      <c r="I228" s="192"/>
      <c r="J228" s="193"/>
      <c r="K228" s="190"/>
      <c r="L228" s="74"/>
      <c r="M228" s="74"/>
      <c r="N228" s="74"/>
      <c r="O228" s="74"/>
      <c r="P228" s="74"/>
      <c r="Q228" s="74"/>
      <c r="R228" s="74"/>
      <c r="S228" s="161"/>
    </row>
    <row r="229" spans="2:19" ht="12.75">
      <c r="B229" s="45"/>
      <c r="C229" s="198"/>
      <c r="G229" s="191"/>
      <c r="H229" s="74"/>
      <c r="I229" s="68" t="s">
        <v>281</v>
      </c>
      <c r="J229" s="194">
        <v>0</v>
      </c>
      <c r="K229" s="74"/>
      <c r="L229" s="74"/>
      <c r="M229" s="74"/>
      <c r="N229" s="74"/>
      <c r="O229" s="74"/>
      <c r="P229" s="74"/>
      <c r="Q229" s="74"/>
      <c r="R229" s="74"/>
      <c r="S229" s="161"/>
    </row>
    <row r="230" spans="2:19" ht="12.75">
      <c r="B230"/>
      <c r="C230" s="195"/>
      <c r="G230" s="191"/>
      <c r="H230" s="74"/>
      <c r="I230" s="74" t="s">
        <v>282</v>
      </c>
      <c r="J230" s="196">
        <v>0</v>
      </c>
      <c r="K230" s="74"/>
      <c r="L230" s="74"/>
      <c r="M230" s="74"/>
      <c r="N230" s="74"/>
      <c r="O230" s="74"/>
      <c r="P230" s="74"/>
      <c r="Q230" s="74"/>
      <c r="R230" s="74"/>
      <c r="S230" s="161"/>
    </row>
    <row r="231" spans="2:19" ht="12.75">
      <c r="B231"/>
      <c r="C231" s="195"/>
      <c r="G231" s="191"/>
      <c r="H231" s="74"/>
      <c r="I231" s="74" t="s">
        <v>283</v>
      </c>
      <c r="J231" s="196">
        <v>0</v>
      </c>
      <c r="K231" s="74"/>
      <c r="L231" s="74"/>
      <c r="M231" s="74"/>
      <c r="N231" s="74"/>
      <c r="O231" s="74"/>
      <c r="P231" s="74"/>
      <c r="Q231" s="74"/>
      <c r="R231" s="74"/>
      <c r="S231" s="161"/>
    </row>
    <row r="232" spans="2:19" ht="12.75">
      <c r="B232"/>
      <c r="C232" s="195"/>
      <c r="G232" s="191"/>
      <c r="H232" s="74" t="s">
        <v>298</v>
      </c>
      <c r="I232" s="74" t="s">
        <v>284</v>
      </c>
      <c r="J232" s="196">
        <v>0</v>
      </c>
      <c r="K232" s="74"/>
      <c r="L232" s="74"/>
      <c r="M232" s="74"/>
      <c r="N232" s="74"/>
      <c r="O232" s="74"/>
      <c r="P232" s="74"/>
      <c r="Q232" s="74"/>
      <c r="R232" s="74"/>
      <c r="S232" s="161"/>
    </row>
    <row r="233" spans="2:19" ht="12.75">
      <c r="B233"/>
      <c r="C233" s="195"/>
      <c r="G233" s="191"/>
      <c r="H233" s="74"/>
      <c r="I233" s="74" t="s">
        <v>285</v>
      </c>
      <c r="J233" s="196">
        <v>0</v>
      </c>
      <c r="K233" s="74"/>
      <c r="L233" s="74"/>
      <c r="M233" s="74"/>
      <c r="N233" s="74"/>
      <c r="O233" s="74"/>
      <c r="P233" s="74"/>
      <c r="Q233" s="74" t="s">
        <v>299</v>
      </c>
      <c r="R233" s="74"/>
      <c r="S233" s="161"/>
    </row>
    <row r="234" spans="2:19" ht="12.75">
      <c r="B234"/>
      <c r="C234" s="195"/>
      <c r="G234" s="191"/>
      <c r="H234" s="74"/>
      <c r="I234" s="74" t="s">
        <v>286</v>
      </c>
      <c r="J234" s="196">
        <v>0</v>
      </c>
      <c r="K234" s="74"/>
      <c r="L234" s="74"/>
      <c r="M234" s="74"/>
      <c r="N234" s="74"/>
      <c r="O234" s="74"/>
      <c r="P234" s="196">
        <v>-31732</v>
      </c>
      <c r="Q234" s="74"/>
      <c r="R234" s="74"/>
      <c r="S234" s="161"/>
    </row>
    <row r="235" spans="2:19" ht="12.75">
      <c r="B235"/>
      <c r="C235" s="195"/>
      <c r="G235" s="191"/>
      <c r="H235" s="74"/>
      <c r="I235" s="74" t="s">
        <v>287</v>
      </c>
      <c r="J235" s="197">
        <v>0</v>
      </c>
      <c r="K235" s="74"/>
      <c r="L235" s="74"/>
      <c r="M235" s="74"/>
      <c r="N235" s="74"/>
      <c r="O235" s="74"/>
      <c r="P235" s="196"/>
      <c r="Q235" s="74"/>
      <c r="R235" s="74"/>
      <c r="S235" s="161"/>
    </row>
    <row r="236" spans="2:19" ht="12.75">
      <c r="B236"/>
      <c r="C236" s="195"/>
      <c r="G236" s="191"/>
      <c r="H236" s="74"/>
      <c r="I236" s="74"/>
      <c r="J236" s="196">
        <f>SUM(J229:J235)</f>
        <v>0</v>
      </c>
      <c r="K236" s="74"/>
      <c r="L236" s="74"/>
      <c r="M236" s="74"/>
      <c r="N236" s="74"/>
      <c r="O236" s="74"/>
      <c r="P236" s="196"/>
      <c r="Q236" s="74" t="s">
        <v>38</v>
      </c>
      <c r="R236" s="74"/>
      <c r="S236" s="161"/>
    </row>
    <row r="237" spans="2:19" ht="12.75">
      <c r="B237"/>
      <c r="C237" s="195"/>
      <c r="G237" s="191"/>
      <c r="H237" s="74"/>
      <c r="I237" s="74"/>
      <c r="J237" s="196"/>
      <c r="K237" s="74"/>
      <c r="L237" s="74"/>
      <c r="M237" s="74"/>
      <c r="N237" s="74" t="s">
        <v>302</v>
      </c>
      <c r="O237" s="74"/>
      <c r="P237" s="196">
        <f>K259</f>
        <v>-4368</v>
      </c>
      <c r="Q237" s="74" t="s">
        <v>304</v>
      </c>
      <c r="R237" s="74"/>
      <c r="S237" s="161"/>
    </row>
    <row r="238" spans="2:19" ht="12.75">
      <c r="B238"/>
      <c r="C238" s="195"/>
      <c r="G238" s="191"/>
      <c r="H238" s="74"/>
      <c r="I238" s="74" t="s">
        <v>289</v>
      </c>
      <c r="J238" s="196">
        <v>0</v>
      </c>
      <c r="K238" s="74"/>
      <c r="L238" s="74"/>
      <c r="M238" s="74"/>
      <c r="N238" s="74"/>
      <c r="O238" s="74"/>
      <c r="P238" s="197">
        <v>-2500</v>
      </c>
      <c r="Q238" s="74"/>
      <c r="R238" s="74"/>
      <c r="S238" s="161"/>
    </row>
    <row r="239" spans="2:19" ht="12.75">
      <c r="B239"/>
      <c r="C239" s="195"/>
      <c r="G239" s="191"/>
      <c r="H239" s="74"/>
      <c r="I239" s="74" t="s">
        <v>290</v>
      </c>
      <c r="J239" s="196">
        <v>0</v>
      </c>
      <c r="K239" s="74"/>
      <c r="L239" s="74"/>
      <c r="M239" s="196">
        <v>525707</v>
      </c>
      <c r="N239" s="74" t="s">
        <v>306</v>
      </c>
      <c r="O239" s="74"/>
      <c r="P239" s="74"/>
      <c r="Q239" s="74" t="s">
        <v>308</v>
      </c>
      <c r="R239" s="74"/>
      <c r="S239" s="161"/>
    </row>
    <row r="240" spans="2:19" ht="12.75">
      <c r="B240"/>
      <c r="C240"/>
      <c r="G240" s="191"/>
      <c r="H240" s="74"/>
      <c r="I240" s="74" t="s">
        <v>291</v>
      </c>
      <c r="J240" s="196">
        <v>0</v>
      </c>
      <c r="K240" s="74"/>
      <c r="L240" s="74"/>
      <c r="M240" s="196"/>
      <c r="N240" s="74"/>
      <c r="O240" s="196"/>
      <c r="P240" s="196">
        <f>SUM(P234:P238)</f>
        <v>-38600</v>
      </c>
      <c r="Q240" s="74"/>
      <c r="R240" s="74"/>
      <c r="S240" s="161"/>
    </row>
    <row r="241" spans="2:19" ht="12.75">
      <c r="B241"/>
      <c r="C241"/>
      <c r="G241" s="191"/>
      <c r="H241" s="74"/>
      <c r="I241" s="74" t="s">
        <v>292</v>
      </c>
      <c r="J241" s="196">
        <v>0</v>
      </c>
      <c r="K241" s="74"/>
      <c r="L241" s="74"/>
      <c r="M241" s="196"/>
      <c r="N241" s="74"/>
      <c r="O241" s="74"/>
      <c r="P241" s="74"/>
      <c r="Q241" s="74"/>
      <c r="R241" s="74"/>
      <c r="S241" s="204">
        <f>22000+P242</f>
        <v>15133</v>
      </c>
    </row>
    <row r="242" spans="2:19" ht="12.75">
      <c r="B242"/>
      <c r="C242"/>
      <c r="G242" s="191"/>
      <c r="H242" s="74"/>
      <c r="I242" s="74" t="s">
        <v>293</v>
      </c>
      <c r="J242" s="196">
        <v>0</v>
      </c>
      <c r="K242" s="74"/>
      <c r="L242" s="74"/>
      <c r="M242" s="196">
        <v>493974</v>
      </c>
      <c r="N242" s="74"/>
      <c r="O242" s="74"/>
      <c r="P242" s="203">
        <f>P240+M244</f>
        <v>-6867</v>
      </c>
      <c r="Q242" s="74"/>
      <c r="R242" s="74"/>
      <c r="S242" s="161"/>
    </row>
    <row r="243" spans="2:19" ht="12.75">
      <c r="B243"/>
      <c r="C243"/>
      <c r="G243" s="191"/>
      <c r="H243" s="74"/>
      <c r="I243" s="74" t="s">
        <v>294</v>
      </c>
      <c r="J243" s="196">
        <v>0</v>
      </c>
      <c r="K243" s="74"/>
      <c r="L243" s="74"/>
      <c r="M243" s="196"/>
      <c r="N243" s="74"/>
      <c r="O243" s="74"/>
      <c r="P243" s="74"/>
      <c r="Q243" s="74"/>
      <c r="R243" s="74"/>
      <c r="S243" s="161"/>
    </row>
    <row r="244" spans="2:19" ht="12.75">
      <c r="B244"/>
      <c r="C244"/>
      <c r="G244" s="191"/>
      <c r="H244" s="74"/>
      <c r="I244" s="74" t="s">
        <v>295</v>
      </c>
      <c r="J244" s="196">
        <v>0</v>
      </c>
      <c r="K244" s="74"/>
      <c r="L244" s="74"/>
      <c r="M244" s="196">
        <f>M239-M242</f>
        <v>31733</v>
      </c>
      <c r="N244" s="74"/>
      <c r="O244" s="74"/>
      <c r="P244" s="74"/>
      <c r="Q244" s="74"/>
      <c r="R244" s="74"/>
      <c r="S244" s="161"/>
    </row>
    <row r="245" spans="2:19" ht="12.75">
      <c r="B245" s="45"/>
      <c r="C245" s="45"/>
      <c r="G245" s="191"/>
      <c r="H245" s="74" t="s">
        <v>313</v>
      </c>
      <c r="I245" s="74" t="s">
        <v>296</v>
      </c>
      <c r="J245" s="196">
        <v>0</v>
      </c>
      <c r="K245" s="74"/>
      <c r="L245" s="74"/>
      <c r="M245" s="74"/>
      <c r="N245" s="74"/>
      <c r="O245" s="74"/>
      <c r="P245" s="74"/>
      <c r="Q245" s="74"/>
      <c r="R245" s="74"/>
      <c r="S245" s="161"/>
    </row>
    <row r="246" spans="2:19" ht="12.75">
      <c r="B246"/>
      <c r="C246"/>
      <c r="G246" s="191"/>
      <c r="H246" s="74"/>
      <c r="I246" s="74" t="s">
        <v>297</v>
      </c>
      <c r="J246" s="197">
        <v>0</v>
      </c>
      <c r="K246" s="74"/>
      <c r="L246" s="74"/>
      <c r="M246" s="74"/>
      <c r="N246" s="74"/>
      <c r="O246" s="74"/>
      <c r="P246" s="74"/>
      <c r="Q246" s="74"/>
      <c r="R246" s="74"/>
      <c r="S246" s="161"/>
    </row>
    <row r="247" spans="2:19" ht="12.75">
      <c r="B247"/>
      <c r="C247"/>
      <c r="G247" s="191"/>
      <c r="H247" s="74"/>
      <c r="I247" s="74"/>
      <c r="J247" s="196">
        <f>SUM(J236:J246)</f>
        <v>0</v>
      </c>
      <c r="K247" s="74"/>
      <c r="L247" s="74"/>
      <c r="M247" s="203">
        <f>M244+K259</f>
        <v>27365</v>
      </c>
      <c r="N247" s="74"/>
      <c r="O247" s="74"/>
      <c r="P247" s="74"/>
      <c r="Q247" s="74"/>
      <c r="R247" s="74"/>
      <c r="S247" s="161"/>
    </row>
    <row r="248" spans="2:19" ht="12.75">
      <c r="B248"/>
      <c r="C248"/>
      <c r="G248" s="191"/>
      <c r="H248" s="205" t="s">
        <v>315</v>
      </c>
      <c r="I248" s="74"/>
      <c r="J248" s="196"/>
      <c r="K248" s="74"/>
      <c r="L248" s="74"/>
      <c r="M248" s="203"/>
      <c r="N248" s="74"/>
      <c r="O248" s="74"/>
      <c r="P248" s="74"/>
      <c r="Q248" s="74"/>
      <c r="R248" s="74"/>
      <c r="S248" s="161"/>
    </row>
    <row r="249" spans="2:19" ht="12.75">
      <c r="B249"/>
      <c r="C249"/>
      <c r="G249" s="206"/>
      <c r="H249" s="207"/>
      <c r="I249" s="74"/>
      <c r="J249" s="196"/>
      <c r="K249" s="74"/>
      <c r="L249" s="74"/>
      <c r="M249" s="203"/>
      <c r="N249" s="74"/>
      <c r="O249" s="74"/>
      <c r="P249" s="74"/>
      <c r="Q249" s="207"/>
      <c r="R249" s="207"/>
      <c r="S249" s="153"/>
    </row>
    <row r="250" spans="2:19" ht="12.75">
      <c r="B250"/>
      <c r="C250"/>
      <c r="I250" s="74" t="s">
        <v>300</v>
      </c>
      <c r="J250" s="199">
        <v>-862</v>
      </c>
      <c r="K250" s="74"/>
      <c r="L250" s="74"/>
      <c r="M250" s="74"/>
      <c r="N250" s="207"/>
      <c r="O250" s="207"/>
      <c r="P250" s="207"/>
    </row>
    <row r="251" spans="2:19" ht="12.75">
      <c r="B251" s="45"/>
      <c r="C251" s="45"/>
      <c r="I251" s="200" t="s">
        <v>300</v>
      </c>
      <c r="J251" s="201">
        <v>-1</v>
      </c>
      <c r="K251" s="74"/>
      <c r="L251" s="74"/>
      <c r="M251" s="74"/>
    </row>
    <row r="252" spans="2:19" ht="12.75">
      <c r="B252"/>
      <c r="C252"/>
      <c r="I252" s="200" t="s">
        <v>301</v>
      </c>
      <c r="J252" s="201">
        <v>-1</v>
      </c>
      <c r="K252" s="74"/>
      <c r="L252" s="74"/>
      <c r="M252" s="74"/>
    </row>
    <row r="253" spans="2:19" ht="12.75">
      <c r="B253" s="66"/>
      <c r="C253" s="66"/>
      <c r="I253" s="137" t="s">
        <v>303</v>
      </c>
      <c r="J253" s="202">
        <v>-1500</v>
      </c>
      <c r="K253" s="74"/>
      <c r="L253" s="74"/>
      <c r="M253" s="74"/>
    </row>
    <row r="254" spans="2:19" ht="12.75">
      <c r="B254"/>
      <c r="C254"/>
      <c r="I254" s="200" t="s">
        <v>305</v>
      </c>
      <c r="J254" s="201">
        <v>-1</v>
      </c>
      <c r="K254" s="74"/>
      <c r="L254" s="74"/>
      <c r="M254" s="74"/>
    </row>
    <row r="255" spans="2:19" ht="12.75">
      <c r="B255"/>
      <c r="C255"/>
      <c r="I255" s="200" t="s">
        <v>307</v>
      </c>
      <c r="J255" s="201">
        <v>-1</v>
      </c>
      <c r="K255" s="74"/>
      <c r="L255" s="74"/>
      <c r="M255" s="207"/>
    </row>
    <row r="256" spans="2:19" ht="12.75">
      <c r="B256"/>
      <c r="C256"/>
      <c r="I256" s="137" t="s">
        <v>309</v>
      </c>
      <c r="J256" s="202">
        <v>-1000</v>
      </c>
      <c r="K256" s="74"/>
      <c r="L256" s="74"/>
    </row>
    <row r="257" spans="2:12" ht="12.75">
      <c r="B257"/>
      <c r="C257"/>
      <c r="I257" s="200" t="s">
        <v>310</v>
      </c>
      <c r="J257" s="201">
        <v>-1</v>
      </c>
      <c r="K257" s="74"/>
      <c r="L257" s="74"/>
    </row>
    <row r="258" spans="2:12" ht="12.75">
      <c r="B258"/>
      <c r="C258"/>
      <c r="I258" s="137" t="s">
        <v>311</v>
      </c>
      <c r="J258" s="202">
        <v>-1000</v>
      </c>
      <c r="K258" s="74"/>
      <c r="L258" s="74"/>
    </row>
    <row r="259" spans="2:12" ht="12.75">
      <c r="B259"/>
      <c r="C259"/>
      <c r="I259" s="200" t="s">
        <v>102</v>
      </c>
      <c r="J259" s="201">
        <v>-1</v>
      </c>
      <c r="K259" s="203">
        <f>SUM(J250:J259)</f>
        <v>-4368</v>
      </c>
      <c r="L259" s="74"/>
    </row>
    <row r="260" spans="2:12" ht="12.75">
      <c r="B260"/>
      <c r="C260"/>
      <c r="I260" s="74" t="s">
        <v>312</v>
      </c>
      <c r="J260" s="197">
        <f>-M244-K259</f>
        <v>-27365</v>
      </c>
      <c r="K260" s="203"/>
      <c r="L260" s="74"/>
    </row>
    <row r="261" spans="2:12" ht="12.75">
      <c r="B261"/>
      <c r="C261"/>
      <c r="I261" s="74"/>
      <c r="J261" s="196">
        <f>SUM(J247:J260)</f>
        <v>-31733</v>
      </c>
      <c r="K261" s="74"/>
      <c r="L261" s="74"/>
    </row>
    <row r="262" spans="2:12" ht="12.75">
      <c r="B262"/>
      <c r="C262"/>
      <c r="I262" s="74"/>
      <c r="J262" s="196"/>
      <c r="K262" s="74"/>
      <c r="L262" s="207"/>
    </row>
    <row r="263" spans="2:12" ht="12.75">
      <c r="B263"/>
      <c r="C263"/>
      <c r="I263" s="74" t="s">
        <v>314</v>
      </c>
      <c r="J263" s="196">
        <v>3915</v>
      </c>
      <c r="K263" s="74"/>
    </row>
    <row r="264" spans="2:12" ht="12.75">
      <c r="B264"/>
      <c r="C264"/>
      <c r="I264" s="74"/>
      <c r="J264" s="196"/>
      <c r="K264" s="74"/>
    </row>
    <row r="265" spans="2:12" ht="13.5" thickBot="1">
      <c r="B265"/>
      <c r="C265"/>
      <c r="I265" s="74"/>
      <c r="J265" s="208">
        <f>SUM(J261:J264)</f>
        <v>-27818</v>
      </c>
      <c r="K265" s="74"/>
    </row>
    <row r="266" spans="2:12" ht="13.5" thickTop="1">
      <c r="B266"/>
      <c r="C266"/>
      <c r="I266" s="207"/>
      <c r="J266" s="197"/>
      <c r="K266" s="207"/>
    </row>
    <row r="267" spans="2:12" ht="12.75">
      <c r="B267"/>
      <c r="C267"/>
      <c r="J267" s="209"/>
    </row>
    <row r="268" spans="2:12" ht="12.75">
      <c r="B268"/>
      <c r="C268"/>
      <c r="J268" s="209"/>
    </row>
    <row r="269" spans="2:12" ht="12.75">
      <c r="B269"/>
      <c r="C269"/>
      <c r="J269" s="209">
        <f>551878-11621</f>
        <v>540257</v>
      </c>
    </row>
    <row r="270" spans="2:12" ht="12.75">
      <c r="B270"/>
      <c r="C270"/>
      <c r="J270" s="209"/>
    </row>
    <row r="271" spans="2:12" ht="12.75">
      <c r="B271" s="210"/>
      <c r="C271" s="210"/>
      <c r="J271" s="209"/>
    </row>
    <row r="272" spans="2:12" ht="12.75">
      <c r="B272" s="210"/>
      <c r="C272" s="210"/>
      <c r="J272" s="209"/>
    </row>
    <row r="273" spans="2:10" ht="12.75">
      <c r="B273"/>
      <c r="C273"/>
      <c r="J273" s="209"/>
    </row>
    <row r="274" spans="2:10" ht="12.75">
      <c r="B274"/>
      <c r="C274"/>
      <c r="J274" s="209"/>
    </row>
    <row r="275" spans="2:10">
      <c r="J275" s="209"/>
    </row>
    <row r="276" spans="2:10">
      <c r="J276" s="209"/>
    </row>
    <row r="277" spans="2:10">
      <c r="J277" s="209"/>
    </row>
    <row r="278" spans="2:10">
      <c r="J278" s="209"/>
    </row>
    <row r="279" spans="2:10">
      <c r="J279" s="209"/>
    </row>
    <row r="280" spans="2:10">
      <c r="J280" s="209"/>
    </row>
    <row r="281" spans="2:10">
      <c r="J281" s="209"/>
    </row>
    <row r="282" spans="2:10">
      <c r="J282" s="209"/>
    </row>
    <row r="283" spans="2:10">
      <c r="J283" s="209"/>
    </row>
    <row r="284" spans="2:10">
      <c r="J284" s="209"/>
    </row>
    <row r="285" spans="2:10">
      <c r="J285" s="209"/>
    </row>
    <row r="286" spans="2:10">
      <c r="J286" s="209"/>
    </row>
    <row r="287" spans="2:10">
      <c r="J287" s="209"/>
    </row>
    <row r="288" spans="2:10">
      <c r="J288" s="209"/>
    </row>
    <row r="289" spans="10:10">
      <c r="J289" s="209"/>
    </row>
    <row r="290" spans="10:10">
      <c r="J290" s="209"/>
    </row>
    <row r="291" spans="10:10">
      <c r="J291" s="209"/>
    </row>
    <row r="292" spans="10:10">
      <c r="J292" s="209"/>
    </row>
    <row r="293" spans="10:10">
      <c r="J293" s="209"/>
    </row>
    <row r="294" spans="10:10">
      <c r="J294" s="209"/>
    </row>
    <row r="295" spans="10:10">
      <c r="J295" s="209"/>
    </row>
    <row r="296" spans="10:10">
      <c r="J296" s="209"/>
    </row>
    <row r="297" spans="10:10">
      <c r="J297" s="209"/>
    </row>
    <row r="298" spans="10:10">
      <c r="J298" s="209"/>
    </row>
    <row r="299" spans="10:10">
      <c r="J299" s="209"/>
    </row>
    <row r="300" spans="10:10">
      <c r="J300" s="209"/>
    </row>
    <row r="301" spans="10:10">
      <c r="J301" s="209"/>
    </row>
    <row r="302" spans="10:10">
      <c r="J302" s="209"/>
    </row>
    <row r="303" spans="10:10">
      <c r="J303" s="209"/>
    </row>
    <row r="304" spans="10:10">
      <c r="J304" s="209"/>
    </row>
    <row r="305" spans="10:10">
      <c r="J305" s="209"/>
    </row>
    <row r="306" spans="10:10">
      <c r="J306" s="209"/>
    </row>
    <row r="307" spans="10:10">
      <c r="J307" s="209"/>
    </row>
    <row r="308" spans="10:10">
      <c r="J308" s="209"/>
    </row>
    <row r="309" spans="10:10">
      <c r="J309" s="209"/>
    </row>
    <row r="310" spans="10:10">
      <c r="J310" s="209"/>
    </row>
    <row r="311" spans="10:10">
      <c r="J311" s="209"/>
    </row>
    <row r="312" spans="10:10">
      <c r="J312" s="209"/>
    </row>
    <row r="313" spans="10:10">
      <c r="J313" s="209"/>
    </row>
    <row r="314" spans="10:10">
      <c r="J314" s="209"/>
    </row>
    <row r="315" spans="10:10">
      <c r="J315" s="209"/>
    </row>
    <row r="316" spans="10:10">
      <c r="J316" s="209"/>
    </row>
    <row r="317" spans="10:10">
      <c r="J317" s="209"/>
    </row>
    <row r="318" spans="10:10">
      <c r="J318" s="209"/>
    </row>
    <row r="319" spans="10:10">
      <c r="J319" s="209"/>
    </row>
    <row r="320" spans="10:10">
      <c r="J320" s="209"/>
    </row>
    <row r="321" spans="10:10">
      <c r="J321" s="209"/>
    </row>
    <row r="322" spans="10:10">
      <c r="J322" s="209"/>
    </row>
    <row r="323" spans="10:10">
      <c r="J323" s="209"/>
    </row>
    <row r="324" spans="10:10">
      <c r="J324" s="209"/>
    </row>
    <row r="325" spans="10:10">
      <c r="J325" s="209"/>
    </row>
    <row r="326" spans="10:10">
      <c r="J326" s="209"/>
    </row>
    <row r="327" spans="10:10">
      <c r="J327" s="209"/>
    </row>
    <row r="328" spans="10:10">
      <c r="J328" s="209"/>
    </row>
    <row r="329" spans="10:10">
      <c r="J329" s="209"/>
    </row>
    <row r="330" spans="10:10">
      <c r="J330" s="209"/>
    </row>
    <row r="331" spans="10:10">
      <c r="J331" s="209"/>
    </row>
    <row r="332" spans="10:10">
      <c r="J332" s="209"/>
    </row>
    <row r="333" spans="10:10">
      <c r="J333" s="209"/>
    </row>
    <row r="334" spans="10:10">
      <c r="J334" s="209"/>
    </row>
    <row r="335" spans="10:10">
      <c r="J335" s="209"/>
    </row>
    <row r="336" spans="10:10">
      <c r="J336" s="209"/>
    </row>
    <row r="337" spans="10:10">
      <c r="J337" s="209"/>
    </row>
    <row r="338" spans="10:10">
      <c r="J338" s="209"/>
    </row>
    <row r="339" spans="10:10">
      <c r="J339" s="209"/>
    </row>
    <row r="340" spans="10:10">
      <c r="J340" s="209"/>
    </row>
    <row r="341" spans="10:10">
      <c r="J341" s="209"/>
    </row>
    <row r="342" spans="10:10">
      <c r="J342" s="209"/>
    </row>
    <row r="343" spans="10:10">
      <c r="J343" s="209"/>
    </row>
    <row r="344" spans="10:10">
      <c r="J344" s="209"/>
    </row>
    <row r="345" spans="10:10">
      <c r="J345" s="209"/>
    </row>
    <row r="346" spans="10:10">
      <c r="J346" s="209"/>
    </row>
    <row r="347" spans="10:10">
      <c r="J347" s="209"/>
    </row>
    <row r="348" spans="10:10">
      <c r="J348" s="209"/>
    </row>
    <row r="349" spans="10:10">
      <c r="J349" s="209"/>
    </row>
    <row r="350" spans="10:10">
      <c r="J350" s="209"/>
    </row>
    <row r="351" spans="10:10">
      <c r="J351" s="209"/>
    </row>
    <row r="352" spans="10:10">
      <c r="J352" s="209"/>
    </row>
    <row r="353" spans="10:10">
      <c r="J353" s="209"/>
    </row>
    <row r="354" spans="10:10">
      <c r="J354" s="209"/>
    </row>
    <row r="355" spans="10:10">
      <c r="J355" s="209"/>
    </row>
    <row r="356" spans="10:10">
      <c r="J356" s="209"/>
    </row>
    <row r="357" spans="10:10">
      <c r="J357" s="209"/>
    </row>
    <row r="358" spans="10:10">
      <c r="J358" s="209"/>
    </row>
    <row r="359" spans="10:10">
      <c r="J359" s="209"/>
    </row>
    <row r="360" spans="10:10">
      <c r="J360" s="209"/>
    </row>
    <row r="361" spans="10:10">
      <c r="J361" s="209"/>
    </row>
    <row r="362" spans="10:10">
      <c r="J362" s="209"/>
    </row>
    <row r="363" spans="10:10">
      <c r="J363" s="209"/>
    </row>
    <row r="364" spans="10:10">
      <c r="J364" s="209"/>
    </row>
    <row r="365" spans="10:10">
      <c r="J365" s="209"/>
    </row>
    <row r="366" spans="10:10">
      <c r="J366" s="209"/>
    </row>
    <row r="367" spans="10:10">
      <c r="J367" s="209"/>
    </row>
    <row r="368" spans="10:10">
      <c r="J368" s="209"/>
    </row>
    <row r="369" spans="10:10">
      <c r="J369" s="209"/>
    </row>
  </sheetData>
  <mergeCells count="6">
    <mergeCell ref="A103:C103"/>
    <mergeCell ref="K6:L6"/>
    <mergeCell ref="I31:J31"/>
    <mergeCell ref="I36:J36"/>
    <mergeCell ref="I43:J43"/>
    <mergeCell ref="A31:D31"/>
  </mergeCells>
  <printOptions horizontalCentered="1" verticalCentered="1"/>
  <pageMargins left="0.25" right="0.25" top="0.75" bottom="0.25" header="0" footer="0.25"/>
  <pageSetup scale="76" orientation="portrait" horizontalDpi="4294967292" r:id="rId1"/>
  <headerFooter alignWithMargins="0">
    <oddFooter>&amp;L&amp;8Tx Desk Logistics - Daren Farmer&amp;R&amp;8&amp;D
&amp;T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J380"/>
  <sheetViews>
    <sheetView showGridLines="0" topLeftCell="A90" zoomScale="80" workbookViewId="0">
      <selection activeCell="K180" sqref="K180"/>
    </sheetView>
  </sheetViews>
  <sheetFormatPr defaultRowHeight="12"/>
  <cols>
    <col min="1" max="2" width="12.140625" style="12" customWidth="1"/>
    <col min="3" max="3" width="11.28515625" style="12" customWidth="1"/>
    <col min="4" max="4" width="11.85546875" style="12" customWidth="1"/>
    <col min="5" max="5" width="11.5703125" style="12" customWidth="1"/>
    <col min="6" max="6" width="11.7109375" style="12" customWidth="1"/>
    <col min="7" max="7" width="11.85546875" style="12" customWidth="1"/>
    <col min="8" max="8" width="11.7109375" style="12" customWidth="1"/>
    <col min="9" max="9" width="11.85546875" style="12" customWidth="1"/>
    <col min="10" max="10" width="8.7109375" style="12" customWidth="1"/>
    <col min="11" max="11" width="11.85546875" style="12" customWidth="1"/>
    <col min="12" max="12" width="9.140625" style="12"/>
    <col min="13" max="13" width="8.5703125" style="12" bestFit="1" customWidth="1"/>
    <col min="14" max="14" width="9.140625" style="12"/>
    <col min="15" max="15" width="5.5703125" style="12" customWidth="1"/>
    <col min="16" max="16384" width="9.140625" style="12"/>
  </cols>
  <sheetData>
    <row r="1" spans="1:16" s="7" customFormat="1" ht="16.5" thickBot="1">
      <c r="A1" s="1" t="s">
        <v>374</v>
      </c>
      <c r="B1" s="2"/>
      <c r="C1" s="3"/>
      <c r="D1" s="4"/>
      <c r="E1" s="2"/>
      <c r="F1" s="2"/>
      <c r="G1" s="2"/>
      <c r="H1" s="5"/>
      <c r="I1" s="6"/>
    </row>
    <row r="2" spans="1:16" ht="12.75">
      <c r="A2" s="8"/>
      <c r="B2" s="9"/>
      <c r="C2" s="9"/>
      <c r="D2" s="10"/>
      <c r="E2" s="10"/>
      <c r="F2" s="10"/>
      <c r="G2" s="9"/>
      <c r="H2" s="11"/>
    </row>
    <row r="3" spans="1:16" ht="13.5" thickBot="1">
      <c r="A3" s="13"/>
      <c r="B3" s="14"/>
      <c r="C3" s="15"/>
      <c r="D3" s="10"/>
      <c r="E3" s="15"/>
      <c r="F3" s="15"/>
      <c r="G3" s="15"/>
      <c r="H3" s="11"/>
    </row>
    <row r="4" spans="1:16" ht="12.75">
      <c r="A4" s="16"/>
      <c r="B4" s="9"/>
      <c r="C4" s="9"/>
      <c r="D4" s="17" t="s">
        <v>419</v>
      </c>
      <c r="E4" s="18"/>
      <c r="F4" s="18"/>
      <c r="G4" s="19"/>
      <c r="H4" s="20"/>
      <c r="L4"/>
    </row>
    <row r="5" spans="1:16" ht="13.5" thickBot="1">
      <c r="A5" s="21"/>
      <c r="B5" s="22"/>
      <c r="C5" s="22"/>
      <c r="D5" s="233" t="s">
        <v>328</v>
      </c>
      <c r="E5" s="23" t="s">
        <v>367</v>
      </c>
      <c r="F5" s="23" t="str">
        <f>D4</f>
        <v>Mar</v>
      </c>
      <c r="G5" s="24" t="str">
        <f>+F5</f>
        <v>Mar</v>
      </c>
      <c r="H5" s="25" t="str">
        <f>+F5</f>
        <v>Mar</v>
      </c>
      <c r="L5"/>
    </row>
    <row r="6" spans="1:16" ht="13.5" thickBot="1">
      <c r="A6" s="21"/>
      <c r="B6" s="22"/>
      <c r="C6" s="22"/>
      <c r="D6" s="26" t="s">
        <v>1</v>
      </c>
      <c r="E6" s="309" t="s">
        <v>328</v>
      </c>
      <c r="F6" s="27">
        <v>99</v>
      </c>
      <c r="G6" s="28" t="s">
        <v>2</v>
      </c>
      <c r="H6" s="29" t="s">
        <v>3</v>
      </c>
      <c r="I6" s="30"/>
      <c r="K6" s="424" t="s">
        <v>4</v>
      </c>
      <c r="L6" s="425"/>
    </row>
    <row r="7" spans="1:16" ht="12.75">
      <c r="A7" s="31" t="s">
        <v>5</v>
      </c>
      <c r="B7" s="22"/>
      <c r="D7" s="32">
        <f>C212+C232</f>
        <v>452.41400000000004</v>
      </c>
      <c r="E7" s="219">
        <f>(971.314*0.75)-E11-E12</f>
        <v>535.98812499999997</v>
      </c>
      <c r="F7" s="32">
        <v>496.4</v>
      </c>
      <c r="G7" s="220">
        <f>D7*1.1</f>
        <v>497.6554000000001</v>
      </c>
      <c r="H7" s="221">
        <f>D7*0.9</f>
        <v>407.17260000000005</v>
      </c>
      <c r="I7" s="33"/>
      <c r="K7" s="34" t="s">
        <v>6</v>
      </c>
      <c r="L7" s="35">
        <f>C141</f>
        <v>3</v>
      </c>
      <c r="N7"/>
      <c r="O7"/>
    </row>
    <row r="8" spans="1:16" ht="12.75">
      <c r="A8" s="31" t="s">
        <v>423</v>
      </c>
      <c r="B8" s="22"/>
      <c r="C8" s="36"/>
      <c r="D8" s="359">
        <f>73+80</f>
        <v>153</v>
      </c>
      <c r="E8" s="219">
        <f>(1377.53/16)+(1021.561/16)</f>
        <v>149.94318749999999</v>
      </c>
      <c r="F8" s="37">
        <v>109.2</v>
      </c>
      <c r="G8" s="222">
        <f>73+105</f>
        <v>178</v>
      </c>
      <c r="H8" s="221">
        <f>65.7+60</f>
        <v>125.7</v>
      </c>
      <c r="I8" s="30"/>
      <c r="K8" s="38" t="s">
        <v>7</v>
      </c>
      <c r="L8" s="39">
        <f>C142+C216</f>
        <v>0</v>
      </c>
      <c r="N8"/>
      <c r="O8"/>
    </row>
    <row r="9" spans="1:16" ht="12.75">
      <c r="A9" s="31" t="s">
        <v>8</v>
      </c>
      <c r="B9" s="22"/>
      <c r="C9" s="10"/>
      <c r="D9" s="359">
        <v>20</v>
      </c>
      <c r="E9" s="219">
        <f>468.419/16</f>
        <v>29.276187499999999</v>
      </c>
      <c r="F9" s="37">
        <v>24.2</v>
      </c>
      <c r="G9" s="222">
        <v>60</v>
      </c>
      <c r="H9" s="221">
        <v>20</v>
      </c>
      <c r="I9" s="30"/>
      <c r="K9" s="38" t="s">
        <v>9</v>
      </c>
      <c r="L9" s="263">
        <f>C147+C218</f>
        <v>20</v>
      </c>
      <c r="N9"/>
      <c r="O9"/>
    </row>
    <row r="10" spans="1:16" ht="12.75">
      <c r="A10" s="31" t="s">
        <v>10</v>
      </c>
      <c r="B10" s="22"/>
      <c r="C10" s="22"/>
      <c r="D10" s="359">
        <v>33.417999999999999</v>
      </c>
      <c r="E10" s="219">
        <f>(522.842/20)+(34.12/20)+(12.038/20)+((149.835-20)/20)</f>
        <v>34.941749999999999</v>
      </c>
      <c r="F10" s="37">
        <v>82.1</v>
      </c>
      <c r="G10" s="222">
        <v>0</v>
      </c>
      <c r="H10" s="221">
        <v>0</v>
      </c>
      <c r="I10" s="40"/>
      <c r="K10" s="38" t="s">
        <v>11</v>
      </c>
      <c r="L10" s="39">
        <f>C149+C219</f>
        <v>0</v>
      </c>
      <c r="N10"/>
      <c r="O10"/>
    </row>
    <row r="11" spans="1:16" ht="12.75">
      <c r="A11" s="31" t="s">
        <v>330</v>
      </c>
      <c r="B11" s="22"/>
      <c r="C11" s="22"/>
      <c r="D11" s="359">
        <f>100+15+0.4</f>
        <v>115.4</v>
      </c>
      <c r="E11" s="219">
        <f>+(255.899+1421.511)/16</f>
        <v>104.83812499999999</v>
      </c>
      <c r="F11" s="37">
        <v>105.4</v>
      </c>
      <c r="G11" s="222">
        <v>145</v>
      </c>
      <c r="H11" s="221">
        <v>90</v>
      </c>
      <c r="I11" s="30"/>
      <c r="K11" s="38" t="s">
        <v>12</v>
      </c>
      <c r="L11" s="39">
        <f>C157+C220</f>
        <v>0</v>
      </c>
      <c r="N11"/>
      <c r="O11"/>
    </row>
    <row r="12" spans="1:16" ht="12.75">
      <c r="A12" s="31" t="s">
        <v>13</v>
      </c>
      <c r="B12" s="22"/>
      <c r="C12" s="22"/>
      <c r="D12" s="359">
        <v>90</v>
      </c>
      <c r="E12" s="219">
        <f>+(640.222+799.778)/16-(37.452/16)</f>
        <v>87.65925</v>
      </c>
      <c r="F12" s="37">
        <v>114</v>
      </c>
      <c r="G12" s="222">
        <f>90*1.05</f>
        <v>94.5</v>
      </c>
      <c r="H12" s="221">
        <f>90*0.95</f>
        <v>85.5</v>
      </c>
      <c r="I12" s="30"/>
      <c r="K12" s="38" t="s">
        <v>14</v>
      </c>
      <c r="L12" s="39">
        <f>C167+C223</f>
        <v>75</v>
      </c>
      <c r="N12"/>
      <c r="O12"/>
    </row>
    <row r="13" spans="1:16" ht="12.75">
      <c r="A13" s="31" t="s">
        <v>15</v>
      </c>
      <c r="B13" s="22"/>
      <c r="C13" s="22"/>
      <c r="D13" s="359">
        <v>55</v>
      </c>
      <c r="E13" s="219">
        <v>66.192999999999998</v>
      </c>
      <c r="F13" s="37">
        <v>68.3</v>
      </c>
      <c r="G13" s="222">
        <v>180</v>
      </c>
      <c r="H13" s="221">
        <v>0</v>
      </c>
      <c r="I13" s="30"/>
      <c r="J13"/>
      <c r="K13" s="38" t="s">
        <v>16</v>
      </c>
      <c r="L13" s="39">
        <f>C166+C222</f>
        <v>22.355</v>
      </c>
      <c r="N13"/>
      <c r="O13"/>
    </row>
    <row r="14" spans="1:16" ht="12.75">
      <c r="A14" s="31" t="s">
        <v>17</v>
      </c>
      <c r="B14" s="22"/>
      <c r="C14" s="22"/>
      <c r="D14" s="37">
        <f>B95</f>
        <v>5.3579999999999997</v>
      </c>
      <c r="E14" s="219">
        <f>Feb!D14</f>
        <v>11.058</v>
      </c>
      <c r="F14" s="37">
        <v>10.199999999999999</v>
      </c>
      <c r="G14" s="222">
        <f>D14*1.05</f>
        <v>5.6258999999999997</v>
      </c>
      <c r="H14" s="221">
        <f>D14*0.95</f>
        <v>5.0900999999999996</v>
      </c>
      <c r="I14" s="30"/>
      <c r="K14" s="38" t="s">
        <v>18</v>
      </c>
      <c r="L14" s="39">
        <f>C170+C224</f>
        <v>40</v>
      </c>
      <c r="N14"/>
      <c r="O14"/>
    </row>
    <row r="15" spans="1:16" ht="12.75">
      <c r="A15" s="31" t="s">
        <v>373</v>
      </c>
      <c r="B15" s="22"/>
      <c r="C15" s="22"/>
      <c r="D15" s="37">
        <f>SUM(D16:D18)</f>
        <v>168</v>
      </c>
      <c r="E15" s="219">
        <f>SUM(E16:E18)</f>
        <v>241.43299999999999</v>
      </c>
      <c r="F15" s="37">
        <f>SUM(F16:F18)</f>
        <v>131</v>
      </c>
      <c r="G15" s="222">
        <v>1174</v>
      </c>
      <c r="H15" s="221">
        <v>0</v>
      </c>
      <c r="I15" s="30"/>
      <c r="K15" s="38" t="s">
        <v>20</v>
      </c>
      <c r="L15" s="39">
        <f>C181+C226</f>
        <v>15</v>
      </c>
      <c r="N15"/>
      <c r="O15"/>
    </row>
    <row r="16" spans="1:16" ht="12.75">
      <c r="A16" s="31" t="s">
        <v>368</v>
      </c>
      <c r="B16" s="41"/>
      <c r="C16" s="22"/>
      <c r="D16" s="213">
        <v>100</v>
      </c>
      <c r="E16" s="219">
        <v>186.78</v>
      </c>
      <c r="F16" s="37">
        <v>66</v>
      </c>
      <c r="G16" s="222"/>
      <c r="H16" s="221"/>
      <c r="I16" s="30"/>
      <c r="K16" s="38" t="s">
        <v>22</v>
      </c>
      <c r="L16" s="39">
        <f>C138</f>
        <v>0</v>
      </c>
      <c r="N16"/>
      <c r="O16"/>
      <c r="P16"/>
    </row>
    <row r="17" spans="1:36" ht="12.75">
      <c r="A17" s="31" t="s">
        <v>369</v>
      </c>
      <c r="B17" s="41"/>
      <c r="C17" s="22"/>
      <c r="D17" s="213">
        <v>10</v>
      </c>
      <c r="E17" s="219">
        <v>9.3529999999999998</v>
      </c>
      <c r="F17" s="37">
        <v>8</v>
      </c>
      <c r="G17" s="222"/>
      <c r="H17" s="221"/>
      <c r="I17" s="30"/>
      <c r="K17" s="38" t="s">
        <v>24</v>
      </c>
      <c r="L17" s="39">
        <f>C198+C228</f>
        <v>40</v>
      </c>
      <c r="N17"/>
      <c r="O17"/>
      <c r="P17"/>
    </row>
    <row r="18" spans="1:36" ht="12.75">
      <c r="A18" s="31" t="s">
        <v>370</v>
      </c>
      <c r="B18" s="41"/>
      <c r="C18" s="22"/>
      <c r="D18" s="213">
        <v>58</v>
      </c>
      <c r="E18" s="219">
        <v>45.3</v>
      </c>
      <c r="F18" s="37">
        <v>57</v>
      </c>
      <c r="G18" s="222"/>
      <c r="H18" s="221"/>
      <c r="I18" s="30"/>
      <c r="K18" s="38" t="s">
        <v>26</v>
      </c>
      <c r="L18" s="39">
        <f>C199</f>
        <v>17</v>
      </c>
      <c r="N18"/>
      <c r="O18"/>
      <c r="P18"/>
    </row>
    <row r="19" spans="1:36" ht="13.5" thickBot="1">
      <c r="A19" s="31" t="s">
        <v>21</v>
      </c>
      <c r="B19" s="36"/>
      <c r="C19" s="36"/>
      <c r="D19" s="37">
        <f>F96-B95</f>
        <v>220.48099999999999</v>
      </c>
      <c r="E19" s="219">
        <f>Feb!D19</f>
        <v>233</v>
      </c>
      <c r="F19" s="37">
        <v>0</v>
      </c>
      <c r="G19" s="222">
        <v>0</v>
      </c>
      <c r="H19" s="221">
        <v>0</v>
      </c>
      <c r="I19" s="42"/>
      <c r="K19" s="47" t="s">
        <v>28</v>
      </c>
      <c r="L19" s="48">
        <f>C203+C231</f>
        <v>65</v>
      </c>
      <c r="N19"/>
      <c r="O19"/>
    </row>
    <row r="20" spans="1:36" ht="12.75">
      <c r="A20" s="31" t="s">
        <v>23</v>
      </c>
      <c r="B20" s="22"/>
      <c r="C20" s="22"/>
      <c r="D20" s="43">
        <f>SUM(D7:D19)-D15</f>
        <v>1313.0709999999999</v>
      </c>
      <c r="E20" s="43">
        <f>SUM(E7:E19)-E15</f>
        <v>1494.3306250000001</v>
      </c>
      <c r="F20" s="43">
        <f>SUM(F7:F19)-F15</f>
        <v>1140.8000000000002</v>
      </c>
      <c r="G20" s="44">
        <f>SUM(G7:G19)</f>
        <v>2334.7813000000001</v>
      </c>
      <c r="H20" s="231">
        <f>SUM(H7:H19)</f>
        <v>733.46270000000004</v>
      </c>
      <c r="I20" s="33"/>
      <c r="L20"/>
      <c r="N20"/>
      <c r="O20" s="45"/>
    </row>
    <row r="21" spans="1:36" ht="12.75">
      <c r="A21" s="31" t="s">
        <v>25</v>
      </c>
      <c r="B21" s="22"/>
      <c r="C21" s="22"/>
      <c r="D21" s="46">
        <f>D32</f>
        <v>300</v>
      </c>
      <c r="E21" s="224">
        <v>-64.516129032258064</v>
      </c>
      <c r="F21" s="225">
        <v>0</v>
      </c>
      <c r="G21" s="226">
        <v>0</v>
      </c>
      <c r="H21" s="227">
        <v>0</v>
      </c>
      <c r="I21" s="30"/>
      <c r="L21"/>
      <c r="N21" s="45"/>
      <c r="O21"/>
    </row>
    <row r="22" spans="1:36" ht="12.75">
      <c r="A22" s="31" t="s">
        <v>27</v>
      </c>
      <c r="B22" s="22"/>
      <c r="C22" s="22"/>
      <c r="D22" s="37">
        <v>2.5</v>
      </c>
      <c r="E22" s="37">
        <v>2.5</v>
      </c>
      <c r="F22" s="37">
        <v>2.5</v>
      </c>
      <c r="G22" s="228">
        <v>0</v>
      </c>
      <c r="H22" s="227">
        <v>0</v>
      </c>
      <c r="I22" s="30"/>
      <c r="L22"/>
      <c r="N22"/>
    </row>
    <row r="23" spans="1:36" ht="12.75">
      <c r="A23" s="49"/>
      <c r="B23" s="22"/>
      <c r="C23" s="50" t="s">
        <v>29</v>
      </c>
      <c r="D23" s="314">
        <f>D22+D21+D20</f>
        <v>1615.5709999999999</v>
      </c>
      <c r="E23" s="44">
        <f>E22+E21+E20</f>
        <v>1432.314495967742</v>
      </c>
      <c r="F23" s="44">
        <f>F22+F21+F20</f>
        <v>1143.3000000000002</v>
      </c>
      <c r="G23" s="44">
        <f>G22+G21+G20</f>
        <v>2334.7813000000001</v>
      </c>
      <c r="H23" s="232">
        <f>H22+H21+H20</f>
        <v>733.46270000000004</v>
      </c>
      <c r="I23" s="30"/>
      <c r="L23"/>
    </row>
    <row r="24" spans="1:36" ht="12.75">
      <c r="A24" s="31" t="s">
        <v>30</v>
      </c>
      <c r="B24" s="22"/>
      <c r="C24" s="22"/>
      <c r="D24" s="46">
        <f>D44</f>
        <v>1494.069</v>
      </c>
      <c r="E24" s="312">
        <f>Feb!D24</f>
        <v>1257.8919999999998</v>
      </c>
      <c r="F24" s="312">
        <v>1660</v>
      </c>
      <c r="G24" s="313">
        <f>D24</f>
        <v>1494.069</v>
      </c>
      <c r="H24" s="311">
        <f>D24</f>
        <v>1494.069</v>
      </c>
      <c r="I24" s="30"/>
      <c r="L24"/>
    </row>
    <row r="25" spans="1:36" ht="12.75">
      <c r="A25" s="315" t="s">
        <v>334</v>
      </c>
      <c r="B25" s="22"/>
      <c r="C25" s="22"/>
      <c r="D25" s="46">
        <v>53.755000000000003</v>
      </c>
      <c r="E25" s="37">
        <f>Feb!D25</f>
        <v>44.4</v>
      </c>
      <c r="F25" s="37"/>
      <c r="G25" s="225"/>
      <c r="H25" s="227"/>
      <c r="I25" s="30"/>
      <c r="L25"/>
    </row>
    <row r="26" spans="1:36" ht="13.5" thickBot="1">
      <c r="A26" s="51"/>
      <c r="B26" s="52"/>
      <c r="C26" s="53" t="s">
        <v>31</v>
      </c>
      <c r="D26" s="54">
        <f>D24+D25-D23</f>
        <v>-67.746999999999844</v>
      </c>
      <c r="E26" s="54">
        <f>E24-E23+E25</f>
        <v>-130.02249596774217</v>
      </c>
      <c r="F26" s="54">
        <f>F24-F23</f>
        <v>516.69999999999982</v>
      </c>
      <c r="G26" s="54">
        <f>+G23-G24</f>
        <v>840.71230000000014</v>
      </c>
      <c r="H26" s="54">
        <f>+(H23-H24)</f>
        <v>-760.60629999999992</v>
      </c>
      <c r="I26" s="33"/>
      <c r="L26"/>
    </row>
    <row r="27" spans="1:36" ht="4.5" customHeight="1">
      <c r="A27" s="55"/>
      <c r="B27" s="22"/>
      <c r="C27" s="56"/>
      <c r="D27" s="57"/>
      <c r="E27" s="58"/>
      <c r="F27" s="58"/>
      <c r="G27" s="59"/>
      <c r="H27" s="59"/>
      <c r="I27" s="33"/>
      <c r="K27" s="65"/>
      <c r="L27" s="66"/>
    </row>
    <row r="28" spans="1:36" ht="12.75">
      <c r="A28" s="49"/>
      <c r="C28" s="60" t="s">
        <v>32</v>
      </c>
      <c r="D28" s="238">
        <v>0</v>
      </c>
      <c r="E28" s="58"/>
      <c r="F28" s="58"/>
      <c r="G28" s="58"/>
      <c r="H28" s="58"/>
      <c r="I28" s="33"/>
      <c r="L28"/>
    </row>
    <row r="29" spans="1:36" s="67" customFormat="1" ht="13.5" customHeight="1" thickBot="1">
      <c r="A29" s="61"/>
      <c r="B29" s="62"/>
      <c r="C29" s="63" t="s">
        <v>33</v>
      </c>
      <c r="D29" s="64">
        <f>D26+D28</f>
        <v>-67.746999999999844</v>
      </c>
      <c r="E29" s="58"/>
      <c r="F29" s="58"/>
      <c r="G29" s="58"/>
      <c r="H29" s="58"/>
      <c r="I29" s="33"/>
      <c r="J29" s="65"/>
      <c r="K29" s="12"/>
      <c r="L2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</row>
    <row r="30" spans="1:36" ht="8.25" customHeight="1" thickBot="1">
      <c r="A30" s="68"/>
      <c r="B30" s="69"/>
      <c r="C30" s="70"/>
      <c r="D30" s="71"/>
      <c r="E30" s="10"/>
      <c r="F30" s="10"/>
      <c r="G30" s="72"/>
      <c r="H30" s="73"/>
      <c r="I30" s="74"/>
      <c r="K30"/>
    </row>
    <row r="31" spans="1:36" ht="13.5" thickBot="1">
      <c r="A31" s="429" t="s">
        <v>389</v>
      </c>
      <c r="B31" s="430"/>
      <c r="C31" s="430"/>
      <c r="D31" s="431"/>
      <c r="E31" s="75" t="s">
        <v>35</v>
      </c>
      <c r="F31" s="76"/>
      <c r="G31" s="77"/>
      <c r="H31" s="78"/>
      <c r="I31" s="426" t="s">
        <v>36</v>
      </c>
      <c r="J31" s="427"/>
      <c r="K31" s="96"/>
      <c r="L31" s="96"/>
    </row>
    <row r="32" spans="1:36" ht="13.5" thickBot="1">
      <c r="A32" s="31" t="s">
        <v>37</v>
      </c>
      <c r="B32" s="72"/>
      <c r="C32" s="72"/>
      <c r="D32" s="282">
        <f>B33/31</f>
        <v>300</v>
      </c>
      <c r="E32" s="79" t="s">
        <v>38</v>
      </c>
      <c r="F32" s="80"/>
      <c r="G32" s="81" t="s">
        <v>39</v>
      </c>
      <c r="H32" s="82"/>
      <c r="I32" s="83" t="s">
        <v>40</v>
      </c>
      <c r="J32" s="84" t="s">
        <v>41</v>
      </c>
      <c r="K32" s="99"/>
      <c r="L32" s="99"/>
    </row>
    <row r="33" spans="1:12" ht="13.5" thickBot="1">
      <c r="A33" s="85" t="s">
        <v>42</v>
      </c>
      <c r="B33" s="86">
        <v>9300</v>
      </c>
      <c r="C33" s="87" t="s">
        <v>43</v>
      </c>
      <c r="D33" s="88"/>
      <c r="E33" s="283" t="s">
        <v>421</v>
      </c>
      <c r="F33" s="284">
        <v>13.5</v>
      </c>
      <c r="G33" s="90" t="s">
        <v>82</v>
      </c>
      <c r="H33" s="91">
        <v>4</v>
      </c>
      <c r="I33" s="239">
        <f>7.5+20+10+20+15+20+5</f>
        <v>97.5</v>
      </c>
      <c r="J33" s="240">
        <f>95-10+5</f>
        <v>90</v>
      </c>
      <c r="K33" s="74"/>
      <c r="L33" s="74"/>
    </row>
    <row r="34" spans="1:12" ht="13.5" thickBot="1">
      <c r="A34" s="85" t="s">
        <v>44</v>
      </c>
      <c r="B34" s="92">
        <v>0</v>
      </c>
      <c r="C34" s="22"/>
      <c r="D34" s="93"/>
      <c r="E34" s="283" t="s">
        <v>327</v>
      </c>
      <c r="F34" s="245">
        <v>2</v>
      </c>
      <c r="G34" s="90"/>
      <c r="H34" s="91"/>
      <c r="I34" s="307" t="s">
        <v>45</v>
      </c>
      <c r="J34" s="95">
        <f>+I33-J33</f>
        <v>7.5</v>
      </c>
      <c r="K34"/>
      <c r="L34"/>
    </row>
    <row r="35" spans="1:12" ht="13.5" thickBot="1">
      <c r="A35" s="97"/>
      <c r="B35" s="52"/>
      <c r="C35" s="52"/>
      <c r="D35" s="98"/>
      <c r="E35" s="89" t="s">
        <v>427</v>
      </c>
      <c r="F35" s="218">
        <v>0.45</v>
      </c>
      <c r="G35" s="90"/>
      <c r="H35" s="91"/>
      <c r="I35"/>
      <c r="J35"/>
      <c r="K35"/>
      <c r="L35"/>
    </row>
    <row r="36" spans="1:12" ht="13.5" thickBot="1">
      <c r="A36" s="100"/>
      <c r="B36" s="101"/>
      <c r="C36" s="101"/>
      <c r="D36" s="102"/>
      <c r="E36" s="90" t="s">
        <v>348</v>
      </c>
      <c r="F36" s="91">
        <v>10</v>
      </c>
      <c r="G36" s="90"/>
      <c r="H36" s="91"/>
      <c r="I36" s="426" t="s">
        <v>46</v>
      </c>
      <c r="J36" s="428"/>
      <c r="K36" s="112"/>
      <c r="L36"/>
    </row>
    <row r="37" spans="1:12" ht="13.5" thickBot="1">
      <c r="A37" s="103" t="s">
        <v>47</v>
      </c>
      <c r="B37" s="104"/>
      <c r="C37" s="104"/>
      <c r="D37" s="105"/>
      <c r="E37" s="283" t="s">
        <v>425</v>
      </c>
      <c r="F37" s="245">
        <v>10</v>
      </c>
      <c r="G37" s="106"/>
      <c r="H37" s="107"/>
      <c r="I37" s="83" t="s">
        <v>48</v>
      </c>
      <c r="J37" s="84" t="s">
        <v>49</v>
      </c>
      <c r="K37" s="112"/>
      <c r="L37"/>
    </row>
    <row r="38" spans="1:12" ht="13.5" thickBot="1">
      <c r="A38" s="31"/>
      <c r="B38" s="22"/>
      <c r="C38" s="22"/>
      <c r="D38" s="108"/>
      <c r="E38" s="89" t="s">
        <v>85</v>
      </c>
      <c r="F38" s="218">
        <v>6</v>
      </c>
      <c r="G38" s="106"/>
      <c r="H38" s="107"/>
      <c r="I38" s="305">
        <v>0</v>
      </c>
      <c r="J38" s="241">
        <f>25+10-30+20+10</f>
        <v>35</v>
      </c>
      <c r="K38" s="112"/>
      <c r="L38"/>
    </row>
    <row r="39" spans="1:12" ht="13.5" thickBot="1">
      <c r="A39" s="31" t="s">
        <v>50</v>
      </c>
      <c r="B39" s="22"/>
      <c r="C39" s="22"/>
      <c r="D39" s="110">
        <f>K208/1000</f>
        <v>89.805000000000007</v>
      </c>
      <c r="E39" s="89"/>
      <c r="F39" s="218"/>
      <c r="G39" s="106"/>
      <c r="H39" s="107"/>
      <c r="I39" s="111" t="s">
        <v>51</v>
      </c>
      <c r="J39" s="84" t="s">
        <v>52</v>
      </c>
      <c r="K39"/>
      <c r="L39"/>
    </row>
    <row r="40" spans="1:12" ht="13.5" thickBot="1">
      <c r="A40" s="31" t="s">
        <v>53</v>
      </c>
      <c r="B40" s="22"/>
      <c r="C40" s="22"/>
      <c r="D40" s="108">
        <f>L96</f>
        <v>692.75800000000004</v>
      </c>
      <c r="E40" s="89"/>
      <c r="F40" s="218"/>
      <c r="G40" s="113"/>
      <c r="H40" s="114"/>
      <c r="I40" s="242">
        <f>40+25+30</f>
        <v>95</v>
      </c>
      <c r="J40" s="306">
        <v>0</v>
      </c>
      <c r="K40"/>
      <c r="L40"/>
    </row>
    <row r="41" spans="1:12" ht="13.5" thickBot="1">
      <c r="A41" s="31" t="s">
        <v>54</v>
      </c>
      <c r="B41" s="22"/>
      <c r="C41" s="22"/>
      <c r="D41" s="361">
        <v>40</v>
      </c>
      <c r="E41" s="89"/>
      <c r="F41" s="218"/>
      <c r="G41" s="113"/>
      <c r="H41" s="114"/>
      <c r="I41" s="308" t="s">
        <v>55</v>
      </c>
      <c r="J41" s="95">
        <f>J34+I38+J38+I40+J40</f>
        <v>137.5</v>
      </c>
      <c r="K41"/>
      <c r="L41"/>
    </row>
    <row r="42" spans="1:12" ht="13.5" thickBot="1">
      <c r="A42" s="31" t="s">
        <v>56</v>
      </c>
      <c r="B42" s="22"/>
      <c r="C42" s="22"/>
      <c r="D42" s="347">
        <v>671.50599999999997</v>
      </c>
      <c r="E42" s="89"/>
      <c r="F42" s="218"/>
      <c r="G42" s="10"/>
      <c r="H42" s="11"/>
      <c r="K42"/>
      <c r="L42"/>
    </row>
    <row r="43" spans="1:12" ht="13.5" thickBot="1">
      <c r="A43" s="31"/>
      <c r="B43" s="22"/>
      <c r="C43" s="22"/>
      <c r="D43" s="108"/>
      <c r="E43" s="89"/>
      <c r="F43" s="218"/>
      <c r="G43" s="10"/>
      <c r="H43" s="11"/>
      <c r="I43" s="426" t="s">
        <v>57</v>
      </c>
      <c r="J43" s="427"/>
      <c r="K43"/>
      <c r="L43"/>
    </row>
    <row r="44" spans="1:12" ht="13.5" thickBot="1">
      <c r="A44" s="51"/>
      <c r="B44" s="118" t="s">
        <v>58</v>
      </c>
      <c r="C44" s="119" t="str">
        <f>+F5</f>
        <v>Mar</v>
      </c>
      <c r="D44" s="120">
        <f>SUM(D39:D42)</f>
        <v>1494.069</v>
      </c>
      <c r="E44" s="121" t="s">
        <v>59</v>
      </c>
      <c r="F44" s="122">
        <f>SUM(F33:F42)</f>
        <v>41.95</v>
      </c>
      <c r="G44" s="121" t="s">
        <v>59</v>
      </c>
      <c r="H44" s="123">
        <f>SUM(H33:H43)</f>
        <v>4</v>
      </c>
      <c r="I44"/>
      <c r="J44" s="346">
        <v>15</v>
      </c>
      <c r="K44"/>
      <c r="L44"/>
    </row>
    <row r="45" spans="1:12" ht="12.75" thickBot="1"/>
    <row r="46" spans="1:12" ht="12.75" thickBot="1">
      <c r="A46" s="124" t="s">
        <v>60</v>
      </c>
      <c r="B46" s="125"/>
      <c r="C46" s="125"/>
      <c r="D46" s="125"/>
      <c r="E46" s="126"/>
      <c r="F46" s="127"/>
      <c r="G46" s="124" t="s">
        <v>61</v>
      </c>
      <c r="H46" s="125"/>
      <c r="I46" s="125"/>
      <c r="J46" s="125"/>
      <c r="K46" s="125"/>
      <c r="L46" s="128"/>
    </row>
    <row r="47" spans="1:12">
      <c r="A47" s="129" t="s">
        <v>63</v>
      </c>
      <c r="B47" s="130"/>
      <c r="C47" s="131" t="s">
        <v>64</v>
      </c>
      <c r="D47" s="130"/>
      <c r="E47" s="131" t="s">
        <v>65</v>
      </c>
      <c r="F47" s="132"/>
      <c r="G47" s="133"/>
      <c r="H47" s="130"/>
      <c r="I47" s="131" t="s">
        <v>64</v>
      </c>
      <c r="J47" s="130"/>
      <c r="K47" s="131" t="s">
        <v>65</v>
      </c>
      <c r="L47" s="132"/>
    </row>
    <row r="48" spans="1:12">
      <c r="A48" s="134" t="s">
        <v>67</v>
      </c>
      <c r="B48" s="353">
        <v>0.2</v>
      </c>
      <c r="C48" s="136" t="s">
        <v>317</v>
      </c>
      <c r="D48" s="353">
        <v>10</v>
      </c>
      <c r="E48" s="136" t="s">
        <v>422</v>
      </c>
      <c r="F48" s="353">
        <v>5</v>
      </c>
      <c r="G48" s="138"/>
      <c r="H48" s="139"/>
      <c r="I48" s="136" t="s">
        <v>68</v>
      </c>
      <c r="J48" s="355">
        <v>40</v>
      </c>
      <c r="K48" s="136" t="s">
        <v>97</v>
      </c>
      <c r="L48" s="356">
        <v>20</v>
      </c>
    </row>
    <row r="49" spans="1:12">
      <c r="A49" s="134" t="s">
        <v>69</v>
      </c>
      <c r="B49" s="353">
        <v>0.21199999999999999</v>
      </c>
      <c r="C49" s="136" t="s">
        <v>11</v>
      </c>
      <c r="D49" s="353">
        <v>5</v>
      </c>
      <c r="E49" s="136" t="s">
        <v>422</v>
      </c>
      <c r="F49" s="356">
        <v>5</v>
      </c>
      <c r="G49" s="138"/>
      <c r="H49" s="139"/>
      <c r="I49" s="141" t="s">
        <v>71</v>
      </c>
      <c r="J49" s="357">
        <v>20</v>
      </c>
      <c r="K49" s="136" t="s">
        <v>388</v>
      </c>
      <c r="L49" s="356">
        <v>10</v>
      </c>
    </row>
    <row r="50" spans="1:12">
      <c r="A50" s="134" t="s">
        <v>72</v>
      </c>
      <c r="B50" s="353">
        <v>4.8000000000000001E-2</v>
      </c>
      <c r="C50" s="136" t="s">
        <v>73</v>
      </c>
      <c r="D50" s="353">
        <v>60</v>
      </c>
      <c r="E50" s="136" t="s">
        <v>422</v>
      </c>
      <c r="F50" s="356">
        <v>10</v>
      </c>
      <c r="G50" s="138"/>
      <c r="H50" s="139"/>
      <c r="I50" s="141" t="s">
        <v>75</v>
      </c>
      <c r="J50" s="353">
        <v>20</v>
      </c>
      <c r="K50" s="136" t="s">
        <v>324</v>
      </c>
      <c r="L50" s="356">
        <v>15</v>
      </c>
    </row>
    <row r="51" spans="1:12">
      <c r="A51" s="134" t="s">
        <v>79</v>
      </c>
      <c r="B51" s="353">
        <v>4.8000000000000001E-2</v>
      </c>
      <c r="C51" s="136" t="s">
        <v>89</v>
      </c>
      <c r="D51" s="353">
        <v>2</v>
      </c>
      <c r="E51" s="136" t="s">
        <v>422</v>
      </c>
      <c r="F51" s="356">
        <v>10</v>
      </c>
      <c r="G51" s="138"/>
      <c r="H51" s="139"/>
      <c r="I51" s="141" t="s">
        <v>78</v>
      </c>
      <c r="J51" s="353">
        <v>20</v>
      </c>
      <c r="K51" s="136" t="s">
        <v>412</v>
      </c>
      <c r="L51" s="356">
        <v>20</v>
      </c>
    </row>
    <row r="52" spans="1:12">
      <c r="A52" s="134" t="s">
        <v>85</v>
      </c>
      <c r="B52" s="363">
        <f>5+2.1+2-5</f>
        <v>4.0999999999999996</v>
      </c>
      <c r="C52" s="136"/>
      <c r="D52" s="135"/>
      <c r="E52" s="136" t="s">
        <v>438</v>
      </c>
      <c r="F52" s="356">
        <v>10</v>
      </c>
      <c r="G52" s="138"/>
      <c r="H52" s="139"/>
      <c r="I52" s="141" t="s">
        <v>426</v>
      </c>
      <c r="J52" s="353">
        <v>15</v>
      </c>
      <c r="K52" s="136" t="s">
        <v>424</v>
      </c>
      <c r="L52" s="356">
        <v>5</v>
      </c>
    </row>
    <row r="53" spans="1:12">
      <c r="A53" s="134" t="s">
        <v>83</v>
      </c>
      <c r="B53" s="135">
        <v>0.75</v>
      </c>
      <c r="C53" s="136"/>
      <c r="D53" s="135"/>
      <c r="E53" s="136"/>
      <c r="F53" s="140"/>
      <c r="G53" s="138"/>
      <c r="H53" s="139"/>
      <c r="I53" s="141" t="s">
        <v>91</v>
      </c>
      <c r="J53" s="353">
        <v>2</v>
      </c>
      <c r="K53" s="136" t="s">
        <v>433</v>
      </c>
      <c r="L53" s="356">
        <v>15</v>
      </c>
    </row>
    <row r="54" spans="1:12">
      <c r="A54" s="134"/>
      <c r="B54" s="135"/>
      <c r="C54" s="136"/>
      <c r="D54" s="135"/>
      <c r="E54" s="136"/>
      <c r="F54" s="140"/>
      <c r="G54" s="138"/>
      <c r="H54" s="139"/>
      <c r="I54" s="141" t="s">
        <v>93</v>
      </c>
      <c r="J54" s="353">
        <v>30</v>
      </c>
      <c r="K54" s="136" t="s">
        <v>432</v>
      </c>
      <c r="L54" s="356">
        <v>20</v>
      </c>
    </row>
    <row r="55" spans="1:12">
      <c r="A55" s="134"/>
      <c r="B55" s="135"/>
      <c r="C55" s="136"/>
      <c r="D55" s="135"/>
      <c r="E55" s="136"/>
      <c r="F55" s="140"/>
      <c r="G55" s="138"/>
      <c r="H55" s="139"/>
      <c r="I55" s="141" t="s">
        <v>94</v>
      </c>
      <c r="J55" s="353">
        <v>5</v>
      </c>
      <c r="K55" s="136" t="s">
        <v>418</v>
      </c>
      <c r="L55" s="356">
        <v>10</v>
      </c>
    </row>
    <row r="56" spans="1:12">
      <c r="A56" s="138"/>
      <c r="B56" s="139"/>
      <c r="C56" s="136"/>
      <c r="D56" s="135"/>
      <c r="E56" s="348">
        <v>36579</v>
      </c>
      <c r="F56" s="349"/>
      <c r="G56" s="138"/>
      <c r="H56" s="139"/>
      <c r="I56" s="141" t="s">
        <v>95</v>
      </c>
      <c r="J56" s="353">
        <v>20</v>
      </c>
      <c r="K56" s="136" t="s">
        <v>431</v>
      </c>
      <c r="L56" s="356">
        <v>20</v>
      </c>
    </row>
    <row r="57" spans="1:12">
      <c r="A57" s="138"/>
      <c r="B57" s="139"/>
      <c r="C57" s="136"/>
      <c r="D57" s="135"/>
      <c r="E57" s="136" t="s">
        <v>422</v>
      </c>
      <c r="F57" s="353">
        <v>5</v>
      </c>
      <c r="G57" s="138"/>
      <c r="H57" s="139"/>
      <c r="I57" s="141" t="s">
        <v>440</v>
      </c>
      <c r="J57" s="353">
        <v>31</v>
      </c>
      <c r="K57" s="136" t="s">
        <v>430</v>
      </c>
      <c r="L57" s="356">
        <v>15</v>
      </c>
    </row>
    <row r="58" spans="1:12">
      <c r="A58" s="138"/>
      <c r="B58" s="139"/>
      <c r="C58" s="136"/>
      <c r="D58" s="135"/>
      <c r="E58" s="136" t="s">
        <v>436</v>
      </c>
      <c r="F58" s="353">
        <v>5</v>
      </c>
      <c r="G58" s="138"/>
      <c r="H58" s="139"/>
      <c r="I58" s="141"/>
      <c r="J58" s="135"/>
      <c r="K58" s="136" t="s">
        <v>86</v>
      </c>
      <c r="L58" s="356">
        <v>10</v>
      </c>
    </row>
    <row r="59" spans="1:12">
      <c r="A59" s="138"/>
      <c r="B59" s="139"/>
      <c r="C59" s="136"/>
      <c r="D59" s="135"/>
      <c r="E59" s="136" t="s">
        <v>437</v>
      </c>
      <c r="F59" s="360">
        <v>5</v>
      </c>
      <c r="G59" s="138"/>
      <c r="H59" s="139"/>
      <c r="I59" s="141"/>
      <c r="J59" s="135"/>
      <c r="K59" s="136" t="s">
        <v>335</v>
      </c>
      <c r="L59" s="356">
        <v>25</v>
      </c>
    </row>
    <row r="60" spans="1:12">
      <c r="A60" s="143"/>
      <c r="B60" s="144"/>
      <c r="C60" s="136"/>
      <c r="D60" s="135"/>
      <c r="E60" s="136" t="s">
        <v>420</v>
      </c>
      <c r="F60" s="360">
        <v>1.3140000000000001</v>
      </c>
      <c r="G60" s="138"/>
      <c r="H60" s="139"/>
      <c r="I60" s="136"/>
      <c r="J60" s="135"/>
      <c r="K60" s="136" t="s">
        <v>350</v>
      </c>
      <c r="L60" s="356">
        <v>5</v>
      </c>
    </row>
    <row r="61" spans="1:12">
      <c r="A61" s="143"/>
      <c r="B61" s="144"/>
      <c r="C61" s="136"/>
      <c r="D61" s="135"/>
      <c r="E61" s="136" t="s">
        <v>81</v>
      </c>
      <c r="F61" s="360">
        <v>20</v>
      </c>
      <c r="G61" s="138"/>
      <c r="H61" s="139"/>
      <c r="I61" s="136"/>
      <c r="J61" s="135"/>
      <c r="K61" s="348">
        <v>36579</v>
      </c>
      <c r="L61" s="349"/>
    </row>
    <row r="62" spans="1:12">
      <c r="A62" s="143"/>
      <c r="B62" s="144"/>
      <c r="C62" s="136"/>
      <c r="D62" s="135"/>
      <c r="E62" s="136"/>
      <c r="F62" s="137"/>
      <c r="G62" s="138"/>
      <c r="H62" s="139"/>
      <c r="I62" s="136"/>
      <c r="J62" s="135"/>
      <c r="K62" s="136" t="s">
        <v>97</v>
      </c>
      <c r="L62" s="356">
        <v>10</v>
      </c>
    </row>
    <row r="63" spans="1:12">
      <c r="A63" s="143"/>
      <c r="B63" s="144"/>
      <c r="C63" s="136"/>
      <c r="D63" s="135"/>
      <c r="E63" s="348">
        <v>36580</v>
      </c>
      <c r="F63" s="349"/>
      <c r="G63" s="138"/>
      <c r="H63" s="139"/>
      <c r="I63" s="136"/>
      <c r="J63" s="135"/>
      <c r="K63" s="136" t="s">
        <v>82</v>
      </c>
      <c r="L63" s="356">
        <v>2.1779999999999999</v>
      </c>
    </row>
    <row r="64" spans="1:12">
      <c r="A64" s="143"/>
      <c r="B64" s="144"/>
      <c r="C64" s="136"/>
      <c r="D64" s="135"/>
      <c r="E64" s="136"/>
      <c r="F64" s="137">
        <v>5</v>
      </c>
      <c r="G64" s="138"/>
      <c r="H64" s="139"/>
      <c r="I64" s="136"/>
      <c r="J64" s="135"/>
      <c r="K64" s="136" t="s">
        <v>412</v>
      </c>
      <c r="L64" s="356">
        <v>30</v>
      </c>
    </row>
    <row r="65" spans="1:12">
      <c r="A65" s="143"/>
      <c r="B65" s="144"/>
      <c r="C65" s="136"/>
      <c r="D65" s="135"/>
      <c r="E65" s="136"/>
      <c r="F65" s="137"/>
      <c r="G65" s="138"/>
      <c r="H65" s="139"/>
      <c r="I65" s="136"/>
      <c r="J65" s="135"/>
      <c r="K65" s="136" t="s">
        <v>412</v>
      </c>
      <c r="L65" s="356">
        <v>30</v>
      </c>
    </row>
    <row r="66" spans="1:12">
      <c r="A66" s="143"/>
      <c r="B66" s="144"/>
      <c r="C66" s="136"/>
      <c r="D66" s="135"/>
      <c r="E66" s="136"/>
      <c r="F66" s="137"/>
      <c r="G66" s="138"/>
      <c r="H66" s="139"/>
      <c r="I66" s="136"/>
      <c r="J66" s="135"/>
      <c r="K66" s="136" t="s">
        <v>412</v>
      </c>
      <c r="L66" s="356">
        <v>15</v>
      </c>
    </row>
    <row r="67" spans="1:12">
      <c r="A67" s="143"/>
      <c r="B67" s="144"/>
      <c r="C67" s="136"/>
      <c r="D67" s="135"/>
      <c r="E67" s="136"/>
      <c r="F67" s="137"/>
      <c r="G67" s="138"/>
      <c r="H67" s="139"/>
      <c r="I67" s="136"/>
      <c r="J67" s="135"/>
      <c r="K67" s="136" t="s">
        <v>438</v>
      </c>
      <c r="L67" s="356">
        <v>10</v>
      </c>
    </row>
    <row r="68" spans="1:12">
      <c r="A68" s="143"/>
      <c r="B68" s="144"/>
      <c r="C68" s="136"/>
      <c r="D68" s="135"/>
      <c r="E68" s="136"/>
      <c r="F68" s="137"/>
      <c r="G68" s="138"/>
      <c r="H68" s="139"/>
      <c r="I68" s="136"/>
      <c r="J68" s="135"/>
      <c r="K68" s="136" t="s">
        <v>433</v>
      </c>
      <c r="L68" s="356">
        <v>10</v>
      </c>
    </row>
    <row r="69" spans="1:12">
      <c r="A69" s="143"/>
      <c r="B69" s="144"/>
      <c r="C69" s="136"/>
      <c r="D69" s="135"/>
      <c r="E69" s="136"/>
      <c r="F69" s="137"/>
      <c r="G69" s="138"/>
      <c r="H69" s="139"/>
      <c r="I69" s="136"/>
      <c r="J69" s="135"/>
      <c r="K69" s="136" t="s">
        <v>434</v>
      </c>
      <c r="L69" s="356">
        <v>5</v>
      </c>
    </row>
    <row r="70" spans="1:12">
      <c r="A70" s="143"/>
      <c r="B70" s="144"/>
      <c r="C70" s="136"/>
      <c r="D70" s="135"/>
      <c r="E70" s="136"/>
      <c r="F70" s="137"/>
      <c r="G70" s="138"/>
      <c r="H70" s="139"/>
      <c r="I70" s="136"/>
      <c r="J70" s="135"/>
      <c r="K70" s="136" t="s">
        <v>408</v>
      </c>
      <c r="L70" s="356">
        <v>10</v>
      </c>
    </row>
    <row r="71" spans="1:12">
      <c r="A71" s="143"/>
      <c r="B71" s="144"/>
      <c r="C71" s="136"/>
      <c r="D71" s="135"/>
      <c r="E71" s="136"/>
      <c r="F71" s="137"/>
      <c r="G71" s="138"/>
      <c r="H71" s="139"/>
      <c r="I71" s="136"/>
      <c r="J71" s="135"/>
      <c r="K71" s="136" t="s">
        <v>411</v>
      </c>
      <c r="L71" s="356">
        <v>50</v>
      </c>
    </row>
    <row r="72" spans="1:12">
      <c r="A72" s="143"/>
      <c r="B72" s="144"/>
      <c r="C72" s="136"/>
      <c r="D72" s="135"/>
      <c r="E72" s="136"/>
      <c r="F72" s="137"/>
      <c r="G72" s="138"/>
      <c r="H72" s="139"/>
      <c r="I72" s="136"/>
      <c r="J72" s="135"/>
      <c r="K72" s="136" t="s">
        <v>336</v>
      </c>
      <c r="L72" s="356">
        <v>5</v>
      </c>
    </row>
    <row r="73" spans="1:12">
      <c r="A73" s="143"/>
      <c r="B73" s="144"/>
      <c r="C73" s="136"/>
      <c r="D73" s="135"/>
      <c r="E73" s="136"/>
      <c r="F73" s="137"/>
      <c r="G73" s="138"/>
      <c r="H73" s="139"/>
      <c r="I73" s="136"/>
      <c r="J73" s="135"/>
      <c r="K73" s="136" t="s">
        <v>295</v>
      </c>
      <c r="L73" s="356">
        <v>19.600000000000001</v>
      </c>
    </row>
    <row r="74" spans="1:12">
      <c r="A74" s="143"/>
      <c r="B74" s="144"/>
      <c r="C74" s="136"/>
      <c r="D74" s="135"/>
      <c r="E74" s="136"/>
      <c r="F74" s="137"/>
      <c r="G74" s="138"/>
      <c r="H74" s="139"/>
      <c r="I74" s="136"/>
      <c r="J74" s="135"/>
      <c r="K74" s="136" t="s">
        <v>396</v>
      </c>
      <c r="L74" s="356">
        <v>3.3</v>
      </c>
    </row>
    <row r="75" spans="1:12">
      <c r="A75" s="143"/>
      <c r="B75" s="144"/>
      <c r="C75" s="136"/>
      <c r="D75" s="135"/>
      <c r="E75" s="136"/>
      <c r="F75" s="137"/>
      <c r="G75" s="138"/>
      <c r="H75" s="139"/>
      <c r="I75" s="136"/>
      <c r="J75" s="135"/>
      <c r="K75" s="136" t="s">
        <v>404</v>
      </c>
      <c r="L75" s="356">
        <v>0.43</v>
      </c>
    </row>
    <row r="76" spans="1:12">
      <c r="A76" s="143"/>
      <c r="B76" s="144"/>
      <c r="C76" s="136"/>
      <c r="D76" s="135"/>
      <c r="E76" s="136"/>
      <c r="F76" s="137"/>
      <c r="G76" s="138"/>
      <c r="H76" s="139"/>
      <c r="I76" s="136"/>
      <c r="J76" s="135"/>
      <c r="K76" s="136" t="s">
        <v>81</v>
      </c>
      <c r="L76" s="356">
        <v>20</v>
      </c>
    </row>
    <row r="77" spans="1:12">
      <c r="A77" s="143"/>
      <c r="B77" s="144"/>
      <c r="C77" s="136"/>
      <c r="D77" s="135"/>
      <c r="E77" s="136"/>
      <c r="F77" s="137"/>
      <c r="G77" s="138"/>
      <c r="H77" s="139"/>
      <c r="I77" s="136"/>
      <c r="J77" s="135"/>
      <c r="K77" s="348">
        <v>36580</v>
      </c>
      <c r="L77" s="349"/>
    </row>
    <row r="78" spans="1:12">
      <c r="A78" s="143"/>
      <c r="B78" s="144"/>
      <c r="C78" s="136"/>
      <c r="D78" s="135"/>
      <c r="E78" s="136"/>
      <c r="F78" s="137"/>
      <c r="G78" s="138"/>
      <c r="H78" s="139"/>
      <c r="I78" s="136"/>
      <c r="J78" s="135"/>
      <c r="K78" s="136"/>
      <c r="L78" s="140">
        <v>5</v>
      </c>
    </row>
    <row r="79" spans="1:12">
      <c r="A79" s="143"/>
      <c r="B79" s="144"/>
      <c r="C79" s="136"/>
      <c r="D79" s="135"/>
      <c r="E79" s="136"/>
      <c r="F79" s="137"/>
      <c r="G79" s="138"/>
      <c r="H79" s="139"/>
      <c r="I79" s="136"/>
      <c r="J79" s="135"/>
      <c r="K79" s="136"/>
      <c r="L79" s="140">
        <v>3</v>
      </c>
    </row>
    <row r="80" spans="1:12">
      <c r="A80" s="143"/>
      <c r="B80" s="144"/>
      <c r="C80" s="136"/>
      <c r="D80" s="135"/>
      <c r="E80" s="136"/>
      <c r="F80" s="137"/>
      <c r="G80" s="138"/>
      <c r="H80" s="139"/>
      <c r="I80" s="136"/>
      <c r="J80" s="135"/>
      <c r="K80" s="136"/>
      <c r="L80" s="140"/>
    </row>
    <row r="81" spans="1:12">
      <c r="A81" s="143"/>
      <c r="B81" s="144"/>
      <c r="C81" s="136"/>
      <c r="D81" s="135"/>
      <c r="E81" s="136"/>
      <c r="F81" s="137"/>
      <c r="G81" s="138"/>
      <c r="H81" s="139"/>
      <c r="I81" s="136"/>
      <c r="J81" s="135"/>
      <c r="K81" s="136"/>
      <c r="L81" s="140"/>
    </row>
    <row r="82" spans="1:12">
      <c r="A82" s="143"/>
      <c r="B82" s="144"/>
      <c r="C82" s="136"/>
      <c r="D82" s="135"/>
      <c r="E82" s="136"/>
      <c r="F82" s="137"/>
      <c r="G82" s="138"/>
      <c r="H82" s="139"/>
      <c r="I82" s="136"/>
      <c r="J82" s="135"/>
      <c r="K82" s="136"/>
      <c r="L82" s="140"/>
    </row>
    <row r="83" spans="1:12">
      <c r="A83" s="143"/>
      <c r="B83" s="144"/>
      <c r="C83" s="146" t="s">
        <v>98</v>
      </c>
      <c r="D83" s="147"/>
      <c r="E83" s="148"/>
      <c r="F83" s="149"/>
      <c r="G83" s="138"/>
      <c r="H83" s="139"/>
      <c r="I83" s="146" t="s">
        <v>98</v>
      </c>
      <c r="J83" s="150"/>
      <c r="K83" s="216"/>
      <c r="L83" s="217"/>
    </row>
    <row r="84" spans="1:12">
      <c r="A84" s="143"/>
      <c r="B84" s="144"/>
      <c r="C84" s="136" t="s">
        <v>99</v>
      </c>
      <c r="D84" s="353">
        <v>18</v>
      </c>
      <c r="E84" s="136"/>
      <c r="F84" s="140"/>
      <c r="G84" s="151"/>
      <c r="H84" s="139"/>
      <c r="I84" s="136" t="s">
        <v>324</v>
      </c>
      <c r="J84" s="353">
        <v>5</v>
      </c>
      <c r="K84" s="136" t="s">
        <v>387</v>
      </c>
      <c r="L84" s="356">
        <v>1.25</v>
      </c>
    </row>
    <row r="85" spans="1:12">
      <c r="A85" s="143"/>
      <c r="B85" s="144"/>
      <c r="C85" s="136" t="s">
        <v>101</v>
      </c>
      <c r="D85" s="353">
        <v>10</v>
      </c>
      <c r="E85" s="136"/>
      <c r="F85" s="140"/>
      <c r="G85" s="138"/>
      <c r="H85" s="139"/>
      <c r="I85" s="136" t="s">
        <v>100</v>
      </c>
      <c r="J85" s="353">
        <v>8</v>
      </c>
      <c r="K85" s="136" t="s">
        <v>388</v>
      </c>
      <c r="L85" s="356">
        <v>10</v>
      </c>
    </row>
    <row r="86" spans="1:12">
      <c r="A86" s="143"/>
      <c r="B86" s="144"/>
      <c r="C86" s="136" t="s">
        <v>437</v>
      </c>
      <c r="D86" s="353">
        <v>5</v>
      </c>
      <c r="E86" s="136"/>
      <c r="F86" s="140"/>
      <c r="G86" s="138"/>
      <c r="H86" s="139"/>
      <c r="I86" s="136" t="s">
        <v>81</v>
      </c>
      <c r="J86" s="353">
        <v>5</v>
      </c>
      <c r="K86" s="136" t="s">
        <v>324</v>
      </c>
      <c r="L86" s="356">
        <v>8</v>
      </c>
    </row>
    <row r="87" spans="1:12">
      <c r="A87" s="143"/>
      <c r="B87" s="144"/>
      <c r="C87" s="136" t="s">
        <v>348</v>
      </c>
      <c r="D87" s="135">
        <v>13.333</v>
      </c>
      <c r="E87" s="136"/>
      <c r="F87" s="140"/>
      <c r="G87" s="138"/>
      <c r="H87" s="139"/>
      <c r="I87" s="136"/>
      <c r="J87" s="135"/>
      <c r="K87" s="136" t="s">
        <v>149</v>
      </c>
      <c r="L87" s="356">
        <v>9.4</v>
      </c>
    </row>
    <row r="88" spans="1:12">
      <c r="A88" s="143"/>
      <c r="B88" s="144"/>
      <c r="C88" s="136" t="s">
        <v>348</v>
      </c>
      <c r="D88" s="353">
        <v>5.8339999999999996</v>
      </c>
      <c r="E88" s="136"/>
      <c r="F88" s="140"/>
      <c r="G88" s="138"/>
      <c r="H88" s="139"/>
      <c r="I88" s="136"/>
      <c r="J88" s="135"/>
      <c r="K88" s="136" t="s">
        <v>95</v>
      </c>
      <c r="L88" s="356">
        <v>10</v>
      </c>
    </row>
    <row r="89" spans="1:12">
      <c r="A89" s="143"/>
      <c r="B89" s="144"/>
      <c r="C89" s="136" t="s">
        <v>435</v>
      </c>
      <c r="D89" s="135">
        <v>5</v>
      </c>
      <c r="E89" s="136"/>
      <c r="F89" s="140"/>
      <c r="G89" s="138"/>
      <c r="H89" s="139"/>
      <c r="I89" s="136"/>
      <c r="J89" s="135"/>
      <c r="K89" s="136" t="s">
        <v>149</v>
      </c>
      <c r="L89" s="356">
        <v>9.6</v>
      </c>
    </row>
    <row r="90" spans="1:12">
      <c r="A90" s="143"/>
      <c r="B90" s="144"/>
      <c r="C90" s="136"/>
      <c r="D90" s="135"/>
      <c r="E90" s="136"/>
      <c r="F90" s="140"/>
      <c r="G90" s="138"/>
      <c r="H90" s="139"/>
      <c r="I90" s="136"/>
      <c r="J90" s="135"/>
      <c r="K90" s="348">
        <v>36580</v>
      </c>
      <c r="L90" s="349"/>
    </row>
    <row r="91" spans="1:12">
      <c r="A91" s="143"/>
      <c r="B91" s="144"/>
      <c r="C91" s="136"/>
      <c r="D91" s="135"/>
      <c r="E91" s="136"/>
      <c r="F91" s="140"/>
      <c r="G91" s="138"/>
      <c r="H91" s="139"/>
      <c r="I91" s="136"/>
      <c r="J91" s="135"/>
      <c r="K91" s="136" t="s">
        <v>81</v>
      </c>
      <c r="L91" s="140">
        <v>5</v>
      </c>
    </row>
    <row r="92" spans="1:12">
      <c r="A92" s="143"/>
      <c r="B92" s="144"/>
      <c r="C92" s="136"/>
      <c r="D92" s="135"/>
      <c r="E92" s="136"/>
      <c r="F92" s="140"/>
      <c r="G92" s="138"/>
      <c r="H92" s="139"/>
      <c r="I92" s="136"/>
      <c r="J92" s="135"/>
      <c r="K92" s="136"/>
      <c r="L92" s="140"/>
    </row>
    <row r="93" spans="1:12">
      <c r="A93" s="143"/>
      <c r="B93" s="144"/>
      <c r="C93" s="136"/>
      <c r="D93" s="135"/>
      <c r="E93" s="136"/>
      <c r="F93" s="140"/>
      <c r="G93" s="138"/>
      <c r="H93" s="139"/>
      <c r="I93" s="136"/>
      <c r="J93" s="135"/>
      <c r="K93" s="136"/>
      <c r="L93" s="140"/>
    </row>
    <row r="94" spans="1:12">
      <c r="A94" s="152"/>
      <c r="B94" s="153"/>
      <c r="C94" s="154" t="s">
        <v>435</v>
      </c>
      <c r="D94" s="153">
        <v>5</v>
      </c>
      <c r="E94" s="155"/>
      <c r="F94" s="156"/>
      <c r="G94" s="152"/>
      <c r="H94" s="153"/>
      <c r="I94" s="154"/>
      <c r="J94" s="342"/>
      <c r="K94" s="252"/>
      <c r="L94" s="253"/>
    </row>
    <row r="95" spans="1:12">
      <c r="A95" s="157" t="s">
        <v>103</v>
      </c>
      <c r="B95" s="158">
        <f>SUM(B47:B94)</f>
        <v>5.3579999999999997</v>
      </c>
      <c r="C95" s="159" t="s">
        <v>103</v>
      </c>
      <c r="D95" s="158">
        <f>SUM(D47:D94)</f>
        <v>139.167</v>
      </c>
      <c r="E95" s="159" t="s">
        <v>103</v>
      </c>
      <c r="F95" s="160">
        <f>SUM(F47:F94)</f>
        <v>81.313999999999993</v>
      </c>
      <c r="G95" s="157"/>
      <c r="H95" s="158"/>
      <c r="I95" s="159" t="s">
        <v>103</v>
      </c>
      <c r="J95" s="161">
        <f>SUM(J47:J94)</f>
        <v>221</v>
      </c>
      <c r="K95" s="159" t="s">
        <v>103</v>
      </c>
      <c r="L95" s="162">
        <f>SUM(L47:L94)</f>
        <v>471.75800000000004</v>
      </c>
    </row>
    <row r="96" spans="1:12" ht="12.75" thickBot="1">
      <c r="A96" s="163"/>
      <c r="B96" s="164"/>
      <c r="C96" s="165"/>
      <c r="D96" s="164"/>
      <c r="E96" s="166" t="s">
        <v>104</v>
      </c>
      <c r="F96" s="167">
        <f>+B95+F95+D95</f>
        <v>225.839</v>
      </c>
      <c r="G96" s="163"/>
      <c r="H96" s="164"/>
      <c r="I96" s="165"/>
      <c r="J96" s="164"/>
      <c r="K96" s="166" t="s">
        <v>104</v>
      </c>
      <c r="L96" s="167">
        <f>J95+L95</f>
        <v>692.75800000000004</v>
      </c>
    </row>
    <row r="97" spans="1:15" ht="12.75">
      <c r="G97" s="168"/>
      <c r="H97"/>
    </row>
    <row r="98" spans="1:15" ht="12.75">
      <c r="G98" s="12" t="s">
        <v>429</v>
      </c>
      <c r="H98"/>
    </row>
    <row r="99" spans="1:15" ht="12.75">
      <c r="G99" s="310"/>
      <c r="H99"/>
    </row>
    <row r="100" spans="1:15" ht="12.75" hidden="1">
      <c r="E100"/>
      <c r="G100" s="12" t="s">
        <v>105</v>
      </c>
      <c r="H100"/>
    </row>
    <row r="101" spans="1:15" ht="24" hidden="1">
      <c r="A101" s="169" t="s">
        <v>106</v>
      </c>
      <c r="B101" s="169" t="s">
        <v>107</v>
      </c>
      <c r="C101" s="169" t="s">
        <v>108</v>
      </c>
      <c r="D101" s="169" t="s">
        <v>109</v>
      </c>
      <c r="E101" s="169" t="s">
        <v>110</v>
      </c>
      <c r="F101" s="169" t="s">
        <v>111</v>
      </c>
      <c r="G101" s="12">
        <v>1.65</v>
      </c>
      <c r="H101"/>
    </row>
    <row r="102" spans="1:15" ht="12.75" hidden="1">
      <c r="A102" t="s">
        <v>112</v>
      </c>
      <c r="B102" t="s">
        <v>113</v>
      </c>
      <c r="C102">
        <v>10</v>
      </c>
      <c r="D102">
        <v>95</v>
      </c>
      <c r="E102">
        <v>0.09</v>
      </c>
      <c r="F102">
        <f>+$G$101*(E102/100)</f>
        <v>1.4849999999999998E-3</v>
      </c>
      <c r="G102"/>
      <c r="H102"/>
      <c r="I102"/>
      <c r="J102"/>
      <c r="K102"/>
      <c r="L102"/>
      <c r="M102"/>
      <c r="N102"/>
      <c r="O102"/>
    </row>
    <row r="103" spans="1:15" ht="12.75" hidden="1">
      <c r="A103"/>
      <c r="B103" t="s">
        <v>114</v>
      </c>
      <c r="C103">
        <v>42</v>
      </c>
      <c r="D103">
        <v>65</v>
      </c>
      <c r="E103">
        <v>0.27</v>
      </c>
      <c r="F103">
        <f>+$G$101*(E103/100)</f>
        <v>4.4549999999999998E-3</v>
      </c>
      <c r="G103"/>
      <c r="H103"/>
      <c r="I103"/>
      <c r="J103"/>
      <c r="K103"/>
      <c r="L103"/>
      <c r="M103"/>
      <c r="N103"/>
      <c r="O103"/>
    </row>
    <row r="104" spans="1:15" ht="12.75" hidden="1">
      <c r="A104"/>
      <c r="B104" t="s">
        <v>115</v>
      </c>
      <c r="C104">
        <v>89</v>
      </c>
      <c r="D104">
        <v>43.87</v>
      </c>
      <c r="E104">
        <v>0.39</v>
      </c>
      <c r="F104">
        <f>+$G$101*(E104/100)</f>
        <v>6.4349999999999997E-3</v>
      </c>
      <c r="G104"/>
      <c r="H104"/>
      <c r="I104"/>
      <c r="J104"/>
      <c r="K104"/>
      <c r="L104"/>
      <c r="M104"/>
      <c r="N104"/>
      <c r="O104"/>
    </row>
    <row r="105" spans="1:15" ht="12.75" hidden="1">
      <c r="A105"/>
      <c r="B105" t="s">
        <v>116</v>
      </c>
      <c r="C105">
        <v>2.44</v>
      </c>
      <c r="D105">
        <v>1.05</v>
      </c>
      <c r="E105">
        <v>0.03</v>
      </c>
      <c r="F105">
        <f>+$G$101*(E105/100)</f>
        <v>4.9499999999999989E-4</v>
      </c>
      <c r="G105"/>
      <c r="H105"/>
      <c r="I105"/>
      <c r="J105"/>
      <c r="K105"/>
      <c r="L105"/>
      <c r="M105"/>
      <c r="N105"/>
      <c r="O105"/>
    </row>
    <row r="106" spans="1:15" ht="12.75" hidden="1">
      <c r="A106"/>
      <c r="B106"/>
      <c r="C106"/>
      <c r="D106"/>
      <c r="E106" s="170" t="s">
        <v>104</v>
      </c>
      <c r="F106">
        <f>SUM(F102:F105)</f>
        <v>1.2869999999999999E-2</v>
      </c>
      <c r="G106"/>
      <c r="H106"/>
      <c r="I106"/>
      <c r="J106"/>
      <c r="K106"/>
      <c r="L106"/>
      <c r="M106"/>
      <c r="N106"/>
      <c r="O106"/>
    </row>
    <row r="107" spans="1:15" ht="12.75" hidden="1">
      <c r="A107"/>
      <c r="B107"/>
      <c r="C107"/>
      <c r="D107"/>
      <c r="E107" s="170"/>
      <c r="F107"/>
      <c r="G107"/>
      <c r="H107"/>
      <c r="I107"/>
      <c r="J107"/>
      <c r="K107"/>
      <c r="L107"/>
      <c r="M107"/>
      <c r="N107"/>
      <c r="O107"/>
    </row>
    <row r="108" spans="1:15" ht="12.75" hidden="1">
      <c r="A108" t="s">
        <v>117</v>
      </c>
      <c r="B108" t="s">
        <v>118</v>
      </c>
      <c r="C108" s="171">
        <v>0.27</v>
      </c>
      <c r="D108" s="171">
        <v>96.33</v>
      </c>
      <c r="E108" s="171">
        <v>0.26</v>
      </c>
      <c r="F108" s="171">
        <f>+$G$101*(E108/100)</f>
        <v>4.2899999999999995E-3</v>
      </c>
      <c r="G108"/>
      <c r="H108"/>
      <c r="I108"/>
      <c r="J108"/>
      <c r="K108"/>
      <c r="L108"/>
      <c r="M108"/>
      <c r="N108"/>
      <c r="O108"/>
    </row>
    <row r="109" spans="1:15" ht="12.75" hidden="1">
      <c r="A109"/>
      <c r="B109" t="s">
        <v>119</v>
      </c>
      <c r="C109" s="171">
        <v>0.36</v>
      </c>
      <c r="D109" s="171">
        <v>85.77</v>
      </c>
      <c r="E109" s="171">
        <v>0.31</v>
      </c>
      <c r="F109" s="171">
        <f>+$G$101*(E109/100)</f>
        <v>5.1149999999999998E-3</v>
      </c>
      <c r="G109"/>
      <c r="H109"/>
      <c r="I109"/>
      <c r="J109"/>
      <c r="K109"/>
      <c r="L109"/>
      <c r="M109"/>
      <c r="N109"/>
      <c r="O109"/>
    </row>
    <row r="110" spans="1:15" ht="12.75" hidden="1">
      <c r="A110"/>
      <c r="B110" t="s">
        <v>120</v>
      </c>
      <c r="C110" s="171">
        <v>0.8</v>
      </c>
      <c r="D110" s="171">
        <v>9.94</v>
      </c>
      <c r="E110" s="171">
        <v>0.08</v>
      </c>
      <c r="F110" s="171">
        <f>+$G$101*(E110/100)</f>
        <v>1.32E-3</v>
      </c>
      <c r="G110"/>
      <c r="H110"/>
      <c r="I110"/>
      <c r="J110"/>
      <c r="K110"/>
      <c r="L110"/>
      <c r="M110"/>
      <c r="N110"/>
      <c r="O110"/>
    </row>
    <row r="111" spans="1:15" ht="12.75" hidden="1">
      <c r="A111"/>
      <c r="B111" t="s">
        <v>121</v>
      </c>
      <c r="C111" s="171">
        <v>1.1399999999999999</v>
      </c>
      <c r="D111" s="171">
        <v>6.21</v>
      </c>
      <c r="E111" s="171">
        <v>7.0000000000000007E-2</v>
      </c>
      <c r="F111" s="171">
        <f>+$G$101*(E111/100)</f>
        <v>1.1550000000000002E-3</v>
      </c>
      <c r="G111"/>
      <c r="H111"/>
      <c r="I111"/>
      <c r="J111"/>
      <c r="K111"/>
      <c r="L111"/>
      <c r="M111"/>
      <c r="N111"/>
      <c r="O111"/>
    </row>
    <row r="112" spans="1:15" ht="12.75" hidden="1">
      <c r="A112"/>
      <c r="B112"/>
      <c r="C112" s="171"/>
      <c r="D112" s="171"/>
      <c r="E112" s="172" t="s">
        <v>122</v>
      </c>
      <c r="F112" s="171">
        <f>SUM(F109:F111)</f>
        <v>7.5899999999999995E-3</v>
      </c>
      <c r="G112"/>
      <c r="H112"/>
      <c r="I112"/>
      <c r="J112"/>
      <c r="K112"/>
      <c r="L112"/>
      <c r="M112"/>
      <c r="N112"/>
      <c r="O112"/>
    </row>
    <row r="113" spans="1:15" ht="12.75" hidden="1">
      <c r="A113"/>
      <c r="B113"/>
      <c r="C113" s="171"/>
      <c r="D113" s="171"/>
      <c r="E113" s="172" t="s">
        <v>123</v>
      </c>
      <c r="F113" s="171">
        <f>SUM(F108:F111)</f>
        <v>1.188E-2</v>
      </c>
      <c r="G113"/>
      <c r="H113"/>
      <c r="I113"/>
      <c r="J113"/>
      <c r="K113"/>
      <c r="L113"/>
      <c r="M113"/>
      <c r="N113"/>
      <c r="O113"/>
    </row>
    <row r="114" spans="1:15" ht="12.75" hidden="1">
      <c r="A114"/>
      <c r="B114"/>
      <c r="C114" s="171"/>
      <c r="D114" s="171"/>
      <c r="E114" s="171"/>
      <c r="F114" s="171"/>
      <c r="G114"/>
      <c r="H114"/>
      <c r="I114"/>
      <c r="J114"/>
      <c r="K114"/>
      <c r="L114"/>
      <c r="M114"/>
      <c r="N114"/>
      <c r="O114"/>
    </row>
    <row r="115" spans="1:15" ht="12.75" hidden="1">
      <c r="A115" t="s">
        <v>124</v>
      </c>
      <c r="B115" t="s">
        <v>124</v>
      </c>
      <c r="C115" s="171">
        <v>0.62</v>
      </c>
      <c r="D115" s="171">
        <v>94.29</v>
      </c>
      <c r="E115" s="171">
        <v>0.57999999999999996</v>
      </c>
      <c r="F115" s="171">
        <f>+$G$101*(E115/100)</f>
        <v>9.5699999999999986E-3</v>
      </c>
      <c r="G115"/>
      <c r="H115"/>
      <c r="I115"/>
      <c r="J115"/>
      <c r="K115"/>
      <c r="L115"/>
      <c r="M115"/>
      <c r="N115"/>
      <c r="O115"/>
    </row>
    <row r="116" spans="1:15" ht="12.75" hidden="1">
      <c r="A116"/>
      <c r="B116"/>
      <c r="C116" s="171"/>
      <c r="D116" s="171"/>
      <c r="E116" s="171"/>
      <c r="F116" s="171"/>
      <c r="G116"/>
      <c r="H116"/>
      <c r="I116"/>
      <c r="J116"/>
      <c r="K116"/>
      <c r="L116"/>
      <c r="M116"/>
      <c r="N116"/>
      <c r="O116"/>
    </row>
    <row r="117" spans="1:15" ht="12.75" hidden="1">
      <c r="A117" t="s">
        <v>125</v>
      </c>
      <c r="B117" t="s">
        <v>126</v>
      </c>
      <c r="C117" s="171">
        <v>0.85</v>
      </c>
      <c r="D117" s="171">
        <v>100</v>
      </c>
      <c r="E117" s="171">
        <v>0.85</v>
      </c>
      <c r="F117" s="171">
        <f>+$G$101*(E117/100)</f>
        <v>1.4025000000000001E-2</v>
      </c>
      <c r="G117"/>
      <c r="H117"/>
      <c r="I117"/>
      <c r="J117"/>
      <c r="K117"/>
      <c r="L117"/>
      <c r="M117"/>
      <c r="N117"/>
      <c r="O117"/>
    </row>
    <row r="118" spans="1:15" ht="12.75" hidden="1">
      <c r="A118"/>
      <c r="B118"/>
      <c r="C118" s="171"/>
      <c r="D118" s="171"/>
      <c r="E118" s="171"/>
      <c r="F118" s="171"/>
      <c r="G118"/>
      <c r="H118"/>
      <c r="I118"/>
      <c r="J118"/>
      <c r="K118"/>
      <c r="L118"/>
      <c r="M118"/>
      <c r="N118"/>
      <c r="O118"/>
    </row>
    <row r="119" spans="1:15" ht="12.75" hidden="1">
      <c r="A119" t="s">
        <v>127</v>
      </c>
      <c r="B119" t="s">
        <v>128</v>
      </c>
      <c r="C119" s="171" t="s">
        <v>129</v>
      </c>
      <c r="D119" s="171"/>
      <c r="E119" s="171">
        <v>0.35460000000000003</v>
      </c>
      <c r="F119" s="171">
        <f>+$G$101*(E119/100)</f>
        <v>5.8509E-3</v>
      </c>
      <c r="G119"/>
      <c r="H119"/>
      <c r="I119"/>
      <c r="J119"/>
      <c r="K119"/>
      <c r="L119"/>
      <c r="M119"/>
      <c r="N119"/>
      <c r="O119"/>
    </row>
    <row r="120" spans="1:15" ht="12.75" hidden="1">
      <c r="A120"/>
      <c r="B120" t="s">
        <v>130</v>
      </c>
      <c r="C120" s="171" t="s">
        <v>131</v>
      </c>
      <c r="D120" s="171"/>
      <c r="E120" s="171">
        <v>0.55700000000000005</v>
      </c>
      <c r="F120" s="171">
        <f>+$G$101*(E120/100)</f>
        <v>9.1905000000000008E-3</v>
      </c>
      <c r="G120"/>
      <c r="H120"/>
      <c r="I120"/>
    </row>
    <row r="121" spans="1:15" ht="12.75" hidden="1">
      <c r="A121"/>
      <c r="B121" t="s">
        <v>132</v>
      </c>
      <c r="C121" s="171" t="s">
        <v>133</v>
      </c>
      <c r="D121" s="171"/>
      <c r="E121" s="171">
        <v>0.628</v>
      </c>
      <c r="F121" s="171">
        <f>+$G$101*(E121/100)</f>
        <v>1.0362E-2</v>
      </c>
      <c r="G121"/>
      <c r="H121"/>
      <c r="I121"/>
    </row>
    <row r="122" spans="1:15" ht="12.75" hidden="1">
      <c r="A122"/>
      <c r="B122"/>
      <c r="C122" s="171"/>
      <c r="D122" s="171"/>
      <c r="E122" s="171"/>
      <c r="F122" s="171"/>
      <c r="G122"/>
      <c r="H122"/>
      <c r="I122"/>
    </row>
    <row r="123" spans="1:15" ht="12.75" hidden="1">
      <c r="A123" t="s">
        <v>134</v>
      </c>
      <c r="B123" t="s">
        <v>135</v>
      </c>
      <c r="C123" s="171" t="s">
        <v>136</v>
      </c>
      <c r="D123" s="171"/>
      <c r="E123" s="171">
        <v>0.309</v>
      </c>
      <c r="F123" s="171">
        <f>+$G$101*(E123/100)</f>
        <v>5.0984999999999997E-3</v>
      </c>
      <c r="G123"/>
      <c r="H123"/>
      <c r="I123"/>
    </row>
    <row r="124" spans="1:15" ht="12.75" hidden="1">
      <c r="A124"/>
      <c r="B124"/>
      <c r="C124" s="171"/>
      <c r="D124" s="171"/>
      <c r="E124" s="171"/>
      <c r="F124" s="171"/>
      <c r="G124"/>
      <c r="H124"/>
      <c r="I124"/>
    </row>
    <row r="125" spans="1:15" ht="12.75" hidden="1">
      <c r="A125" t="s">
        <v>137</v>
      </c>
      <c r="B125" t="s">
        <v>138</v>
      </c>
      <c r="C125" s="171" t="s">
        <v>139</v>
      </c>
      <c r="D125" s="171"/>
      <c r="E125" s="171">
        <v>0.37480000000000002</v>
      </c>
      <c r="F125" s="171">
        <f>+$G$101*(E125/100)</f>
        <v>6.1841999999999999E-3</v>
      </c>
      <c r="G125"/>
      <c r="H125"/>
      <c r="I125"/>
    </row>
    <row r="126" spans="1:15" ht="12.75" hidden="1">
      <c r="A126"/>
      <c r="B126"/>
      <c r="C126"/>
      <c r="D126"/>
      <c r="E126"/>
      <c r="F126"/>
      <c r="G126"/>
      <c r="H126"/>
      <c r="I126"/>
    </row>
    <row r="127" spans="1:15" ht="12.75">
      <c r="B127"/>
      <c r="C127"/>
      <c r="D127"/>
      <c r="E127"/>
      <c r="F127"/>
      <c r="G127"/>
      <c r="H127"/>
      <c r="I127"/>
    </row>
    <row r="128" spans="1:15" ht="12.75">
      <c r="A128"/>
      <c r="B128"/>
      <c r="C128"/>
      <c r="D128"/>
      <c r="E128"/>
      <c r="F128"/>
      <c r="G128"/>
      <c r="H128"/>
      <c r="I128"/>
    </row>
    <row r="129" spans="1:15" ht="12.75">
      <c r="A129"/>
      <c r="B129"/>
      <c r="C129"/>
      <c r="D129"/>
      <c r="E129"/>
      <c r="F129"/>
      <c r="G129"/>
      <c r="H129"/>
      <c r="I129"/>
    </row>
    <row r="130" spans="1:15" ht="12.75">
      <c r="A130"/>
      <c r="B130"/>
      <c r="C130"/>
      <c r="D130"/>
      <c r="E130"/>
      <c r="F130"/>
      <c r="G130"/>
      <c r="H130"/>
      <c r="I130"/>
      <c r="N130" s="12" t="s">
        <v>428</v>
      </c>
    </row>
    <row r="131" spans="1:15" ht="12.75">
      <c r="A131" s="421" t="s">
        <v>140</v>
      </c>
      <c r="B131" s="422"/>
      <c r="C131" s="423"/>
      <c r="D131"/>
      <c r="E131" s="173"/>
      <c r="F131"/>
      <c r="G131" s="174"/>
      <c r="H131"/>
      <c r="I131" s="302" t="s">
        <v>47</v>
      </c>
      <c r="J131" s="303"/>
      <c r="K131" s="304"/>
      <c r="N131" s="12" t="s">
        <v>142</v>
      </c>
    </row>
    <row r="132" spans="1:15" ht="12.75">
      <c r="A132" s="178" t="s">
        <v>143</v>
      </c>
      <c r="B132" s="176" t="s">
        <v>144</v>
      </c>
      <c r="C132" s="352">
        <v>0.63</v>
      </c>
      <c r="D132" s="65"/>
      <c r="E132" s="176"/>
      <c r="F132" s="66"/>
      <c r="G132" s="178"/>
      <c r="H132" s="66"/>
      <c r="I132" s="178" t="s">
        <v>145</v>
      </c>
      <c r="J132" s="65"/>
      <c r="K132" s="177">
        <v>0</v>
      </c>
      <c r="L132" s="65"/>
      <c r="N132" s="12" t="s">
        <v>146</v>
      </c>
      <c r="O132" s="12">
        <v>1024</v>
      </c>
    </row>
    <row r="133" spans="1:15" ht="12.75">
      <c r="A133" s="65"/>
      <c r="B133" s="176" t="s">
        <v>147</v>
      </c>
      <c r="C133" s="352">
        <v>1E-3</v>
      </c>
      <c r="D133" s="65"/>
      <c r="E133" s="66"/>
      <c r="F133" s="66"/>
      <c r="G133" s="178"/>
      <c r="H133" s="66"/>
      <c r="I133" s="178" t="s">
        <v>148</v>
      </c>
      <c r="J133" s="65">
        <v>6688</v>
      </c>
      <c r="K133" s="179">
        <v>17</v>
      </c>
      <c r="L133" s="65"/>
      <c r="N133" s="12" t="s">
        <v>149</v>
      </c>
      <c r="O133" s="12">
        <v>1500</v>
      </c>
    </row>
    <row r="134" spans="1:15" ht="12.75">
      <c r="A134" s="65"/>
      <c r="B134" s="176" t="s">
        <v>150</v>
      </c>
      <c r="C134" s="352">
        <v>0.5</v>
      </c>
      <c r="D134" s="65"/>
      <c r="E134" s="66"/>
      <c r="F134" s="66"/>
      <c r="G134" s="178"/>
      <c r="H134" s="66"/>
      <c r="I134" s="178" t="s">
        <v>68</v>
      </c>
      <c r="J134" s="65">
        <v>6888</v>
      </c>
      <c r="K134" s="354">
        <v>7000</v>
      </c>
      <c r="L134" s="65"/>
      <c r="N134" s="12" t="s">
        <v>151</v>
      </c>
      <c r="O134" s="12">
        <v>219</v>
      </c>
    </row>
    <row r="135" spans="1:15" ht="12.75">
      <c r="A135" s="65"/>
      <c r="B135" s="176" t="s">
        <v>152</v>
      </c>
      <c r="C135" s="352">
        <v>10</v>
      </c>
      <c r="D135" s="65">
        <v>2</v>
      </c>
      <c r="E135" s="66"/>
      <c r="F135" s="66"/>
      <c r="G135" s="178"/>
      <c r="H135" s="66"/>
      <c r="I135" s="178" t="s">
        <v>156</v>
      </c>
      <c r="J135" s="65">
        <v>900338</v>
      </c>
      <c r="K135" s="179">
        <v>718</v>
      </c>
      <c r="L135" s="65"/>
      <c r="N135" s="12" t="s">
        <v>153</v>
      </c>
      <c r="O135" s="12">
        <v>1000</v>
      </c>
    </row>
    <row r="136" spans="1:15" ht="12.75">
      <c r="A136" s="178" t="s">
        <v>154</v>
      </c>
      <c r="B136" s="176" t="s">
        <v>155</v>
      </c>
      <c r="C136" s="352">
        <v>3.6</v>
      </c>
      <c r="D136" s="65"/>
      <c r="E136" s="66"/>
      <c r="F136" s="66"/>
      <c r="G136" s="178"/>
      <c r="H136" s="66"/>
      <c r="I136" s="178" t="s">
        <v>161</v>
      </c>
      <c r="J136" s="65"/>
      <c r="K136" s="179">
        <v>0</v>
      </c>
      <c r="L136" s="65"/>
      <c r="N136" s="12" t="s">
        <v>157</v>
      </c>
      <c r="O136" s="12">
        <v>90</v>
      </c>
    </row>
    <row r="137" spans="1:15" ht="12.75">
      <c r="A137" s="178"/>
      <c r="B137" s="176"/>
      <c r="C137" s="176"/>
      <c r="D137" s="65"/>
      <c r="E137" s="66"/>
      <c r="F137" s="66"/>
      <c r="G137" s="178"/>
      <c r="H137" s="66"/>
      <c r="I137" s="178" t="s">
        <v>365</v>
      </c>
      <c r="J137" s="65">
        <v>5333</v>
      </c>
      <c r="K137" s="179">
        <v>250</v>
      </c>
      <c r="L137" s="65" t="s">
        <v>366</v>
      </c>
    </row>
    <row r="138" spans="1:15" ht="12.75">
      <c r="A138" s="65"/>
      <c r="B138" s="176"/>
      <c r="C138" s="178"/>
      <c r="D138" s="65"/>
      <c r="E138" s="66"/>
      <c r="F138" s="66"/>
      <c r="G138" s="178"/>
      <c r="H138" s="66"/>
      <c r="I138" s="177" t="s">
        <v>168</v>
      </c>
      <c r="J138" s="65">
        <v>6373</v>
      </c>
      <c r="K138" s="354">
        <v>1</v>
      </c>
      <c r="L138" s="65"/>
      <c r="N138" s="12" t="s">
        <v>80</v>
      </c>
    </row>
    <row r="139" spans="1:15" ht="12.75">
      <c r="A139" s="65"/>
      <c r="B139" s="176"/>
      <c r="C139" s="176"/>
      <c r="D139" s="65"/>
      <c r="E139" s="66"/>
      <c r="F139" s="66"/>
      <c r="G139" s="178"/>
      <c r="H139" s="66"/>
      <c r="I139" s="177" t="s">
        <v>165</v>
      </c>
      <c r="J139" s="65">
        <v>4286</v>
      </c>
      <c r="K139" s="179">
        <v>39</v>
      </c>
      <c r="L139" s="65"/>
    </row>
    <row r="140" spans="1:15" ht="12.75">
      <c r="A140" s="178" t="s">
        <v>162</v>
      </c>
      <c r="B140" s="176" t="s">
        <v>163</v>
      </c>
      <c r="C140" s="352">
        <v>0.8</v>
      </c>
      <c r="D140" s="66"/>
      <c r="E140" s="66"/>
      <c r="F140" s="66"/>
      <c r="G140" s="178"/>
      <c r="H140" s="66"/>
      <c r="I140" s="177" t="s">
        <v>401</v>
      </c>
      <c r="J140" s="65">
        <v>6480</v>
      </c>
      <c r="K140" s="354">
        <v>1</v>
      </c>
      <c r="L140" s="235"/>
    </row>
    <row r="141" spans="1:15" ht="12.75">
      <c r="A141" s="66"/>
      <c r="B141" s="176" t="s">
        <v>6</v>
      </c>
      <c r="C141" s="352">
        <v>3</v>
      </c>
      <c r="D141" s="66"/>
      <c r="E141" s="66"/>
      <c r="F141" s="66"/>
      <c r="G141" s="178"/>
      <c r="H141" s="178"/>
      <c r="I141" s="177" t="s">
        <v>342</v>
      </c>
      <c r="J141" s="65">
        <v>6551</v>
      </c>
      <c r="K141" s="179">
        <v>100</v>
      </c>
      <c r="L141" s="65"/>
    </row>
    <row r="142" spans="1:15" ht="12.75">
      <c r="A142" s="66"/>
      <c r="B142" s="176" t="s">
        <v>7</v>
      </c>
      <c r="C142" s="178">
        <v>0</v>
      </c>
      <c r="D142" s="66" t="s">
        <v>65</v>
      </c>
      <c r="E142" s="66"/>
      <c r="F142" s="66"/>
      <c r="G142" s="178"/>
      <c r="H142" s="66"/>
      <c r="I142" s="177" t="s">
        <v>164</v>
      </c>
      <c r="J142" s="65">
        <v>6835</v>
      </c>
      <c r="K142" s="179">
        <v>0</v>
      </c>
      <c r="L142" s="65" t="s">
        <v>461</v>
      </c>
    </row>
    <row r="143" spans="1:15" ht="12.75">
      <c r="A143" s="66"/>
      <c r="B143" s="176" t="s">
        <v>167</v>
      </c>
      <c r="C143" s="352">
        <v>2.5000000000000001E-2</v>
      </c>
      <c r="D143" s="66"/>
      <c r="E143" s="66"/>
      <c r="F143" s="66"/>
      <c r="G143" s="178"/>
      <c r="H143" s="66"/>
      <c r="I143" s="177" t="s">
        <v>166</v>
      </c>
      <c r="J143" s="65">
        <v>9676</v>
      </c>
      <c r="K143" s="179">
        <v>0</v>
      </c>
      <c r="L143" s="235"/>
    </row>
    <row r="144" spans="1:15" ht="12.75">
      <c r="A144" s="66"/>
      <c r="B144" s="176" t="s">
        <v>169</v>
      </c>
      <c r="C144" s="178">
        <v>0</v>
      </c>
      <c r="D144" s="66"/>
      <c r="E144" s="66"/>
      <c r="F144" s="66"/>
      <c r="G144" s="178"/>
      <c r="H144" s="66"/>
      <c r="I144" s="177" t="s">
        <v>402</v>
      </c>
      <c r="J144" s="65">
        <v>4056</v>
      </c>
      <c r="K144" s="354">
        <f>599+31</f>
        <v>630</v>
      </c>
      <c r="L144" s="65"/>
    </row>
    <row r="145" spans="1:12" ht="12.75">
      <c r="A145" s="66"/>
      <c r="B145" s="176" t="s">
        <v>171</v>
      </c>
      <c r="C145" s="352">
        <v>8.1999999999999993</v>
      </c>
      <c r="D145" s="66"/>
      <c r="E145" s="66"/>
      <c r="F145" s="66"/>
      <c r="G145" s="178"/>
      <c r="H145" s="66"/>
      <c r="I145" s="177" t="s">
        <v>402</v>
      </c>
      <c r="J145" s="65">
        <v>6855</v>
      </c>
      <c r="K145" s="354">
        <v>1</v>
      </c>
      <c r="L145" s="65"/>
    </row>
    <row r="146" spans="1:12" ht="12.75">
      <c r="A146" s="66"/>
      <c r="B146" s="176"/>
      <c r="C146" s="176"/>
      <c r="D146" s="66"/>
      <c r="E146" s="66"/>
      <c r="F146" s="66"/>
      <c r="G146" s="178"/>
      <c r="H146" s="66"/>
      <c r="I146" s="177" t="s">
        <v>170</v>
      </c>
      <c r="J146" s="65">
        <v>4132</v>
      </c>
      <c r="K146" s="179">
        <v>157</v>
      </c>
      <c r="L146" s="65"/>
    </row>
    <row r="147" spans="1:12" ht="12.75">
      <c r="A147" s="66"/>
      <c r="B147" s="176" t="s">
        <v>173</v>
      </c>
      <c r="C147" s="358">
        <v>20</v>
      </c>
      <c r="D147" s="66"/>
      <c r="E147" s="66"/>
      <c r="F147" s="66"/>
      <c r="G147" s="178"/>
      <c r="H147" s="66"/>
      <c r="I147" s="177" t="s">
        <v>172</v>
      </c>
      <c r="J147" s="65">
        <v>4120</v>
      </c>
      <c r="K147" s="179">
        <v>821</v>
      </c>
      <c r="L147" s="65"/>
    </row>
    <row r="148" spans="1:12" ht="12.75">
      <c r="A148" s="66"/>
      <c r="B148" s="176" t="s">
        <v>175</v>
      </c>
      <c r="C148" s="352">
        <v>3.85</v>
      </c>
      <c r="D148" s="66"/>
      <c r="E148" s="66"/>
      <c r="F148" s="66"/>
      <c r="G148" s="178"/>
      <c r="H148" s="65"/>
      <c r="I148" s="177" t="s">
        <v>78</v>
      </c>
      <c r="J148" s="65">
        <v>639</v>
      </c>
      <c r="K148" s="179">
        <v>500</v>
      </c>
      <c r="L148" s="65"/>
    </row>
    <row r="149" spans="1:12" ht="12.75">
      <c r="A149" s="66"/>
      <c r="B149" s="176" t="s">
        <v>11</v>
      </c>
      <c r="C149" s="176">
        <v>0</v>
      </c>
      <c r="D149" s="66"/>
      <c r="E149" s="66"/>
      <c r="F149" s="66"/>
      <c r="G149" s="178"/>
      <c r="H149" s="65"/>
      <c r="I149" s="177" t="s">
        <v>343</v>
      </c>
      <c r="J149" s="65">
        <v>6840</v>
      </c>
      <c r="K149" s="179">
        <v>1148</v>
      </c>
      <c r="L149" s="65"/>
    </row>
    <row r="150" spans="1:12" ht="12.75">
      <c r="A150" s="66"/>
      <c r="B150" s="176" t="s">
        <v>178</v>
      </c>
      <c r="C150" s="352">
        <v>2.5000000000000001E-2</v>
      </c>
      <c r="D150" s="66"/>
      <c r="E150" s="66"/>
      <c r="F150" s="66"/>
      <c r="G150" s="178"/>
      <c r="H150" s="65"/>
      <c r="I150" s="177" t="s">
        <v>176</v>
      </c>
      <c r="J150" s="65">
        <v>6519</v>
      </c>
      <c r="K150" s="179">
        <v>2</v>
      </c>
      <c r="L150" s="65"/>
    </row>
    <row r="151" spans="1:12" ht="12.75">
      <c r="A151" s="66"/>
      <c r="B151" s="176" t="s">
        <v>70</v>
      </c>
      <c r="C151" s="352">
        <v>4</v>
      </c>
      <c r="D151" s="66"/>
      <c r="E151" s="66"/>
      <c r="F151" s="66"/>
      <c r="G151" s="178"/>
      <c r="H151" s="65"/>
      <c r="I151" s="177" t="s">
        <v>177</v>
      </c>
      <c r="J151" s="65">
        <v>5502</v>
      </c>
      <c r="K151" s="179">
        <v>37</v>
      </c>
      <c r="L151" s="65"/>
    </row>
    <row r="152" spans="1:12" ht="12.75">
      <c r="A152" s="66"/>
      <c r="B152" s="176" t="s">
        <v>180</v>
      </c>
      <c r="C152" s="352">
        <v>0.05</v>
      </c>
      <c r="D152" s="66"/>
      <c r="E152" s="66"/>
      <c r="F152" s="66"/>
      <c r="G152" s="178"/>
      <c r="H152" s="65"/>
      <c r="I152" s="177" t="s">
        <v>179</v>
      </c>
      <c r="J152" s="65">
        <v>6789</v>
      </c>
      <c r="K152" s="179">
        <v>12500</v>
      </c>
      <c r="L152" s="65"/>
    </row>
    <row r="153" spans="1:12" ht="12.75">
      <c r="A153" s="66"/>
      <c r="B153" s="176" t="s">
        <v>181</v>
      </c>
      <c r="C153" s="352">
        <v>19</v>
      </c>
      <c r="D153" s="66">
        <v>1</v>
      </c>
      <c r="E153" s="66"/>
      <c r="F153" s="66"/>
      <c r="G153" s="178"/>
      <c r="H153" s="65"/>
      <c r="I153" s="177" t="s">
        <v>354</v>
      </c>
      <c r="J153" s="65">
        <v>6545</v>
      </c>
      <c r="K153" s="179">
        <v>68</v>
      </c>
      <c r="L153" s="65"/>
    </row>
    <row r="154" spans="1:12" ht="12.75">
      <c r="A154" s="66"/>
      <c r="B154" s="176" t="s">
        <v>183</v>
      </c>
      <c r="C154" s="352">
        <v>0.41899999999999998</v>
      </c>
      <c r="D154" s="65"/>
      <c r="E154" s="66"/>
      <c r="F154" s="66"/>
      <c r="G154" s="178"/>
      <c r="H154" s="65"/>
      <c r="I154" s="177" t="s">
        <v>354</v>
      </c>
      <c r="J154" s="65">
        <v>275</v>
      </c>
      <c r="K154" s="179">
        <v>78</v>
      </c>
      <c r="L154" s="65"/>
    </row>
    <row r="155" spans="1:12" ht="12.75">
      <c r="A155" s="66"/>
      <c r="B155" s="176"/>
      <c r="C155" s="176"/>
      <c r="D155" s="65"/>
      <c r="E155" s="66"/>
      <c r="F155" s="66"/>
      <c r="G155" s="178"/>
      <c r="H155" s="65"/>
      <c r="I155" s="177" t="s">
        <v>355</v>
      </c>
      <c r="J155" s="65">
        <v>9812</v>
      </c>
      <c r="K155" s="179">
        <v>457</v>
      </c>
      <c r="L155" s="65"/>
    </row>
    <row r="156" spans="1:12" ht="12.75">
      <c r="A156" s="65"/>
      <c r="B156" s="176" t="s">
        <v>186</v>
      </c>
      <c r="C156" s="352">
        <v>5</v>
      </c>
      <c r="D156" s="65"/>
      <c r="E156" s="66"/>
      <c r="F156" s="66"/>
      <c r="G156" s="178"/>
      <c r="H156" s="65"/>
      <c r="I156" s="177" t="s">
        <v>356</v>
      </c>
      <c r="J156" s="65">
        <v>6387</v>
      </c>
      <c r="K156" s="179">
        <v>400</v>
      </c>
      <c r="L156" s="65"/>
    </row>
    <row r="157" spans="1:12" ht="12.75">
      <c r="A157" s="65"/>
      <c r="B157" s="176" t="s">
        <v>187</v>
      </c>
      <c r="C157" s="178">
        <v>0</v>
      </c>
      <c r="D157" s="65"/>
      <c r="E157" s="66"/>
      <c r="F157" s="66"/>
      <c r="G157" s="178"/>
      <c r="H157" s="65"/>
      <c r="I157" s="177" t="s">
        <v>356</v>
      </c>
      <c r="J157" s="65">
        <v>6347</v>
      </c>
      <c r="K157" s="179">
        <v>190</v>
      </c>
      <c r="L157" s="65"/>
    </row>
    <row r="158" spans="1:12" ht="12.75">
      <c r="A158" s="65"/>
      <c r="B158" s="176" t="s">
        <v>189</v>
      </c>
      <c r="C158" s="352">
        <v>10</v>
      </c>
      <c r="D158" s="65"/>
      <c r="E158" s="66"/>
      <c r="F158" s="66"/>
      <c r="G158" s="178"/>
      <c r="H158" s="65"/>
      <c r="I158" s="177" t="s">
        <v>356</v>
      </c>
      <c r="J158" s="65">
        <v>5892</v>
      </c>
      <c r="K158" s="179">
        <v>105</v>
      </c>
      <c r="L158" s="65"/>
    </row>
    <row r="159" spans="1:12" ht="12.75">
      <c r="A159" s="65"/>
      <c r="B159" s="176" t="s">
        <v>191</v>
      </c>
      <c r="C159" s="352">
        <v>0.1</v>
      </c>
      <c r="D159" s="65"/>
      <c r="E159" s="66"/>
      <c r="F159" s="66"/>
      <c r="G159" s="178"/>
      <c r="H159" s="65"/>
      <c r="I159" s="177" t="s">
        <v>356</v>
      </c>
      <c r="J159" s="65">
        <v>6757</v>
      </c>
      <c r="K159" s="179">
        <v>200</v>
      </c>
      <c r="L159" s="65"/>
    </row>
    <row r="160" spans="1:12" ht="12.75">
      <c r="A160" s="65"/>
      <c r="B160" s="343" t="s">
        <v>327</v>
      </c>
      <c r="C160" s="176">
        <v>0</v>
      </c>
      <c r="D160" s="65"/>
      <c r="E160" s="66"/>
      <c r="F160" s="66"/>
      <c r="G160" s="178"/>
      <c r="H160" s="65"/>
      <c r="I160" s="177" t="s">
        <v>182</v>
      </c>
      <c r="J160" s="65">
        <v>6598</v>
      </c>
      <c r="K160" s="179">
        <v>204</v>
      </c>
      <c r="L160" s="65"/>
    </row>
    <row r="161" spans="1:12" ht="12.75">
      <c r="A161" s="65"/>
      <c r="B161" s="176" t="s">
        <v>196</v>
      </c>
      <c r="C161" s="352">
        <v>0.02</v>
      </c>
      <c r="D161" s="65"/>
      <c r="E161" s="66"/>
      <c r="F161" s="66"/>
      <c r="G161" s="178"/>
      <c r="H161" s="65"/>
      <c r="I161" s="177" t="s">
        <v>184</v>
      </c>
      <c r="J161" s="65">
        <v>6392</v>
      </c>
      <c r="K161" s="354">
        <v>65</v>
      </c>
      <c r="L161" s="65"/>
    </row>
    <row r="162" spans="1:12" ht="12.75">
      <c r="A162" s="65"/>
      <c r="B162" s="176"/>
      <c r="C162" s="178"/>
      <c r="D162" s="65"/>
      <c r="E162" s="66"/>
      <c r="F162" s="66"/>
      <c r="G162" s="178"/>
      <c r="H162" s="65"/>
      <c r="I162" s="178" t="s">
        <v>386</v>
      </c>
      <c r="J162" s="65">
        <v>3405</v>
      </c>
      <c r="K162" s="179">
        <v>2429</v>
      </c>
      <c r="L162" s="65"/>
    </row>
    <row r="163" spans="1:12" ht="12.75">
      <c r="A163" s="65"/>
      <c r="B163" s="176" t="s">
        <v>198</v>
      </c>
      <c r="C163" s="352">
        <v>0.55600000000000005</v>
      </c>
      <c r="D163" s="65"/>
      <c r="E163" s="66"/>
      <c r="F163" s="66"/>
      <c r="G163" s="178"/>
      <c r="H163" s="65"/>
      <c r="I163" s="177" t="s">
        <v>297</v>
      </c>
      <c r="J163" s="65">
        <v>440</v>
      </c>
      <c r="K163" s="179">
        <v>444</v>
      </c>
      <c r="L163" s="65"/>
    </row>
    <row r="164" spans="1:12" ht="12.75">
      <c r="A164" s="65"/>
      <c r="B164" s="176" t="s">
        <v>201</v>
      </c>
      <c r="C164" s="352">
        <v>10</v>
      </c>
      <c r="D164" s="65"/>
      <c r="E164" s="66"/>
      <c r="F164" s="66"/>
      <c r="G164" s="178"/>
      <c r="H164" s="65"/>
      <c r="I164" s="177" t="s">
        <v>149</v>
      </c>
      <c r="J164" s="65">
        <v>6173</v>
      </c>
      <c r="K164" s="354">
        <v>529</v>
      </c>
      <c r="L164" s="65"/>
    </row>
    <row r="165" spans="1:12" ht="12.75">
      <c r="A165" s="65"/>
      <c r="B165" s="176" t="s">
        <v>203</v>
      </c>
      <c r="C165" s="352">
        <v>2</v>
      </c>
      <c r="D165" s="65"/>
      <c r="E165" s="66"/>
      <c r="F165" s="66"/>
      <c r="G165" s="178"/>
      <c r="H165" s="65"/>
      <c r="I165" s="177" t="s">
        <v>188</v>
      </c>
      <c r="J165" s="65"/>
      <c r="K165" s="177">
        <v>0</v>
      </c>
      <c r="L165" s="65"/>
    </row>
    <row r="166" spans="1:12" ht="12.75">
      <c r="A166" s="65"/>
      <c r="B166" s="176" t="s">
        <v>16</v>
      </c>
      <c r="C166" s="362">
        <v>22.355</v>
      </c>
      <c r="D166" s="65" t="s">
        <v>415</v>
      </c>
      <c r="E166" s="66" t="s">
        <v>439</v>
      </c>
      <c r="F166" s="66"/>
      <c r="G166" s="178"/>
      <c r="H166" s="65"/>
      <c r="I166" s="177" t="s">
        <v>190</v>
      </c>
      <c r="J166" s="65">
        <v>4132</v>
      </c>
      <c r="K166" s="179">
        <v>7500</v>
      </c>
      <c r="L166" s="65"/>
    </row>
    <row r="167" spans="1:12" ht="12.75">
      <c r="A167" s="65"/>
      <c r="B167" s="319" t="s">
        <v>14</v>
      </c>
      <c r="C167" s="352">
        <v>75</v>
      </c>
      <c r="D167" s="65">
        <v>65</v>
      </c>
      <c r="E167" s="66"/>
      <c r="F167" s="66"/>
      <c r="G167" s="178"/>
      <c r="H167" s="65"/>
      <c r="I167" s="177" t="s">
        <v>192</v>
      </c>
      <c r="J167" s="211" t="s">
        <v>193</v>
      </c>
      <c r="K167" s="179">
        <v>3073</v>
      </c>
      <c r="L167" s="65"/>
    </row>
    <row r="168" spans="1:12" ht="12.75">
      <c r="A168" s="65"/>
      <c r="B168" s="176" t="s">
        <v>208</v>
      </c>
      <c r="C168" s="352">
        <v>0.18</v>
      </c>
      <c r="D168" s="65"/>
      <c r="E168" s="66"/>
      <c r="F168" s="66"/>
      <c r="G168" s="178"/>
      <c r="H168" s="65"/>
      <c r="I168" s="177" t="s">
        <v>195</v>
      </c>
      <c r="J168" s="65">
        <v>3405</v>
      </c>
      <c r="K168" s="177">
        <v>0</v>
      </c>
      <c r="L168" s="65"/>
    </row>
    <row r="169" spans="1:12" ht="12.75">
      <c r="A169" s="65"/>
      <c r="B169" s="180" t="s">
        <v>210</v>
      </c>
      <c r="C169" s="350">
        <v>2.5</v>
      </c>
      <c r="D169" s="65"/>
      <c r="E169" s="66"/>
      <c r="F169" s="66"/>
      <c r="G169" s="178"/>
      <c r="H169" s="65"/>
      <c r="I169" s="177" t="s">
        <v>197</v>
      </c>
      <c r="J169" s="65">
        <v>6353</v>
      </c>
      <c r="K169" s="179">
        <v>4000</v>
      </c>
      <c r="L169" s="65"/>
    </row>
    <row r="170" spans="1:12" ht="12.75">
      <c r="A170" s="65"/>
      <c r="B170" s="176" t="s">
        <v>18</v>
      </c>
      <c r="C170" s="352">
        <v>40</v>
      </c>
      <c r="D170" s="65"/>
      <c r="E170" s="66"/>
      <c r="F170" s="66"/>
      <c r="G170" s="178"/>
      <c r="H170" s="65"/>
      <c r="I170" s="177" t="s">
        <v>199</v>
      </c>
      <c r="J170" s="65">
        <v>6899</v>
      </c>
      <c r="K170" s="354">
        <v>400</v>
      </c>
      <c r="L170" s="65"/>
    </row>
    <row r="171" spans="1:12" ht="12.75">
      <c r="A171" s="65"/>
      <c r="B171" s="176" t="s">
        <v>214</v>
      </c>
      <c r="C171" s="176">
        <v>0</v>
      </c>
      <c r="D171" s="65"/>
      <c r="E171" s="66"/>
      <c r="F171" s="66"/>
      <c r="G171" s="178"/>
      <c r="H171" s="65"/>
      <c r="I171" s="177" t="s">
        <v>357</v>
      </c>
      <c r="J171" s="258" t="s">
        <v>358</v>
      </c>
      <c r="K171" s="179">
        <v>20</v>
      </c>
      <c r="L171" s="65"/>
    </row>
    <row r="172" spans="1:12" ht="12.75">
      <c r="A172" s="65"/>
      <c r="B172" s="176" t="s">
        <v>216</v>
      </c>
      <c r="C172" s="352">
        <v>11</v>
      </c>
      <c r="D172" s="235"/>
      <c r="E172" s="66"/>
      <c r="F172" s="66"/>
      <c r="G172" s="178"/>
      <c r="H172" s="65"/>
      <c r="I172" s="177" t="s">
        <v>202</v>
      </c>
      <c r="J172" s="65">
        <v>7491</v>
      </c>
      <c r="K172" s="179">
        <v>1000</v>
      </c>
      <c r="L172" s="65"/>
    </row>
    <row r="173" spans="1:12" ht="12.75">
      <c r="A173" s="65"/>
      <c r="B173" s="176" t="s">
        <v>218</v>
      </c>
      <c r="C173" s="352">
        <v>0.5</v>
      </c>
      <c r="D173" s="65"/>
      <c r="E173" s="66"/>
      <c r="F173" s="66"/>
      <c r="G173" s="178"/>
      <c r="H173" s="65"/>
      <c r="I173" s="177" t="s">
        <v>359</v>
      </c>
      <c r="J173" s="65">
        <v>6173</v>
      </c>
      <c r="K173" s="179">
        <v>0</v>
      </c>
      <c r="L173" s="65"/>
    </row>
    <row r="174" spans="1:12" ht="12.75">
      <c r="A174" s="65"/>
      <c r="B174" s="176" t="s">
        <v>220</v>
      </c>
      <c r="C174" s="352">
        <v>0.215</v>
      </c>
      <c r="D174" s="65"/>
      <c r="E174" s="66"/>
      <c r="F174" s="66"/>
      <c r="G174" s="178"/>
      <c r="H174" s="65"/>
      <c r="I174" s="177" t="s">
        <v>204</v>
      </c>
      <c r="J174" s="65">
        <v>6210</v>
      </c>
      <c r="K174" s="179">
        <v>7500</v>
      </c>
      <c r="L174" s="65"/>
    </row>
    <row r="175" spans="1:12" ht="12.75">
      <c r="A175" s="65"/>
      <c r="B175" s="176" t="s">
        <v>222</v>
      </c>
      <c r="C175" s="352">
        <v>0.8</v>
      </c>
      <c r="D175" s="65"/>
      <c r="E175" s="66"/>
      <c r="F175" s="66"/>
      <c r="G175" s="178"/>
      <c r="H175" s="65"/>
      <c r="I175" s="177" t="s">
        <v>205</v>
      </c>
      <c r="J175" s="65">
        <v>5097</v>
      </c>
      <c r="K175" s="179">
        <v>0</v>
      </c>
      <c r="L175" s="65"/>
    </row>
    <row r="176" spans="1:12" ht="12.75">
      <c r="A176" s="65"/>
      <c r="B176" s="176" t="s">
        <v>88</v>
      </c>
      <c r="C176" s="178">
        <v>0</v>
      </c>
      <c r="D176" s="65"/>
      <c r="E176" s="66"/>
      <c r="F176" s="66"/>
      <c r="G176" s="178"/>
      <c r="H176" s="65"/>
      <c r="I176" s="177" t="s">
        <v>206</v>
      </c>
      <c r="J176" s="212" t="s">
        <v>382</v>
      </c>
      <c r="K176" s="179">
        <v>60</v>
      </c>
      <c r="L176" s="65"/>
    </row>
    <row r="177" spans="1:12" ht="12.75">
      <c r="A177" s="65"/>
      <c r="B177" s="176" t="s">
        <v>225</v>
      </c>
      <c r="C177" s="176">
        <v>0</v>
      </c>
      <c r="D177" s="65"/>
      <c r="E177" s="66"/>
      <c r="F177" s="66"/>
      <c r="G177" s="178"/>
      <c r="H177" s="65"/>
      <c r="I177" s="177" t="s">
        <v>209</v>
      </c>
      <c r="J177" s="258" t="s">
        <v>358</v>
      </c>
      <c r="K177" s="179">
        <v>800</v>
      </c>
      <c r="L177" s="65"/>
    </row>
    <row r="178" spans="1:12" ht="12.75">
      <c r="A178" s="65"/>
      <c r="B178" s="176" t="s">
        <v>227</v>
      </c>
      <c r="C178" s="352">
        <v>1</v>
      </c>
      <c r="D178" s="65"/>
      <c r="E178" s="66"/>
      <c r="F178" s="66"/>
      <c r="G178" s="178"/>
      <c r="H178" s="65"/>
      <c r="I178" s="177" t="s">
        <v>219</v>
      </c>
      <c r="J178" s="65">
        <v>6614</v>
      </c>
      <c r="K178" s="179">
        <v>0</v>
      </c>
      <c r="L178" s="65"/>
    </row>
    <row r="179" spans="1:12" ht="12.75">
      <c r="A179" s="65"/>
      <c r="B179" s="176" t="s">
        <v>229</v>
      </c>
      <c r="C179" s="352">
        <v>1.5</v>
      </c>
      <c r="D179" s="65"/>
      <c r="E179" s="66"/>
      <c r="F179" s="66"/>
      <c r="G179" s="178"/>
      <c r="H179" s="65"/>
      <c r="I179" s="177" t="s">
        <v>213</v>
      </c>
      <c r="J179" s="65">
        <v>5310</v>
      </c>
      <c r="K179" s="179">
        <v>138</v>
      </c>
      <c r="L179" s="65"/>
    </row>
    <row r="180" spans="1:12" ht="12.75">
      <c r="A180" s="65"/>
      <c r="B180" s="176" t="s">
        <v>231</v>
      </c>
      <c r="C180" s="352">
        <v>1.4</v>
      </c>
      <c r="D180" s="65"/>
      <c r="E180" s="66"/>
      <c r="F180" s="66"/>
      <c r="G180" s="178"/>
      <c r="H180" s="65"/>
      <c r="I180" s="177" t="s">
        <v>221</v>
      </c>
      <c r="J180" s="65">
        <v>6542</v>
      </c>
      <c r="K180" s="179">
        <v>0</v>
      </c>
      <c r="L180" s="65"/>
    </row>
    <row r="181" spans="1:12" ht="12.75">
      <c r="A181" s="65"/>
      <c r="B181" s="176" t="s">
        <v>233</v>
      </c>
      <c r="C181" s="352">
        <v>15</v>
      </c>
      <c r="D181" s="177"/>
      <c r="E181" s="66"/>
      <c r="F181" s="66"/>
      <c r="G181" s="178"/>
      <c r="H181" s="65"/>
      <c r="I181" s="177" t="s">
        <v>333</v>
      </c>
      <c r="J181" s="212" t="s">
        <v>383</v>
      </c>
      <c r="K181" s="179">
        <v>120</v>
      </c>
      <c r="L181" s="65"/>
    </row>
    <row r="182" spans="1:12" ht="12.75">
      <c r="A182" s="65"/>
      <c r="B182" s="176" t="s">
        <v>235</v>
      </c>
      <c r="C182" s="352">
        <v>5.9749999999999996</v>
      </c>
      <c r="D182" s="65"/>
      <c r="E182" s="66"/>
      <c r="F182" s="66"/>
      <c r="G182" s="178"/>
      <c r="H182" s="65"/>
      <c r="I182" s="177" t="s">
        <v>333</v>
      </c>
      <c r="J182" s="65">
        <v>6534</v>
      </c>
      <c r="K182" s="354">
        <v>2038</v>
      </c>
      <c r="L182" s="65"/>
    </row>
    <row r="183" spans="1:12" ht="12.75">
      <c r="A183" s="65"/>
      <c r="B183" s="176" t="s">
        <v>237</v>
      </c>
      <c r="C183" s="352">
        <v>10</v>
      </c>
      <c r="D183" s="65"/>
      <c r="E183" s="66"/>
      <c r="F183" s="66"/>
      <c r="G183" s="178"/>
      <c r="H183" s="65"/>
      <c r="I183" s="177" t="s">
        <v>223</v>
      </c>
      <c r="J183" s="65">
        <v>5310</v>
      </c>
      <c r="K183" s="179">
        <v>184</v>
      </c>
      <c r="L183" s="65"/>
    </row>
    <row r="184" spans="1:12" ht="12.75">
      <c r="A184" s="65"/>
      <c r="B184" s="176" t="s">
        <v>239</v>
      </c>
      <c r="C184" s="352">
        <v>0.05</v>
      </c>
      <c r="D184" s="65"/>
      <c r="E184" s="66"/>
      <c r="F184" s="66"/>
      <c r="G184" s="178"/>
      <c r="H184" s="65"/>
      <c r="I184" s="177" t="s">
        <v>224</v>
      </c>
      <c r="J184" s="65">
        <v>5310</v>
      </c>
      <c r="K184" s="179">
        <v>1200</v>
      </c>
      <c r="L184" s="65"/>
    </row>
    <row r="185" spans="1:12" ht="12.75">
      <c r="A185" s="65"/>
      <c r="B185" s="176" t="s">
        <v>241</v>
      </c>
      <c r="C185" s="352">
        <v>0.6</v>
      </c>
      <c r="D185" s="65"/>
      <c r="E185" s="66"/>
      <c r="F185" s="66"/>
      <c r="G185" s="178"/>
      <c r="H185" s="65"/>
      <c r="I185" s="177" t="s">
        <v>232</v>
      </c>
      <c r="J185" s="65"/>
      <c r="K185" s="177">
        <v>0</v>
      </c>
      <c r="L185" s="65"/>
    </row>
    <row r="186" spans="1:12" ht="12.75">
      <c r="A186" s="65"/>
      <c r="B186" s="176" t="s">
        <v>243</v>
      </c>
      <c r="C186" s="352">
        <v>0.24</v>
      </c>
      <c r="D186" s="65"/>
      <c r="E186" s="66"/>
      <c r="F186" s="66"/>
      <c r="G186" s="178"/>
      <c r="H186" s="65"/>
      <c r="I186" s="177" t="s">
        <v>230</v>
      </c>
      <c r="J186" s="65"/>
      <c r="K186" s="177">
        <v>0</v>
      </c>
      <c r="L186" s="65"/>
    </row>
    <row r="187" spans="1:12" ht="12.75">
      <c r="A187" s="65"/>
      <c r="B187" s="176" t="s">
        <v>92</v>
      </c>
      <c r="C187" s="352">
        <v>5</v>
      </c>
      <c r="D187" s="65"/>
      <c r="E187" s="66"/>
      <c r="F187" s="66"/>
      <c r="G187" s="178"/>
      <c r="H187" s="65"/>
      <c r="I187" s="177" t="s">
        <v>234</v>
      </c>
      <c r="J187" s="65"/>
      <c r="K187" s="177">
        <v>0</v>
      </c>
      <c r="L187" s="65"/>
    </row>
    <row r="188" spans="1:12" ht="12.75">
      <c r="A188" s="65"/>
      <c r="B188" s="344" t="s">
        <v>86</v>
      </c>
      <c r="C188" s="176">
        <v>0</v>
      </c>
      <c r="D188" s="65"/>
      <c r="E188" s="66"/>
      <c r="F188" s="66"/>
      <c r="G188" s="178"/>
      <c r="H188" s="65"/>
      <c r="I188" s="177" t="s">
        <v>226</v>
      </c>
      <c r="J188" s="65"/>
      <c r="K188" s="177">
        <v>0</v>
      </c>
      <c r="L188" s="65"/>
    </row>
    <row r="189" spans="1:12" ht="12.75">
      <c r="A189" s="65"/>
      <c r="B189" s="176"/>
      <c r="C189" s="176"/>
      <c r="D189" s="65"/>
      <c r="E189" s="66"/>
      <c r="F189" s="66"/>
      <c r="G189" s="178"/>
      <c r="H189" s="65"/>
      <c r="I189" s="177" t="s">
        <v>228</v>
      </c>
      <c r="J189" s="65"/>
      <c r="K189" s="177">
        <v>0</v>
      </c>
      <c r="L189" s="65"/>
    </row>
    <row r="190" spans="1:12" ht="12.75">
      <c r="A190" s="65"/>
      <c r="B190" s="176" t="s">
        <v>246</v>
      </c>
      <c r="C190" s="352">
        <v>0.45</v>
      </c>
      <c r="D190" s="65"/>
      <c r="E190" s="66"/>
      <c r="F190" s="66"/>
      <c r="G190" s="178"/>
      <c r="H190" s="65"/>
      <c r="I190" s="177" t="s">
        <v>238</v>
      </c>
      <c r="J190" s="65">
        <v>6722</v>
      </c>
      <c r="K190" s="354">
        <v>30</v>
      </c>
      <c r="L190" s="65"/>
    </row>
    <row r="191" spans="1:12" ht="12.75">
      <c r="A191" s="65"/>
      <c r="B191" s="66" t="s">
        <v>248</v>
      </c>
      <c r="C191" s="66">
        <v>0</v>
      </c>
      <c r="D191" s="65"/>
      <c r="E191" s="66"/>
      <c r="F191" s="66"/>
      <c r="G191" s="178"/>
      <c r="H191" s="65"/>
      <c r="I191" s="177" t="s">
        <v>236</v>
      </c>
      <c r="J191" s="65">
        <v>7211</v>
      </c>
      <c r="K191" s="179">
        <v>0</v>
      </c>
      <c r="L191" s="65"/>
    </row>
    <row r="192" spans="1:12" ht="12.75">
      <c r="A192" s="65"/>
      <c r="B192" s="176" t="s">
        <v>251</v>
      </c>
      <c r="C192" s="352">
        <v>20</v>
      </c>
      <c r="D192" s="65"/>
      <c r="E192" s="66"/>
      <c r="F192" s="66"/>
      <c r="G192" s="178"/>
      <c r="H192" s="65"/>
      <c r="I192" s="177" t="s">
        <v>240</v>
      </c>
      <c r="J192" s="65"/>
      <c r="K192" s="179">
        <v>630</v>
      </c>
      <c r="L192" s="65"/>
    </row>
    <row r="193" spans="1:12" ht="12.75">
      <c r="A193" s="65"/>
      <c r="B193" s="176" t="s">
        <v>160</v>
      </c>
      <c r="C193" s="352">
        <v>2.4</v>
      </c>
      <c r="D193" s="65"/>
      <c r="E193" s="66"/>
      <c r="F193" s="66"/>
      <c r="G193" s="178"/>
      <c r="H193" s="65"/>
      <c r="I193" s="177" t="s">
        <v>242</v>
      </c>
      <c r="J193" s="65">
        <v>4063</v>
      </c>
      <c r="K193" s="179">
        <v>231</v>
      </c>
      <c r="L193" s="65"/>
    </row>
    <row r="194" spans="1:12" ht="12.75">
      <c r="A194" s="65"/>
      <c r="B194" s="176" t="s">
        <v>253</v>
      </c>
      <c r="C194" s="352">
        <v>1.5</v>
      </c>
      <c r="D194" s="65"/>
      <c r="E194" s="66"/>
      <c r="F194" s="66"/>
      <c r="G194" s="178"/>
      <c r="H194" s="65"/>
      <c r="I194" s="177" t="s">
        <v>94</v>
      </c>
      <c r="J194" s="65">
        <v>3405</v>
      </c>
      <c r="K194" s="354">
        <v>2591</v>
      </c>
      <c r="L194" s="65"/>
    </row>
    <row r="195" spans="1:12" ht="12.75">
      <c r="A195" s="65"/>
      <c r="B195" s="66" t="s">
        <v>84</v>
      </c>
      <c r="C195" s="351">
        <v>4.5</v>
      </c>
      <c r="D195" s="65"/>
      <c r="E195" s="66"/>
      <c r="F195" s="66"/>
      <c r="G195" s="178"/>
      <c r="H195" s="65"/>
      <c r="I195" s="177" t="s">
        <v>52</v>
      </c>
      <c r="J195" s="65" t="s">
        <v>385</v>
      </c>
      <c r="K195" s="354">
        <v>7000</v>
      </c>
      <c r="L195" s="65"/>
    </row>
    <row r="196" spans="1:12" ht="12.75">
      <c r="A196" s="65"/>
      <c r="B196" s="176" t="s">
        <v>256</v>
      </c>
      <c r="C196" s="352">
        <v>4</v>
      </c>
      <c r="D196" s="65"/>
      <c r="E196" s="66"/>
      <c r="F196" s="66"/>
      <c r="G196" s="178"/>
      <c r="H196" s="65"/>
      <c r="I196" s="177" t="s">
        <v>362</v>
      </c>
      <c r="J196" s="65">
        <v>9643</v>
      </c>
      <c r="K196" s="179">
        <v>4300</v>
      </c>
      <c r="L196" s="65"/>
    </row>
    <row r="197" spans="1:12" ht="12.75">
      <c r="A197" s="65"/>
      <c r="B197" s="176" t="s">
        <v>257</v>
      </c>
      <c r="C197" s="352">
        <v>0.08</v>
      </c>
      <c r="D197" s="65"/>
      <c r="E197" s="66"/>
      <c r="F197" s="66"/>
      <c r="G197" s="178"/>
      <c r="H197" s="65"/>
      <c r="I197" s="177" t="s">
        <v>244</v>
      </c>
      <c r="J197" s="65">
        <v>6788</v>
      </c>
      <c r="K197" s="179">
        <v>250</v>
      </c>
      <c r="L197" s="65"/>
    </row>
    <row r="198" spans="1:12" ht="12.75">
      <c r="A198" s="65"/>
      <c r="B198" s="176" t="s">
        <v>258</v>
      </c>
      <c r="C198" s="352">
        <v>40</v>
      </c>
      <c r="D198" s="65"/>
      <c r="E198" s="66"/>
      <c r="F198" s="66"/>
      <c r="G198" s="178"/>
      <c r="H198" s="65"/>
      <c r="I198" s="177" t="s">
        <v>245</v>
      </c>
      <c r="J198" s="65">
        <v>6683</v>
      </c>
      <c r="K198" s="354">
        <v>2500</v>
      </c>
      <c r="L198" s="65"/>
    </row>
    <row r="199" spans="1:12" ht="12.75">
      <c r="A199" s="65"/>
      <c r="B199" s="176" t="s">
        <v>26</v>
      </c>
      <c r="C199" s="352">
        <v>17</v>
      </c>
      <c r="D199" s="65"/>
      <c r="E199" s="66"/>
      <c r="F199" s="66"/>
      <c r="G199" s="178"/>
      <c r="H199" s="65"/>
      <c r="I199" s="177" t="s">
        <v>360</v>
      </c>
      <c r="J199" s="65">
        <v>2185</v>
      </c>
      <c r="K199" s="179">
        <v>35</v>
      </c>
      <c r="L199" s="65"/>
    </row>
    <row r="200" spans="1:12" ht="12.75">
      <c r="A200" s="65"/>
      <c r="B200" s="176" t="s">
        <v>261</v>
      </c>
      <c r="C200" s="352">
        <v>1</v>
      </c>
      <c r="D200" s="65"/>
      <c r="E200" s="66"/>
      <c r="F200" s="180"/>
      <c r="G200" s="178"/>
      <c r="H200" s="65"/>
      <c r="I200" s="177" t="s">
        <v>249</v>
      </c>
      <c r="J200" s="212" t="s">
        <v>384</v>
      </c>
      <c r="K200" s="179">
        <v>8677</v>
      </c>
      <c r="L200" s="65"/>
    </row>
    <row r="201" spans="1:12" ht="12.75">
      <c r="A201" s="65"/>
      <c r="B201" s="176" t="s">
        <v>152</v>
      </c>
      <c r="C201" s="176">
        <v>0</v>
      </c>
      <c r="D201" s="65"/>
      <c r="E201" s="66"/>
      <c r="F201" s="66"/>
      <c r="G201" s="178"/>
      <c r="H201" s="65"/>
      <c r="I201" s="177" t="s">
        <v>252</v>
      </c>
      <c r="J201" s="65">
        <v>4132</v>
      </c>
      <c r="K201" s="179">
        <v>9</v>
      </c>
      <c r="L201" s="65"/>
    </row>
    <row r="202" spans="1:12" ht="12.75">
      <c r="A202" s="65"/>
      <c r="B202" s="176" t="s">
        <v>262</v>
      </c>
      <c r="C202" s="352">
        <v>1</v>
      </c>
      <c r="D202" s="65"/>
      <c r="E202" s="66"/>
      <c r="F202" s="66"/>
      <c r="G202" s="178"/>
      <c r="H202" s="65"/>
      <c r="I202" s="177" t="s">
        <v>254</v>
      </c>
      <c r="J202" s="65">
        <v>2540</v>
      </c>
      <c r="K202" s="179">
        <v>10</v>
      </c>
      <c r="L202" s="65"/>
    </row>
    <row r="203" spans="1:12" ht="12.75">
      <c r="A203" s="65"/>
      <c r="B203" s="176" t="s">
        <v>263</v>
      </c>
      <c r="C203" s="352">
        <v>65</v>
      </c>
      <c r="D203" s="65"/>
      <c r="E203" s="66"/>
      <c r="F203" s="66"/>
      <c r="G203" s="178"/>
      <c r="H203" s="65"/>
      <c r="I203" s="177" t="s">
        <v>255</v>
      </c>
      <c r="J203" s="65">
        <v>9643</v>
      </c>
      <c r="K203" s="179">
        <v>15</v>
      </c>
      <c r="L203" s="65"/>
    </row>
    <row r="204" spans="1:12" ht="12.75">
      <c r="A204" s="65"/>
      <c r="B204" s="176" t="s">
        <v>264</v>
      </c>
      <c r="C204" s="352">
        <v>0.3</v>
      </c>
      <c r="D204" s="65"/>
      <c r="E204" s="66"/>
      <c r="F204" s="66"/>
      <c r="G204" s="178"/>
      <c r="H204" s="65"/>
      <c r="I204" s="177" t="s">
        <v>255</v>
      </c>
      <c r="J204" s="65">
        <v>5801</v>
      </c>
      <c r="K204" s="179">
        <v>29</v>
      </c>
      <c r="L204" s="65"/>
    </row>
    <row r="205" spans="1:12" ht="12.75">
      <c r="A205" s="65"/>
      <c r="B205" s="176" t="s">
        <v>322</v>
      </c>
      <c r="C205" s="352">
        <v>4.2999999999999997E-2</v>
      </c>
      <c r="D205" s="65"/>
      <c r="E205" s="66"/>
      <c r="F205" s="66"/>
      <c r="G205" s="178"/>
      <c r="H205" s="65"/>
      <c r="I205" s="177" t="s">
        <v>96</v>
      </c>
      <c r="J205" s="65">
        <v>6589</v>
      </c>
      <c r="K205" s="179">
        <v>1100</v>
      </c>
      <c r="L205" s="235" t="s">
        <v>441</v>
      </c>
    </row>
    <row r="206" spans="1:12" ht="12.75">
      <c r="A206" s="65"/>
      <c r="B206" s="176" t="s">
        <v>265</v>
      </c>
      <c r="C206" s="176">
        <v>0</v>
      </c>
      <c r="D206" s="65"/>
      <c r="E206" s="66"/>
      <c r="F206" s="66"/>
      <c r="G206" s="178"/>
      <c r="H206" s="65"/>
      <c r="I206" s="177" t="s">
        <v>259</v>
      </c>
      <c r="J206" s="65">
        <v>106</v>
      </c>
      <c r="K206" s="179">
        <v>1068</v>
      </c>
      <c r="L206" s="65"/>
    </row>
    <row r="207" spans="1:12" ht="12.75">
      <c r="A207" s="65"/>
      <c r="B207" s="176" t="s">
        <v>266</v>
      </c>
      <c r="C207" s="352">
        <v>0.05</v>
      </c>
      <c r="D207" s="65"/>
      <c r="E207" s="66"/>
      <c r="F207" s="66"/>
      <c r="G207" s="178"/>
      <c r="H207" s="65"/>
      <c r="I207" s="177" t="s">
        <v>260</v>
      </c>
      <c r="J207" s="65">
        <v>6598</v>
      </c>
      <c r="K207" s="179">
        <v>4206</v>
      </c>
      <c r="L207" s="65"/>
    </row>
    <row r="208" spans="1:12" ht="12.75">
      <c r="A208" s="65"/>
      <c r="B208" s="66" t="s">
        <v>178</v>
      </c>
      <c r="C208" s="66">
        <v>0</v>
      </c>
      <c r="D208" s="65"/>
      <c r="E208" s="66"/>
      <c r="F208" s="66"/>
      <c r="G208" s="178"/>
      <c r="H208" s="65"/>
      <c r="I208" s="178"/>
      <c r="J208" s="65"/>
      <c r="K208" s="345">
        <f>SUM(K132:K207)</f>
        <v>89805</v>
      </c>
    </row>
    <row r="209" spans="1:12" ht="12.75">
      <c r="A209" s="65"/>
      <c r="B209" s="176" t="s">
        <v>267</v>
      </c>
      <c r="C209" s="176">
        <v>0</v>
      </c>
      <c r="D209" s="65"/>
      <c r="E209" s="66"/>
      <c r="F209" s="66"/>
      <c r="G209" s="178"/>
      <c r="H209" s="65"/>
      <c r="I209" s="178"/>
      <c r="J209" s="65"/>
      <c r="K209" s="179"/>
      <c r="L209" s="65"/>
    </row>
    <row r="210" spans="1:12" ht="12.75">
      <c r="A210" s="65"/>
      <c r="B210" t="s">
        <v>268</v>
      </c>
      <c r="C210" s="66">
        <v>0</v>
      </c>
      <c r="D210" s="65"/>
      <c r="E210" s="66"/>
      <c r="F210" s="66"/>
      <c r="G210" s="178"/>
      <c r="H210" s="65"/>
      <c r="I210" s="177"/>
      <c r="J210" s="65"/>
      <c r="K210" s="177"/>
      <c r="L210" s="65"/>
    </row>
    <row r="211" spans="1:12" ht="12.75">
      <c r="A211" s="65"/>
      <c r="B211" t="s">
        <v>270</v>
      </c>
      <c r="C211" s="66">
        <v>0</v>
      </c>
      <c r="D211" s="65"/>
      <c r="E211" s="66"/>
      <c r="F211" s="66"/>
      <c r="G211" s="178"/>
      <c r="H211" s="65"/>
      <c r="I211" s="177"/>
      <c r="J211" s="212"/>
      <c r="L211" s="65"/>
    </row>
    <row r="212" spans="1:12" ht="12.75">
      <c r="A212" s="65"/>
      <c r="B212"/>
      <c r="C212" s="182">
        <f>SUM(C132:C211)</f>
        <v>452.41400000000004</v>
      </c>
      <c r="D212" s="65"/>
      <c r="E212" s="66"/>
      <c r="F212" s="66"/>
      <c r="G212" s="178"/>
      <c r="H212" s="65"/>
      <c r="I212" s="177"/>
      <c r="J212" s="65"/>
      <c r="K212" s="179"/>
      <c r="L212" s="65"/>
    </row>
    <row r="213" spans="1:12" ht="12.75">
      <c r="B213"/>
      <c r="C213" s="66"/>
      <c r="D213" s="65"/>
      <c r="E213" s="66"/>
      <c r="F213" s="66"/>
      <c r="G213" s="178"/>
      <c r="H213" s="65"/>
      <c r="I213" s="177"/>
      <c r="J213" s="65"/>
      <c r="K213" s="177"/>
      <c r="L213" s="65"/>
    </row>
    <row r="214" spans="1:12" ht="12.75">
      <c r="B214"/>
      <c r="C214" s="66"/>
      <c r="D214" s="65"/>
      <c r="E214" s="182"/>
      <c r="F214" s="66"/>
      <c r="G214" s="177"/>
      <c r="H214" s="65"/>
      <c r="I214" s="177"/>
      <c r="J214" s="65"/>
      <c r="K214" s="179"/>
      <c r="L214" s="65"/>
    </row>
    <row r="215" spans="1:12" ht="12.75">
      <c r="B215"/>
      <c r="C215" s="66"/>
      <c r="D215" s="65"/>
      <c r="E215" s="65"/>
      <c r="F215" s="65"/>
      <c r="G215" s="65"/>
      <c r="H215" s="65"/>
      <c r="I215" s="177"/>
      <c r="J215" s="65"/>
      <c r="K215" s="179"/>
      <c r="L215" s="65"/>
    </row>
    <row r="216" spans="1:12" ht="12.75">
      <c r="B216" s="175" t="s">
        <v>7</v>
      </c>
      <c r="C216" s="176">
        <v>0</v>
      </c>
      <c r="D216" s="65"/>
      <c r="E216" s="65"/>
      <c r="F216" s="65"/>
      <c r="G216" s="65"/>
      <c r="H216" s="65"/>
      <c r="I216" s="177"/>
      <c r="J216" s="65"/>
      <c r="K216" s="179"/>
      <c r="L216" s="65"/>
    </row>
    <row r="217" spans="1:12" ht="12.75">
      <c r="A217" s="183"/>
      <c r="B217" s="175" t="s">
        <v>6</v>
      </c>
      <c r="C217" s="176">
        <v>0</v>
      </c>
      <c r="D217" s="65"/>
      <c r="E217" s="65"/>
      <c r="F217" s="65"/>
      <c r="G217" s="65"/>
      <c r="H217" s="65"/>
      <c r="I217" s="177"/>
      <c r="J217" s="65"/>
      <c r="K217" s="179"/>
      <c r="L217" s="65"/>
    </row>
    <row r="218" spans="1:12" ht="12.75">
      <c r="B218" s="175" t="s">
        <v>271</v>
      </c>
      <c r="C218" s="176">
        <v>0</v>
      </c>
      <c r="D218" s="65"/>
      <c r="E218" s="65"/>
      <c r="F218" s="65"/>
      <c r="G218" s="65"/>
      <c r="H218" s="65"/>
      <c r="I218" s="66"/>
      <c r="J218" s="65"/>
      <c r="K218" s="179"/>
      <c r="L218" s="65"/>
    </row>
    <row r="219" spans="1:12" ht="12.75">
      <c r="B219" s="175" t="s">
        <v>11</v>
      </c>
      <c r="C219" s="176">
        <v>0</v>
      </c>
      <c r="D219" s="65">
        <v>3</v>
      </c>
      <c r="E219" s="65"/>
      <c r="F219" s="65"/>
      <c r="G219" s="65"/>
      <c r="H219" s="65"/>
      <c r="I219" s="65"/>
      <c r="J219" s="65"/>
    </row>
    <row r="220" spans="1:12" ht="12.75">
      <c r="B220" s="175" t="s">
        <v>187</v>
      </c>
      <c r="C220" s="176">
        <v>0</v>
      </c>
      <c r="D220" s="65" t="s">
        <v>272</v>
      </c>
      <c r="E220" s="65"/>
      <c r="F220" s="65"/>
      <c r="G220" s="65"/>
      <c r="H220" s="65"/>
      <c r="I220" s="65"/>
      <c r="J220" s="65"/>
      <c r="K220" s="65"/>
    </row>
    <row r="221" spans="1:12" ht="12.75">
      <c r="B221" s="175" t="s">
        <v>201</v>
      </c>
      <c r="C221" s="176">
        <v>0</v>
      </c>
      <c r="D221" s="65"/>
      <c r="E221" s="65"/>
      <c r="F221" s="65">
        <v>5</v>
      </c>
      <c r="G221" s="65"/>
      <c r="H221" s="65"/>
      <c r="I221" s="65"/>
      <c r="J221" s="65"/>
      <c r="K221" s="65"/>
    </row>
    <row r="222" spans="1:12" ht="12.75">
      <c r="B222" s="175" t="s">
        <v>16</v>
      </c>
      <c r="C222" s="176">
        <v>0</v>
      </c>
      <c r="D222" s="65" t="s">
        <v>273</v>
      </c>
      <c r="E222" s="65"/>
      <c r="F222" s="65">
        <v>10</v>
      </c>
      <c r="G222" s="65"/>
      <c r="H222" s="65"/>
      <c r="I222" s="65"/>
      <c r="J222" s="65"/>
      <c r="K222" s="65"/>
    </row>
    <row r="223" spans="1:12" ht="12.75">
      <c r="B223" s="175" t="s">
        <v>14</v>
      </c>
      <c r="C223" s="176">
        <v>0</v>
      </c>
      <c r="D223" s="65"/>
      <c r="E223" s="65"/>
      <c r="F223" s="65"/>
      <c r="G223" s="65"/>
      <c r="H223" s="65"/>
      <c r="I223" s="65"/>
      <c r="J223" s="65"/>
      <c r="K223" s="65"/>
    </row>
    <row r="224" spans="1:12" ht="12.75">
      <c r="B224" s="175" t="s">
        <v>18</v>
      </c>
      <c r="C224" s="176">
        <v>0</v>
      </c>
      <c r="D224" s="65"/>
      <c r="E224" s="65"/>
      <c r="F224" s="65"/>
      <c r="G224" s="65"/>
      <c r="H224" s="65"/>
      <c r="I224" s="65"/>
      <c r="J224" s="65"/>
      <c r="K224" s="65"/>
    </row>
    <row r="225" spans="1:19" ht="12.75">
      <c r="B225" t="s">
        <v>216</v>
      </c>
      <c r="C225" s="66">
        <v>0</v>
      </c>
      <c r="D225" s="65" t="s">
        <v>272</v>
      </c>
      <c r="E225" s="65"/>
      <c r="F225" s="65">
        <v>5</v>
      </c>
      <c r="G225" s="65"/>
      <c r="H225" s="65"/>
      <c r="I225" s="66"/>
      <c r="J225" s="65"/>
      <c r="K225" s="65"/>
    </row>
    <row r="226" spans="1:19" ht="12.75">
      <c r="B226" s="175" t="s">
        <v>233</v>
      </c>
      <c r="C226" s="176">
        <v>0</v>
      </c>
      <c r="D226" s="65" t="s">
        <v>272</v>
      </c>
      <c r="E226" s="65"/>
      <c r="F226" s="65">
        <v>15</v>
      </c>
      <c r="G226" s="65"/>
      <c r="H226" s="65"/>
      <c r="I226" s="65"/>
      <c r="J226" s="65"/>
    </row>
    <row r="227" spans="1:19" ht="12.75">
      <c r="A227" s="12" t="s">
        <v>274</v>
      </c>
      <c r="B227" s="175" t="s">
        <v>275</v>
      </c>
      <c r="C227" s="176">
        <v>0</v>
      </c>
      <c r="D227" s="65" t="s">
        <v>272</v>
      </c>
      <c r="E227" s="65"/>
      <c r="F227" s="65">
        <v>15</v>
      </c>
      <c r="G227" s="65"/>
      <c r="H227" s="65"/>
      <c r="I227" s="65"/>
      <c r="J227" s="65"/>
    </row>
    <row r="228" spans="1:19" ht="12.75">
      <c r="B228" t="s">
        <v>258</v>
      </c>
      <c r="C228" s="178">
        <v>0</v>
      </c>
      <c r="D228" s="65"/>
      <c r="E228" s="65"/>
      <c r="F228" s="65">
        <v>5</v>
      </c>
      <c r="G228" s="65"/>
      <c r="H228" s="65"/>
      <c r="I228" s="65"/>
      <c r="J228" s="65"/>
    </row>
    <row r="229" spans="1:19" ht="12.75">
      <c r="B229" t="s">
        <v>26</v>
      </c>
      <c r="C229" s="178">
        <v>0</v>
      </c>
      <c r="D229" s="65" t="s">
        <v>276</v>
      </c>
      <c r="E229" s="65"/>
      <c r="F229" s="65"/>
      <c r="G229" s="65"/>
      <c r="H229" s="65"/>
      <c r="I229" s="65"/>
      <c r="J229" s="65"/>
    </row>
    <row r="230" spans="1:19" ht="12.75">
      <c r="B230" t="s">
        <v>267</v>
      </c>
      <c r="C230" s="178">
        <v>0</v>
      </c>
      <c r="D230" s="65"/>
      <c r="E230" s="65"/>
      <c r="F230" s="65">
        <f>SUM(F221:F229)</f>
        <v>55</v>
      </c>
      <c r="G230" s="65"/>
      <c r="H230" s="65"/>
      <c r="I230" s="65"/>
      <c r="J230" s="65"/>
    </row>
    <row r="231" spans="1:19" ht="12.75">
      <c r="B231" t="s">
        <v>277</v>
      </c>
      <c r="C231" s="178">
        <v>0</v>
      </c>
      <c r="D231" s="65"/>
      <c r="E231" s="65"/>
      <c r="F231" s="65"/>
      <c r="G231" s="65"/>
      <c r="H231" s="65"/>
      <c r="I231" s="65"/>
      <c r="J231" s="65"/>
    </row>
    <row r="232" spans="1:19" ht="12.75">
      <c r="B232" t="s">
        <v>278</v>
      </c>
      <c r="C232" s="184">
        <f>SUM(C216:C231)</f>
        <v>0</v>
      </c>
      <c r="D232" s="65"/>
      <c r="E232" s="65"/>
      <c r="F232" s="65"/>
      <c r="G232" s="65"/>
      <c r="H232" s="65"/>
      <c r="I232" s="65"/>
      <c r="J232" s="65"/>
    </row>
    <row r="233" spans="1:19" ht="12.75">
      <c r="B233" s="45"/>
      <c r="C233" s="45"/>
      <c r="D233" s="65"/>
      <c r="E233" s="65"/>
      <c r="F233" s="65"/>
      <c r="G233" s="65"/>
      <c r="H233" s="65"/>
      <c r="I233" s="65"/>
      <c r="J233" s="65"/>
    </row>
    <row r="234" spans="1:19" ht="12.75">
      <c r="B234"/>
      <c r="C234">
        <f>C212+C232</f>
        <v>452.41400000000004</v>
      </c>
      <c r="D234" s="65"/>
      <c r="F234" s="65"/>
      <c r="G234" s="65"/>
      <c r="H234" s="65"/>
      <c r="I234" s="65"/>
      <c r="J234" s="65"/>
    </row>
    <row r="235" spans="1:19" ht="12.75">
      <c r="B235"/>
      <c r="C235"/>
      <c r="H235" s="65"/>
      <c r="I235" s="65"/>
      <c r="J235" s="65"/>
    </row>
    <row r="236" spans="1:19" ht="12.75">
      <c r="B236"/>
      <c r="C236">
        <f>E214-C234</f>
        <v>-452.41400000000004</v>
      </c>
      <c r="I236" s="66"/>
      <c r="J236" s="65"/>
    </row>
    <row r="237" spans="1:19" ht="12.75">
      <c r="B237"/>
      <c r="C237"/>
      <c r="I237" s="66"/>
      <c r="J237" s="65"/>
    </row>
    <row r="238" spans="1:19">
      <c r="G238" s="185" t="s">
        <v>279</v>
      </c>
      <c r="H238" s="186"/>
      <c r="I238" s="186"/>
      <c r="J238" s="186"/>
      <c r="K238" s="186"/>
      <c r="N238" s="186"/>
      <c r="O238" s="186"/>
      <c r="P238" s="186"/>
      <c r="Q238" s="186"/>
      <c r="R238" s="186"/>
      <c r="S238" s="187"/>
    </row>
    <row r="239" spans="1:19" ht="12.75">
      <c r="G239" s="188"/>
      <c r="H239" s="189" t="s">
        <v>280</v>
      </c>
      <c r="I239" s="192"/>
      <c r="J239" s="193"/>
      <c r="K239" s="190"/>
      <c r="L239" s="186"/>
      <c r="M239" s="186"/>
      <c r="N239" s="190"/>
      <c r="O239" s="190"/>
      <c r="P239" s="190"/>
      <c r="Q239" s="190"/>
      <c r="R239" s="74"/>
      <c r="S239" s="158"/>
    </row>
    <row r="240" spans="1:19" ht="12.75">
      <c r="B240"/>
      <c r="C240" s="195"/>
      <c r="G240" s="191"/>
      <c r="H240" s="74"/>
      <c r="I240" s="68" t="s">
        <v>281</v>
      </c>
      <c r="J240" s="194">
        <v>0</v>
      </c>
      <c r="K240" s="74"/>
      <c r="L240" s="190"/>
      <c r="M240" s="190"/>
      <c r="N240" s="74"/>
      <c r="O240" s="74"/>
      <c r="P240" s="74"/>
      <c r="Q240" s="74"/>
      <c r="R240" s="74"/>
      <c r="S240" s="161"/>
    </row>
    <row r="241" spans="2:19" ht="12.75">
      <c r="B241"/>
      <c r="C241" s="195"/>
      <c r="G241" s="191"/>
      <c r="H241" s="74"/>
      <c r="I241" s="74" t="s">
        <v>282</v>
      </c>
      <c r="J241" s="196">
        <v>0</v>
      </c>
      <c r="K241" s="74"/>
      <c r="L241" s="74"/>
      <c r="M241" s="74"/>
      <c r="N241" s="74"/>
      <c r="O241" s="74"/>
      <c r="P241" s="74"/>
      <c r="Q241" s="74"/>
      <c r="R241" s="74"/>
      <c r="S241" s="161"/>
    </row>
    <row r="242" spans="2:19" ht="12.75">
      <c r="B242"/>
      <c r="C242" s="195"/>
      <c r="G242" s="191"/>
      <c r="H242" s="74"/>
      <c r="I242" s="74" t="s">
        <v>283</v>
      </c>
      <c r="J242" s="196">
        <v>0</v>
      </c>
      <c r="K242" s="74"/>
      <c r="L242" s="74"/>
      <c r="M242" s="74"/>
      <c r="N242" s="74"/>
      <c r="O242" s="74"/>
      <c r="P242" s="74"/>
      <c r="Q242" s="74"/>
      <c r="R242" s="74"/>
      <c r="S242" s="161"/>
    </row>
    <row r="243" spans="2:19" ht="12.75">
      <c r="B243"/>
      <c r="C243" s="195"/>
      <c r="G243" s="191"/>
      <c r="H243" s="74"/>
      <c r="I243" s="74" t="s">
        <v>284</v>
      </c>
      <c r="J243" s="196">
        <v>0</v>
      </c>
      <c r="K243" s="74"/>
      <c r="L243" s="74"/>
      <c r="M243" s="74"/>
      <c r="N243" s="74"/>
      <c r="O243" s="74"/>
      <c r="P243" s="74"/>
      <c r="Q243" s="74"/>
      <c r="R243" s="74"/>
      <c r="S243" s="161"/>
    </row>
    <row r="244" spans="2:19" ht="12.75">
      <c r="B244"/>
      <c r="C244" s="195"/>
      <c r="G244" s="191"/>
      <c r="H244" s="74"/>
      <c r="I244" s="74" t="s">
        <v>285</v>
      </c>
      <c r="J244" s="196">
        <v>0</v>
      </c>
      <c r="K244" s="74"/>
      <c r="L244" s="74"/>
      <c r="M244" s="74"/>
      <c r="N244" s="74"/>
      <c r="O244" s="74"/>
      <c r="P244" s="74"/>
      <c r="Q244" s="74"/>
      <c r="R244" s="74"/>
      <c r="S244" s="161"/>
    </row>
    <row r="245" spans="2:19" ht="12.75">
      <c r="B245"/>
      <c r="C245" s="195"/>
      <c r="G245" s="191"/>
      <c r="H245" s="74"/>
      <c r="I245" s="74" t="s">
        <v>286</v>
      </c>
      <c r="J245" s="196">
        <v>0</v>
      </c>
      <c r="K245" s="74"/>
      <c r="L245" s="74"/>
      <c r="M245" s="74"/>
      <c r="N245" s="74"/>
      <c r="O245" s="74"/>
      <c r="P245" s="74"/>
      <c r="Q245" s="74"/>
      <c r="R245" s="74"/>
      <c r="S245" s="161"/>
    </row>
    <row r="246" spans="2:19" ht="12.75">
      <c r="B246"/>
      <c r="C246" s="195"/>
      <c r="G246" s="191"/>
      <c r="H246" s="74"/>
      <c r="I246" s="74" t="s">
        <v>287</v>
      </c>
      <c r="J246" s="197">
        <v>0</v>
      </c>
      <c r="K246" s="74"/>
      <c r="L246" s="74"/>
      <c r="M246" s="74"/>
      <c r="N246" s="74"/>
      <c r="O246" s="74"/>
      <c r="P246" s="74"/>
      <c r="Q246" s="74"/>
      <c r="R246" s="74"/>
      <c r="S246" s="161"/>
    </row>
    <row r="247" spans="2:19" ht="12.75">
      <c r="B247"/>
      <c r="C247" s="195"/>
      <c r="G247" s="191"/>
      <c r="H247" s="74"/>
      <c r="I247" s="74"/>
      <c r="J247" s="196">
        <f>SUM(J240:J246)</f>
        <v>0</v>
      </c>
      <c r="K247" s="74"/>
      <c r="L247" s="74"/>
      <c r="M247" s="74"/>
      <c r="N247" s="74"/>
      <c r="O247" s="74"/>
      <c r="P247" s="74"/>
      <c r="Q247" s="74"/>
      <c r="R247" s="74"/>
      <c r="S247" s="161"/>
    </row>
    <row r="248" spans="2:19" ht="12.75">
      <c r="B248"/>
      <c r="C248" s="195"/>
      <c r="G248" s="191"/>
      <c r="H248" s="74" t="s">
        <v>288</v>
      </c>
      <c r="I248" s="74"/>
      <c r="J248" s="196"/>
      <c r="K248" s="74"/>
      <c r="L248" s="74"/>
      <c r="M248" s="74"/>
      <c r="N248" s="74"/>
      <c r="O248" s="74"/>
      <c r="P248" s="74"/>
      <c r="Q248" s="74"/>
      <c r="R248" s="74"/>
      <c r="S248" s="161"/>
    </row>
    <row r="249" spans="2:19" ht="12.75">
      <c r="B249"/>
      <c r="C249" s="195"/>
      <c r="G249" s="191"/>
      <c r="H249" s="74"/>
      <c r="I249" s="74" t="s">
        <v>289</v>
      </c>
      <c r="J249" s="196">
        <v>0</v>
      </c>
      <c r="K249" s="74"/>
      <c r="L249" s="74"/>
      <c r="M249" s="74"/>
      <c r="N249" s="74"/>
      <c r="O249" s="74"/>
      <c r="P249" s="74"/>
      <c r="Q249" s="74"/>
      <c r="R249" s="74"/>
      <c r="S249" s="161"/>
    </row>
    <row r="250" spans="2:19" ht="12.75">
      <c r="B250"/>
      <c r="C250" s="195"/>
      <c r="G250" s="191"/>
      <c r="H250" s="74"/>
      <c r="I250" s="74" t="s">
        <v>290</v>
      </c>
      <c r="J250" s="196">
        <v>0</v>
      </c>
      <c r="K250" s="74"/>
      <c r="L250" s="74"/>
      <c r="M250" s="74"/>
      <c r="N250" s="74"/>
      <c r="O250" s="74"/>
      <c r="P250" s="74"/>
      <c r="Q250" s="74"/>
      <c r="R250" s="74"/>
      <c r="S250" s="161"/>
    </row>
    <row r="251" spans="2:19" ht="12.75">
      <c r="B251"/>
      <c r="C251" s="195"/>
      <c r="G251" s="191"/>
      <c r="H251" s="74"/>
      <c r="I251" s="74" t="s">
        <v>291</v>
      </c>
      <c r="J251" s="196">
        <v>0</v>
      </c>
      <c r="K251" s="74"/>
      <c r="L251" s="74"/>
      <c r="M251" s="74"/>
      <c r="N251" s="74"/>
      <c r="O251" s="74"/>
      <c r="P251" s="74"/>
      <c r="Q251" s="74"/>
      <c r="R251" s="74"/>
      <c r="S251" s="161"/>
    </row>
    <row r="252" spans="2:19" ht="12.75">
      <c r="B252"/>
      <c r="C252" s="195"/>
      <c r="G252" s="191"/>
      <c r="H252" s="74"/>
      <c r="I252" s="74" t="s">
        <v>292</v>
      </c>
      <c r="J252" s="196">
        <v>0</v>
      </c>
      <c r="K252" s="74"/>
      <c r="L252" s="74"/>
      <c r="M252" s="74"/>
      <c r="N252" s="74"/>
      <c r="O252" s="74"/>
      <c r="P252" s="74"/>
      <c r="Q252" s="74"/>
      <c r="R252" s="74"/>
      <c r="S252" s="161"/>
    </row>
    <row r="253" spans="2:19" ht="12.75">
      <c r="B253"/>
      <c r="C253" s="195"/>
      <c r="G253" s="191"/>
      <c r="H253" s="74"/>
      <c r="I253" s="74" t="s">
        <v>293</v>
      </c>
      <c r="J253" s="196">
        <v>0</v>
      </c>
      <c r="K253" s="74"/>
      <c r="L253" s="74"/>
      <c r="M253" s="74"/>
      <c r="N253" s="74"/>
      <c r="O253" s="74"/>
      <c r="P253" s="74"/>
      <c r="Q253" s="74"/>
      <c r="R253" s="74"/>
      <c r="S253" s="161"/>
    </row>
    <row r="254" spans="2:19" ht="12.75">
      <c r="B254"/>
      <c r="C254" s="195"/>
      <c r="G254" s="191"/>
      <c r="H254" s="74"/>
      <c r="I254" s="74" t="s">
        <v>294</v>
      </c>
      <c r="J254" s="196">
        <v>0</v>
      </c>
      <c r="K254" s="74"/>
      <c r="L254" s="74"/>
      <c r="M254" s="74"/>
      <c r="N254" s="74"/>
      <c r="O254" s="74"/>
      <c r="P254" s="74"/>
      <c r="Q254" s="74"/>
      <c r="R254" s="74"/>
      <c r="S254" s="161"/>
    </row>
    <row r="255" spans="2:19" ht="12.75">
      <c r="B255" s="45"/>
      <c r="C255" s="198"/>
      <c r="G255" s="191"/>
      <c r="H255" s="74"/>
      <c r="I255" s="74" t="s">
        <v>295</v>
      </c>
      <c r="J255" s="196">
        <v>0</v>
      </c>
      <c r="K255" s="74"/>
      <c r="L255" s="74"/>
      <c r="M255" s="74"/>
      <c r="N255" s="74"/>
      <c r="O255" s="74"/>
      <c r="P255" s="74"/>
      <c r="Q255" s="74"/>
      <c r="R255" s="74"/>
      <c r="S255" s="161"/>
    </row>
    <row r="256" spans="2:19" ht="12.75">
      <c r="B256"/>
      <c r="C256" s="195"/>
      <c r="G256" s="191"/>
      <c r="H256" s="74"/>
      <c r="I256" s="74" t="s">
        <v>296</v>
      </c>
      <c r="J256" s="196">
        <v>0</v>
      </c>
      <c r="K256" s="74"/>
      <c r="L256" s="74"/>
      <c r="M256" s="74"/>
      <c r="N256" s="74"/>
      <c r="O256" s="74"/>
      <c r="P256" s="74"/>
      <c r="Q256" s="74"/>
      <c r="R256" s="74"/>
      <c r="S256" s="161"/>
    </row>
    <row r="257" spans="2:19" ht="12.75">
      <c r="B257"/>
      <c r="C257" s="195"/>
      <c r="G257" s="191"/>
      <c r="H257" s="74"/>
      <c r="I257" s="74" t="s">
        <v>297</v>
      </c>
      <c r="J257" s="197">
        <v>0</v>
      </c>
      <c r="K257" s="74"/>
      <c r="L257" s="74"/>
      <c r="M257" s="74"/>
      <c r="N257" s="74"/>
      <c r="O257" s="74"/>
      <c r="P257" s="74"/>
      <c r="Q257" s="74"/>
      <c r="R257" s="74"/>
      <c r="S257" s="161"/>
    </row>
    <row r="258" spans="2:19" ht="12.75">
      <c r="B258"/>
      <c r="C258" s="195"/>
      <c r="G258" s="191"/>
      <c r="H258" s="74"/>
      <c r="I258" s="74"/>
      <c r="J258" s="196">
        <f>SUM(J247:J257)</f>
        <v>0</v>
      </c>
      <c r="K258" s="74"/>
      <c r="L258" s="74"/>
      <c r="M258" s="74"/>
      <c r="N258" s="74"/>
      <c r="O258" s="74"/>
      <c r="P258" s="74"/>
      <c r="Q258" s="74"/>
      <c r="R258" s="74"/>
      <c r="S258" s="161"/>
    </row>
    <row r="259" spans="2:19" ht="12.75">
      <c r="B259"/>
      <c r="C259" s="195"/>
      <c r="G259" s="191"/>
      <c r="H259" s="74"/>
      <c r="I259" s="74"/>
      <c r="J259" s="196"/>
      <c r="K259" s="74"/>
      <c r="L259" s="74"/>
      <c r="M259" s="74"/>
      <c r="N259" s="74"/>
      <c r="O259" s="74"/>
      <c r="P259" s="74"/>
      <c r="Q259" s="74"/>
      <c r="R259" s="74"/>
      <c r="S259" s="161"/>
    </row>
    <row r="260" spans="2:19" ht="12.75">
      <c r="B260"/>
      <c r="C260" s="195"/>
      <c r="G260" s="191"/>
      <c r="H260" s="74" t="s">
        <v>298</v>
      </c>
      <c r="I260" s="74"/>
      <c r="J260" s="196"/>
      <c r="K260" s="74"/>
      <c r="L260" s="74"/>
      <c r="M260" s="74"/>
      <c r="N260" s="74"/>
      <c r="O260" s="74"/>
      <c r="P260" s="74"/>
      <c r="Q260" s="74"/>
      <c r="R260" s="74"/>
      <c r="S260" s="161"/>
    </row>
    <row r="261" spans="2:19" ht="12.75">
      <c r="B261"/>
      <c r="C261" s="195"/>
      <c r="G261" s="191"/>
      <c r="H261" s="74"/>
      <c r="I261" s="74" t="s">
        <v>300</v>
      </c>
      <c r="J261" s="199">
        <v>-862</v>
      </c>
      <c r="K261" s="74"/>
      <c r="L261" s="74"/>
      <c r="M261" s="74"/>
      <c r="N261" s="74"/>
      <c r="O261" s="74"/>
      <c r="P261" s="74"/>
      <c r="Q261" s="74" t="s">
        <v>299</v>
      </c>
      <c r="R261" s="74"/>
      <c r="S261" s="161"/>
    </row>
    <row r="262" spans="2:19" ht="12.75">
      <c r="B262"/>
      <c r="C262" s="195"/>
      <c r="G262" s="191"/>
      <c r="H262" s="74"/>
      <c r="I262" s="200" t="s">
        <v>300</v>
      </c>
      <c r="J262" s="201">
        <v>-1</v>
      </c>
      <c r="K262" s="74"/>
      <c r="L262" s="74"/>
      <c r="M262" s="74"/>
      <c r="N262" s="74"/>
      <c r="O262" s="74"/>
      <c r="P262" s="196">
        <v>-31732</v>
      </c>
      <c r="Q262" s="74"/>
      <c r="R262" s="74"/>
      <c r="S262" s="161"/>
    </row>
    <row r="263" spans="2:19" ht="12.75">
      <c r="B263"/>
      <c r="C263" s="195"/>
      <c r="G263" s="191"/>
      <c r="H263" s="74"/>
      <c r="I263" s="200" t="s">
        <v>301</v>
      </c>
      <c r="J263" s="201">
        <v>-1</v>
      </c>
      <c r="K263" s="74"/>
      <c r="L263" s="74"/>
      <c r="M263" s="74"/>
      <c r="N263" s="74"/>
      <c r="O263" s="74"/>
      <c r="P263" s="196"/>
      <c r="Q263" s="74"/>
      <c r="R263" s="74"/>
      <c r="S263" s="161"/>
    </row>
    <row r="264" spans="2:19" ht="12.75">
      <c r="B264"/>
      <c r="C264" s="195"/>
      <c r="G264" s="191"/>
      <c r="H264" s="74"/>
      <c r="I264" s="137" t="s">
        <v>303</v>
      </c>
      <c r="J264" s="202">
        <v>-1500</v>
      </c>
      <c r="K264" s="74"/>
      <c r="L264" s="74"/>
      <c r="M264" s="74"/>
      <c r="N264" s="74" t="s">
        <v>302</v>
      </c>
      <c r="O264" s="74"/>
      <c r="P264" s="196"/>
      <c r="Q264" s="74" t="s">
        <v>38</v>
      </c>
      <c r="R264" s="74"/>
      <c r="S264" s="161"/>
    </row>
    <row r="265" spans="2:19" ht="12.75">
      <c r="B265"/>
      <c r="C265" s="195"/>
      <c r="G265" s="191"/>
      <c r="H265" s="74"/>
      <c r="I265" s="200" t="s">
        <v>305</v>
      </c>
      <c r="J265" s="201">
        <v>-1</v>
      </c>
      <c r="K265" s="74"/>
      <c r="L265" s="74"/>
      <c r="M265" s="74"/>
      <c r="N265" s="74"/>
      <c r="O265" s="74"/>
      <c r="P265" s="196">
        <f>K270</f>
        <v>-4368</v>
      </c>
      <c r="Q265" s="74" t="s">
        <v>304</v>
      </c>
      <c r="R265" s="74"/>
      <c r="S265" s="161"/>
    </row>
    <row r="266" spans="2:19" ht="12.75">
      <c r="B266"/>
      <c r="C266"/>
      <c r="G266" s="191"/>
      <c r="H266" s="74"/>
      <c r="I266" s="200" t="s">
        <v>307</v>
      </c>
      <c r="J266" s="201">
        <v>-1</v>
      </c>
      <c r="K266" s="74"/>
      <c r="L266" s="74"/>
      <c r="M266" s="74"/>
      <c r="N266" s="74" t="s">
        <v>306</v>
      </c>
      <c r="O266" s="74"/>
      <c r="P266" s="197">
        <v>-2500</v>
      </c>
      <c r="Q266" s="74"/>
      <c r="R266" s="74"/>
      <c r="S266" s="161"/>
    </row>
    <row r="267" spans="2:19" ht="12.75">
      <c r="B267"/>
      <c r="C267"/>
      <c r="G267" s="191"/>
      <c r="H267" s="74"/>
      <c r="I267" s="137" t="s">
        <v>309</v>
      </c>
      <c r="J267" s="202">
        <v>-1000</v>
      </c>
      <c r="K267" s="74"/>
      <c r="L267" s="74"/>
      <c r="M267" s="196">
        <v>525707</v>
      </c>
      <c r="N267" s="74"/>
      <c r="O267" s="196"/>
      <c r="P267" s="74"/>
      <c r="Q267" s="74" t="s">
        <v>308</v>
      </c>
      <c r="R267" s="74"/>
      <c r="S267" s="161"/>
    </row>
    <row r="268" spans="2:19" ht="12.75">
      <c r="B268"/>
      <c r="C268"/>
      <c r="G268" s="191"/>
      <c r="H268" s="74"/>
      <c r="I268" s="200" t="s">
        <v>310</v>
      </c>
      <c r="J268" s="201">
        <v>-1</v>
      </c>
      <c r="K268" s="74"/>
      <c r="L268" s="74"/>
      <c r="M268" s="196"/>
      <c r="N268" s="74"/>
      <c r="O268" s="74"/>
      <c r="P268" s="196">
        <f>SUM(P262:P266)</f>
        <v>-38600</v>
      </c>
      <c r="Q268" s="74"/>
      <c r="R268" s="74"/>
      <c r="S268" s="161"/>
    </row>
    <row r="269" spans="2:19" ht="12.75">
      <c r="B269"/>
      <c r="C269"/>
      <c r="G269" s="191"/>
      <c r="H269" s="74"/>
      <c r="I269" s="137" t="s">
        <v>311</v>
      </c>
      <c r="J269" s="202">
        <v>-1000</v>
      </c>
      <c r="K269" s="74"/>
      <c r="L269" s="74"/>
      <c r="M269" s="196"/>
      <c r="N269" s="74"/>
      <c r="O269" s="74"/>
      <c r="P269" s="74"/>
      <c r="Q269" s="74"/>
      <c r="R269" s="74"/>
      <c r="S269" s="161"/>
    </row>
    <row r="270" spans="2:19" ht="12.75">
      <c r="B270"/>
      <c r="C270"/>
      <c r="G270" s="191"/>
      <c r="H270" s="74"/>
      <c r="I270" s="200" t="s">
        <v>102</v>
      </c>
      <c r="J270" s="201">
        <v>-1</v>
      </c>
      <c r="K270" s="203">
        <f>SUM(J261:J270)</f>
        <v>-4368</v>
      </c>
      <c r="L270" s="74"/>
      <c r="M270" s="196">
        <v>493974</v>
      </c>
      <c r="N270" s="74"/>
      <c r="O270" s="74"/>
      <c r="P270" s="203">
        <f>P268+M272</f>
        <v>-6867</v>
      </c>
      <c r="Q270" s="74"/>
      <c r="R270" s="74"/>
      <c r="S270" s="204">
        <f>22000+P270</f>
        <v>15133</v>
      </c>
    </row>
    <row r="271" spans="2:19" ht="12.75">
      <c r="B271" s="45"/>
      <c r="C271" s="45"/>
      <c r="G271" s="191"/>
      <c r="H271" s="74"/>
      <c r="I271" s="74" t="s">
        <v>312</v>
      </c>
      <c r="J271" s="197">
        <f>-M272-K270</f>
        <v>-27365</v>
      </c>
      <c r="K271" s="203"/>
      <c r="L271" s="74"/>
      <c r="M271" s="196"/>
      <c r="N271" s="74"/>
      <c r="O271" s="74"/>
      <c r="P271" s="74"/>
      <c r="Q271" s="74"/>
      <c r="R271" s="74"/>
      <c r="S271" s="161"/>
    </row>
    <row r="272" spans="2:19" ht="12.75">
      <c r="B272"/>
      <c r="C272"/>
      <c r="G272" s="191"/>
      <c r="H272" s="74"/>
      <c r="I272" s="74"/>
      <c r="J272" s="196">
        <f>SUM(J258:J271)</f>
        <v>-31733</v>
      </c>
      <c r="K272" s="74"/>
      <c r="L272" s="74"/>
      <c r="M272" s="196">
        <f>M267-M270</f>
        <v>31733</v>
      </c>
      <c r="N272" s="74"/>
      <c r="O272" s="74"/>
      <c r="P272" s="74"/>
      <c r="Q272" s="74"/>
      <c r="R272" s="74"/>
      <c r="S272" s="161"/>
    </row>
    <row r="273" spans="2:19" ht="12.75">
      <c r="B273"/>
      <c r="C273"/>
      <c r="G273" s="191"/>
      <c r="H273" s="74" t="s">
        <v>313</v>
      </c>
      <c r="I273" s="74"/>
      <c r="J273" s="196"/>
      <c r="K273" s="74"/>
      <c r="L273" s="74"/>
      <c r="M273" s="74"/>
      <c r="N273" s="74"/>
      <c r="O273" s="74"/>
      <c r="P273" s="74"/>
      <c r="Q273" s="74"/>
      <c r="R273" s="74"/>
      <c r="S273" s="161"/>
    </row>
    <row r="274" spans="2:19" ht="12.75">
      <c r="B274"/>
      <c r="C274"/>
      <c r="G274" s="191"/>
      <c r="H274" s="74"/>
      <c r="I274" s="74" t="s">
        <v>314</v>
      </c>
      <c r="J274" s="196">
        <v>3915</v>
      </c>
      <c r="K274" s="74"/>
      <c r="L274" s="74"/>
      <c r="M274" s="74"/>
      <c r="N274" s="74"/>
      <c r="O274" s="74"/>
      <c r="P274" s="74"/>
      <c r="Q274" s="74"/>
      <c r="R274" s="74"/>
      <c r="S274" s="161"/>
    </row>
    <row r="275" spans="2:19" ht="12.75">
      <c r="B275"/>
      <c r="C275"/>
      <c r="G275" s="191"/>
      <c r="H275" s="74"/>
      <c r="I275" s="74"/>
      <c r="J275" s="196"/>
      <c r="K275" s="74"/>
      <c r="L275" s="74"/>
      <c r="M275" s="203">
        <f>M272+K270</f>
        <v>27365</v>
      </c>
      <c r="N275" s="74"/>
      <c r="O275" s="74"/>
      <c r="P275" s="74"/>
      <c r="Q275" s="74"/>
      <c r="R275" s="74"/>
      <c r="S275" s="161"/>
    </row>
    <row r="276" spans="2:19" ht="13.5" thickBot="1">
      <c r="B276"/>
      <c r="C276"/>
      <c r="G276" s="191"/>
      <c r="H276" s="205" t="s">
        <v>315</v>
      </c>
      <c r="I276" s="74"/>
      <c r="J276" s="208">
        <f>SUM(J272:J275)</f>
        <v>-27818</v>
      </c>
      <c r="K276" s="74"/>
      <c r="L276" s="74"/>
      <c r="M276" s="203"/>
      <c r="N276" s="74"/>
      <c r="O276" s="74"/>
      <c r="P276" s="74"/>
      <c r="Q276" s="74"/>
      <c r="R276" s="74"/>
      <c r="S276" s="161"/>
    </row>
    <row r="277" spans="2:19" ht="13.5" thickTop="1">
      <c r="B277" s="45"/>
      <c r="C277" s="45"/>
      <c r="G277" s="206"/>
      <c r="H277" s="207"/>
      <c r="I277" s="207"/>
      <c r="J277" s="197"/>
      <c r="K277" s="207"/>
      <c r="L277" s="74"/>
      <c r="M277" s="203"/>
      <c r="N277" s="207"/>
      <c r="O277" s="207"/>
      <c r="P277" s="207"/>
      <c r="Q277" s="207"/>
      <c r="R277" s="207"/>
      <c r="S277" s="153"/>
    </row>
    <row r="278" spans="2:19" ht="12.75">
      <c r="B278"/>
      <c r="C278"/>
      <c r="J278" s="209"/>
      <c r="L278" s="207"/>
      <c r="M278" s="207"/>
      <c r="S278" s="153"/>
    </row>
    <row r="279" spans="2:19" ht="12.75">
      <c r="B279" s="66"/>
      <c r="C279" s="66"/>
      <c r="J279" s="209"/>
      <c r="L279" s="74"/>
      <c r="M279" s="74"/>
    </row>
    <row r="280" spans="2:19" ht="12.75">
      <c r="B280"/>
      <c r="C280"/>
      <c r="J280" s="209">
        <f>551878-11621</f>
        <v>540257</v>
      </c>
      <c r="L280" s="74"/>
      <c r="M280" s="74"/>
    </row>
    <row r="281" spans="2:19" ht="12.75">
      <c r="B281"/>
      <c r="C281"/>
      <c r="J281" s="209"/>
      <c r="L281" s="74"/>
      <c r="M281" s="74"/>
    </row>
    <row r="282" spans="2:19" ht="12.75">
      <c r="B282"/>
      <c r="C282"/>
      <c r="J282" s="209"/>
      <c r="L282" s="74"/>
      <c r="M282" s="74"/>
    </row>
    <row r="283" spans="2:19" ht="12.75">
      <c r="B283"/>
      <c r="C283"/>
      <c r="J283" s="209"/>
      <c r="L283" s="74"/>
    </row>
    <row r="284" spans="2:19" ht="12.75">
      <c r="B284"/>
      <c r="C284"/>
      <c r="J284" s="209"/>
    </row>
    <row r="285" spans="2:19" ht="12.75">
      <c r="B285"/>
      <c r="C285"/>
      <c r="J285" s="209"/>
    </row>
    <row r="286" spans="2:19" ht="12.75">
      <c r="B286"/>
      <c r="C286"/>
      <c r="J286" s="209"/>
    </row>
    <row r="287" spans="2:19" ht="12.75">
      <c r="B287"/>
      <c r="C287"/>
      <c r="J287" s="209"/>
    </row>
    <row r="288" spans="2:19" ht="12.75">
      <c r="B288"/>
      <c r="C288"/>
      <c r="J288" s="209"/>
    </row>
    <row r="289" spans="2:10" ht="12.75">
      <c r="B289"/>
      <c r="C289"/>
      <c r="J289" s="209"/>
    </row>
    <row r="290" spans="2:10" ht="12.75">
      <c r="B290"/>
      <c r="C290"/>
      <c r="J290" s="209"/>
    </row>
    <row r="291" spans="2:10" ht="12.75">
      <c r="B291"/>
      <c r="C291"/>
      <c r="J291" s="209"/>
    </row>
    <row r="292" spans="2:10" ht="12.75">
      <c r="B292"/>
      <c r="C292"/>
      <c r="J292" s="209"/>
    </row>
    <row r="293" spans="2:10" ht="12.75">
      <c r="B293"/>
      <c r="C293"/>
      <c r="J293" s="209"/>
    </row>
    <row r="294" spans="2:10" ht="12.75">
      <c r="B294"/>
      <c r="C294"/>
      <c r="J294" s="209"/>
    </row>
    <row r="295" spans="2:10" ht="12.75">
      <c r="B295"/>
      <c r="C295"/>
      <c r="J295" s="209"/>
    </row>
    <row r="296" spans="2:10" ht="12.75">
      <c r="B296"/>
      <c r="C296"/>
      <c r="J296" s="209"/>
    </row>
    <row r="297" spans="2:10" ht="12.75">
      <c r="B297" s="210"/>
      <c r="C297" s="210"/>
      <c r="J297" s="209"/>
    </row>
    <row r="298" spans="2:10" ht="12.75">
      <c r="B298" s="210"/>
      <c r="C298" s="210"/>
      <c r="J298" s="209"/>
    </row>
    <row r="299" spans="2:10" ht="12.75">
      <c r="B299"/>
      <c r="C299"/>
      <c r="J299" s="209"/>
    </row>
    <row r="300" spans="2:10" ht="12.75">
      <c r="B300"/>
      <c r="C300"/>
      <c r="J300" s="209"/>
    </row>
    <row r="301" spans="2:10">
      <c r="J301" s="209"/>
    </row>
    <row r="302" spans="2:10">
      <c r="J302" s="209"/>
    </row>
    <row r="303" spans="2:10">
      <c r="J303" s="209"/>
    </row>
    <row r="304" spans="2:10">
      <c r="J304" s="209"/>
    </row>
    <row r="305" spans="10:10">
      <c r="J305" s="209"/>
    </row>
    <row r="306" spans="10:10">
      <c r="J306" s="209"/>
    </row>
    <row r="307" spans="10:10">
      <c r="J307" s="209"/>
    </row>
    <row r="308" spans="10:10">
      <c r="J308" s="209"/>
    </row>
    <row r="309" spans="10:10">
      <c r="J309" s="209"/>
    </row>
    <row r="310" spans="10:10">
      <c r="J310" s="209"/>
    </row>
    <row r="311" spans="10:10">
      <c r="J311" s="209"/>
    </row>
    <row r="312" spans="10:10">
      <c r="J312" s="209"/>
    </row>
    <row r="313" spans="10:10">
      <c r="J313" s="209"/>
    </row>
    <row r="314" spans="10:10">
      <c r="J314" s="209"/>
    </row>
    <row r="315" spans="10:10">
      <c r="J315" s="209"/>
    </row>
    <row r="316" spans="10:10">
      <c r="J316" s="209"/>
    </row>
    <row r="317" spans="10:10">
      <c r="J317" s="209"/>
    </row>
    <row r="318" spans="10:10">
      <c r="J318" s="209"/>
    </row>
    <row r="319" spans="10:10">
      <c r="J319" s="209"/>
    </row>
    <row r="320" spans="10:10">
      <c r="J320" s="209"/>
    </row>
    <row r="321" spans="10:10">
      <c r="J321" s="209"/>
    </row>
    <row r="322" spans="10:10">
      <c r="J322" s="209"/>
    </row>
    <row r="323" spans="10:10">
      <c r="J323" s="209"/>
    </row>
    <row r="324" spans="10:10">
      <c r="J324" s="209"/>
    </row>
    <row r="325" spans="10:10">
      <c r="J325" s="209"/>
    </row>
    <row r="326" spans="10:10">
      <c r="J326" s="209"/>
    </row>
    <row r="327" spans="10:10">
      <c r="J327" s="209"/>
    </row>
    <row r="328" spans="10:10">
      <c r="J328" s="209"/>
    </row>
    <row r="329" spans="10:10">
      <c r="J329" s="209"/>
    </row>
    <row r="330" spans="10:10">
      <c r="J330" s="209"/>
    </row>
    <row r="331" spans="10:10">
      <c r="J331" s="209"/>
    </row>
    <row r="332" spans="10:10">
      <c r="J332" s="209"/>
    </row>
    <row r="333" spans="10:10">
      <c r="J333" s="209"/>
    </row>
    <row r="334" spans="10:10">
      <c r="J334" s="209"/>
    </row>
    <row r="335" spans="10:10">
      <c r="J335" s="209"/>
    </row>
    <row r="336" spans="10:10">
      <c r="J336" s="209"/>
    </row>
    <row r="337" spans="10:10">
      <c r="J337" s="209"/>
    </row>
    <row r="338" spans="10:10">
      <c r="J338" s="209"/>
    </row>
    <row r="339" spans="10:10">
      <c r="J339" s="209"/>
    </row>
    <row r="340" spans="10:10">
      <c r="J340" s="209"/>
    </row>
    <row r="341" spans="10:10">
      <c r="J341" s="209"/>
    </row>
    <row r="342" spans="10:10">
      <c r="J342" s="209"/>
    </row>
    <row r="343" spans="10:10">
      <c r="J343" s="209"/>
    </row>
    <row r="344" spans="10:10">
      <c r="J344" s="209"/>
    </row>
    <row r="345" spans="10:10">
      <c r="J345" s="209"/>
    </row>
    <row r="346" spans="10:10">
      <c r="J346" s="209"/>
    </row>
    <row r="347" spans="10:10">
      <c r="J347" s="209"/>
    </row>
    <row r="348" spans="10:10">
      <c r="J348" s="209"/>
    </row>
    <row r="349" spans="10:10">
      <c r="J349" s="209"/>
    </row>
    <row r="350" spans="10:10">
      <c r="J350" s="209"/>
    </row>
    <row r="351" spans="10:10">
      <c r="J351" s="209"/>
    </row>
    <row r="352" spans="10:10">
      <c r="J352" s="209"/>
    </row>
    <row r="353" spans="10:10">
      <c r="J353" s="209"/>
    </row>
    <row r="354" spans="10:10">
      <c r="J354" s="209"/>
    </row>
    <row r="355" spans="10:10">
      <c r="J355" s="209"/>
    </row>
    <row r="356" spans="10:10">
      <c r="J356" s="209"/>
    </row>
    <row r="357" spans="10:10">
      <c r="J357" s="209"/>
    </row>
    <row r="358" spans="10:10">
      <c r="J358" s="209"/>
    </row>
    <row r="359" spans="10:10">
      <c r="J359" s="209"/>
    </row>
    <row r="360" spans="10:10">
      <c r="J360" s="209"/>
    </row>
    <row r="361" spans="10:10">
      <c r="J361" s="209"/>
    </row>
    <row r="362" spans="10:10">
      <c r="J362" s="209"/>
    </row>
    <row r="363" spans="10:10">
      <c r="J363" s="209"/>
    </row>
    <row r="364" spans="10:10">
      <c r="J364" s="209"/>
    </row>
    <row r="365" spans="10:10">
      <c r="J365" s="209"/>
    </row>
    <row r="366" spans="10:10">
      <c r="J366" s="209"/>
    </row>
    <row r="367" spans="10:10">
      <c r="J367" s="209"/>
    </row>
    <row r="368" spans="10:10">
      <c r="J368" s="209"/>
    </row>
    <row r="369" spans="10:10">
      <c r="J369" s="209"/>
    </row>
    <row r="370" spans="10:10">
      <c r="J370" s="209"/>
    </row>
    <row r="371" spans="10:10">
      <c r="J371" s="209"/>
    </row>
    <row r="372" spans="10:10">
      <c r="J372" s="209"/>
    </row>
    <row r="373" spans="10:10">
      <c r="J373" s="209"/>
    </row>
    <row r="374" spans="10:10">
      <c r="J374" s="209"/>
    </row>
    <row r="375" spans="10:10">
      <c r="J375" s="209"/>
    </row>
    <row r="376" spans="10:10">
      <c r="J376" s="209"/>
    </row>
    <row r="377" spans="10:10">
      <c r="J377" s="209"/>
    </row>
    <row r="378" spans="10:10">
      <c r="J378" s="209"/>
    </row>
    <row r="379" spans="10:10">
      <c r="J379" s="209"/>
    </row>
    <row r="380" spans="10:10">
      <c r="J380" s="209"/>
    </row>
  </sheetData>
  <mergeCells count="6">
    <mergeCell ref="A131:C131"/>
    <mergeCell ref="K6:L6"/>
    <mergeCell ref="I31:J31"/>
    <mergeCell ref="I36:J36"/>
    <mergeCell ref="I43:J43"/>
    <mergeCell ref="A31:D31"/>
  </mergeCells>
  <printOptions horizontalCentered="1" verticalCentered="1"/>
  <pageMargins left="0.25" right="0.25" top="0.75" bottom="0.25" header="0" footer="0.25"/>
  <pageSetup scale="57" orientation="portrait" horizontalDpi="4294967292" r:id="rId1"/>
  <headerFooter alignWithMargins="0">
    <oddFooter>&amp;L&amp;8Tx Desk Logistics - Daren Farmer&amp;R&amp;8&amp;D
&amp;T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J378"/>
  <sheetViews>
    <sheetView showGridLines="0" topLeftCell="A7" zoomScale="80" workbookViewId="0">
      <selection activeCell="E41" sqref="E41"/>
    </sheetView>
  </sheetViews>
  <sheetFormatPr defaultRowHeight="12"/>
  <cols>
    <col min="1" max="2" width="12.140625" style="12" customWidth="1"/>
    <col min="3" max="3" width="11.28515625" style="12" customWidth="1"/>
    <col min="4" max="4" width="11.85546875" style="12" customWidth="1"/>
    <col min="5" max="5" width="11.5703125" style="12" customWidth="1"/>
    <col min="6" max="6" width="11.7109375" style="12" customWidth="1"/>
    <col min="7" max="7" width="11.85546875" style="12" customWidth="1"/>
    <col min="8" max="8" width="11.7109375" style="12" customWidth="1"/>
    <col min="9" max="9" width="11.85546875" style="12" customWidth="1"/>
    <col min="10" max="10" width="8.7109375" style="12" customWidth="1"/>
    <col min="11" max="11" width="11.85546875" style="12" customWidth="1"/>
    <col min="12" max="12" width="9.140625" style="12"/>
    <col min="13" max="13" width="11" style="12" bestFit="1" customWidth="1"/>
    <col min="14" max="14" width="9.140625" style="12"/>
    <col min="15" max="15" width="5.5703125" style="12" customWidth="1"/>
    <col min="16" max="16384" width="9.140625" style="12"/>
  </cols>
  <sheetData>
    <row r="1" spans="1:16" s="7" customFormat="1" ht="16.5" thickBot="1">
      <c r="A1" s="1" t="s">
        <v>374</v>
      </c>
      <c r="B1" s="2"/>
      <c r="C1" s="3"/>
      <c r="D1" s="4"/>
      <c r="E1" s="2"/>
      <c r="F1" s="2"/>
      <c r="G1" s="2"/>
      <c r="H1" s="5"/>
      <c r="I1" s="6"/>
    </row>
    <row r="2" spans="1:16" ht="12.75">
      <c r="A2" s="8"/>
      <c r="B2" s="9"/>
      <c r="C2" s="9"/>
      <c r="D2" s="10"/>
      <c r="E2" s="10"/>
      <c r="F2" s="10"/>
      <c r="G2" s="9"/>
      <c r="H2" s="11"/>
    </row>
    <row r="3" spans="1:16" ht="13.5" thickBot="1">
      <c r="A3" s="13"/>
      <c r="B3" s="14"/>
      <c r="C3" s="15"/>
      <c r="D3" s="10"/>
      <c r="E3" s="15"/>
      <c r="F3" s="15"/>
      <c r="G3" s="15"/>
      <c r="H3" s="11"/>
    </row>
    <row r="4" spans="1:16" ht="12.75">
      <c r="A4" s="16"/>
      <c r="B4" s="9"/>
      <c r="C4" s="9"/>
      <c r="D4" s="17" t="s">
        <v>442</v>
      </c>
      <c r="E4" s="18"/>
      <c r="F4" s="18"/>
      <c r="G4" s="19"/>
      <c r="H4" s="20"/>
      <c r="L4"/>
    </row>
    <row r="5" spans="1:16" ht="13.5" thickBot="1">
      <c r="A5" s="21"/>
      <c r="B5" s="22"/>
      <c r="C5" s="22"/>
      <c r="D5" s="233" t="s">
        <v>328</v>
      </c>
      <c r="E5" s="23" t="s">
        <v>419</v>
      </c>
      <c r="F5" s="23" t="str">
        <f>D4</f>
        <v>Apr</v>
      </c>
      <c r="G5" s="24" t="str">
        <f>+F5</f>
        <v>Apr</v>
      </c>
      <c r="H5" s="25" t="str">
        <f>+F5</f>
        <v>Apr</v>
      </c>
      <c r="L5"/>
    </row>
    <row r="6" spans="1:16" ht="13.5" thickBot="1">
      <c r="A6" s="21"/>
      <c r="B6" s="22"/>
      <c r="C6" s="22"/>
      <c r="D6" s="26" t="s">
        <v>1</v>
      </c>
      <c r="E6" s="309" t="s">
        <v>328</v>
      </c>
      <c r="F6" s="27">
        <v>99</v>
      </c>
      <c r="G6" s="28" t="s">
        <v>2</v>
      </c>
      <c r="H6" s="29" t="s">
        <v>3</v>
      </c>
      <c r="I6" s="30"/>
      <c r="K6" s="424" t="s">
        <v>4</v>
      </c>
      <c r="L6" s="425"/>
    </row>
    <row r="7" spans="1:16" ht="12.75">
      <c r="A7" s="31" t="s">
        <v>5</v>
      </c>
      <c r="B7" s="22"/>
      <c r="D7" s="32">
        <f>C209+C229</f>
        <v>421.44000000000005</v>
      </c>
      <c r="E7" s="219">
        <f>(20767.228*0.75)/22-E11-E12</f>
        <v>496.04472943722931</v>
      </c>
      <c r="F7" s="32">
        <v>476.6</v>
      </c>
      <c r="G7" s="220">
        <f>D7*1.1</f>
        <v>463.58400000000012</v>
      </c>
      <c r="H7" s="221">
        <f>D7*0.9</f>
        <v>379.29600000000005</v>
      </c>
      <c r="I7" s="33"/>
      <c r="K7" s="34" t="s">
        <v>6</v>
      </c>
      <c r="L7" s="35">
        <f>C138</f>
        <v>3</v>
      </c>
      <c r="N7"/>
      <c r="O7"/>
    </row>
    <row r="8" spans="1:16" ht="12.75">
      <c r="A8" s="31" t="s">
        <v>423</v>
      </c>
      <c r="B8" s="22"/>
      <c r="C8" s="36"/>
      <c r="D8" s="37">
        <f>73+80</f>
        <v>153</v>
      </c>
      <c r="E8" s="219">
        <f>(1524.828/21)+(1621.486/21)</f>
        <v>149.82447619047619</v>
      </c>
      <c r="F8" s="37">
        <v>110.1</v>
      </c>
      <c r="G8" s="222">
        <f>73+105</f>
        <v>178</v>
      </c>
      <c r="H8" s="221">
        <f>65.7+60</f>
        <v>125.7</v>
      </c>
      <c r="I8" s="30"/>
      <c r="K8" s="38" t="s">
        <v>7</v>
      </c>
      <c r="L8" s="39">
        <f>C139+C213</f>
        <v>0</v>
      </c>
      <c r="N8"/>
      <c r="O8"/>
    </row>
    <row r="9" spans="1:16" ht="12.75">
      <c r="A9" s="31" t="s">
        <v>8</v>
      </c>
      <c r="B9" s="22"/>
      <c r="C9" s="10"/>
      <c r="D9" s="37">
        <v>20</v>
      </c>
      <c r="E9" s="219">
        <f>731.463/21</f>
        <v>34.831571428571429</v>
      </c>
      <c r="F9" s="37">
        <v>29.6</v>
      </c>
      <c r="G9" s="222">
        <v>60</v>
      </c>
      <c r="H9" s="221">
        <v>20</v>
      </c>
      <c r="I9" s="30"/>
      <c r="K9" s="38" t="s">
        <v>9</v>
      </c>
      <c r="L9" s="263">
        <f>C144+C215</f>
        <v>20</v>
      </c>
      <c r="N9"/>
      <c r="O9"/>
    </row>
    <row r="10" spans="1:16" ht="12.75">
      <c r="A10" s="31" t="s">
        <v>10</v>
      </c>
      <c r="B10" s="22"/>
      <c r="C10" s="22"/>
      <c r="D10" s="37">
        <f>31.723+10</f>
        <v>41.722999999999999</v>
      </c>
      <c r="E10" s="219">
        <f>(624.101/21)+(10.786/21)</f>
        <v>30.232714285714287</v>
      </c>
      <c r="F10" s="37">
        <v>80.5</v>
      </c>
      <c r="G10" s="222">
        <v>0</v>
      </c>
      <c r="H10" s="221">
        <v>0</v>
      </c>
      <c r="I10" s="40"/>
      <c r="K10" s="38" t="s">
        <v>11</v>
      </c>
      <c r="L10" s="39">
        <f>C146+C216</f>
        <v>0</v>
      </c>
      <c r="N10"/>
      <c r="O10"/>
    </row>
    <row r="11" spans="1:16" ht="12.75">
      <c r="A11" s="31" t="s">
        <v>330</v>
      </c>
      <c r="B11" s="22"/>
      <c r="C11" s="22"/>
      <c r="D11" s="37">
        <f>100+15+0.4</f>
        <v>115.4</v>
      </c>
      <c r="E11" s="219">
        <f>+(323.906+2011.786+156)/21</f>
        <v>118.652</v>
      </c>
      <c r="F11" s="37">
        <v>60.8</v>
      </c>
      <c r="G11" s="222">
        <v>145</v>
      </c>
      <c r="H11" s="221">
        <v>90</v>
      </c>
      <c r="I11" s="30"/>
      <c r="K11" s="38" t="s">
        <v>12</v>
      </c>
      <c r="L11" s="39">
        <f>C154+C217</f>
        <v>0</v>
      </c>
      <c r="N11"/>
      <c r="O11"/>
    </row>
    <row r="12" spans="1:16" ht="12.75">
      <c r="A12" s="31" t="s">
        <v>13</v>
      </c>
      <c r="B12" s="22"/>
      <c r="C12" s="22"/>
      <c r="D12" s="37">
        <v>90</v>
      </c>
      <c r="E12" s="219">
        <f>+(840.032+66.778+1049.968+3.712)/21-(1.674/21)</f>
        <v>93.276952380952395</v>
      </c>
      <c r="F12" s="37">
        <v>107.3</v>
      </c>
      <c r="G12" s="222">
        <f>90*1.05</f>
        <v>94.5</v>
      </c>
      <c r="H12" s="221">
        <f>90*0.95</f>
        <v>85.5</v>
      </c>
      <c r="I12" s="30"/>
      <c r="K12" s="38" t="s">
        <v>14</v>
      </c>
      <c r="L12" s="39">
        <f>C164+C220</f>
        <v>80</v>
      </c>
      <c r="N12"/>
      <c r="O12"/>
    </row>
    <row r="13" spans="1:16" ht="12.75">
      <c r="A13" s="31" t="s">
        <v>15</v>
      </c>
      <c r="B13" s="22"/>
      <c r="C13" s="22"/>
      <c r="D13" s="37">
        <f>30+20</f>
        <v>50</v>
      </c>
      <c r="E13" s="219">
        <v>55.987000000000002</v>
      </c>
      <c r="F13" s="37">
        <v>77.98</v>
      </c>
      <c r="G13" s="222">
        <v>180</v>
      </c>
      <c r="H13" s="221">
        <v>0</v>
      </c>
      <c r="I13" s="30"/>
      <c r="J13"/>
      <c r="K13" s="38" t="s">
        <v>16</v>
      </c>
      <c r="L13" s="39">
        <f>C163+C219</f>
        <v>34</v>
      </c>
      <c r="N13"/>
      <c r="O13"/>
    </row>
    <row r="14" spans="1:16" ht="12.75">
      <c r="A14" s="31" t="s">
        <v>17</v>
      </c>
      <c r="B14" s="22"/>
      <c r="C14" s="22"/>
      <c r="D14" s="37">
        <f>B92</f>
        <v>2.867</v>
      </c>
      <c r="E14" s="219">
        <f>'Mar prebid'!D14</f>
        <v>5.3579999999999997</v>
      </c>
      <c r="F14" s="37">
        <v>4.5</v>
      </c>
      <c r="G14" s="222">
        <f>D14*1.05</f>
        <v>3.0103500000000003</v>
      </c>
      <c r="H14" s="221">
        <f>D14*0.95</f>
        <v>2.7236499999999997</v>
      </c>
      <c r="I14" s="30"/>
      <c r="K14" s="38" t="s">
        <v>18</v>
      </c>
      <c r="L14" s="39">
        <f>C167+C221</f>
        <v>30</v>
      </c>
      <c r="N14"/>
      <c r="O14"/>
    </row>
    <row r="15" spans="1:16" ht="12.75">
      <c r="A15" s="31" t="s">
        <v>373</v>
      </c>
      <c r="B15" s="22"/>
      <c r="C15" s="368" t="s">
        <v>454</v>
      </c>
      <c r="D15" s="37">
        <f>SUM(D16:D18)</f>
        <v>157.81</v>
      </c>
      <c r="E15" s="219">
        <f>SUM(E16:E18)</f>
        <v>201.66399999999999</v>
      </c>
      <c r="F15" s="37">
        <f>SUM(F16:F18)</f>
        <v>96.22999999999999</v>
      </c>
      <c r="G15" s="222">
        <v>1174</v>
      </c>
      <c r="H15" s="221">
        <v>0</v>
      </c>
      <c r="I15" s="30"/>
      <c r="K15" s="38" t="s">
        <v>20</v>
      </c>
      <c r="L15" s="39">
        <f>C178+C223</f>
        <v>15</v>
      </c>
      <c r="N15"/>
      <c r="O15"/>
    </row>
    <row r="16" spans="1:16" ht="12.75">
      <c r="A16" s="31" t="s">
        <v>368</v>
      </c>
      <c r="B16" s="41"/>
      <c r="C16" s="22"/>
      <c r="D16" s="213">
        <v>95.668999999999997</v>
      </c>
      <c r="E16" s="219">
        <v>137.536</v>
      </c>
      <c r="F16" s="37">
        <v>31.712</v>
      </c>
      <c r="G16" s="222"/>
      <c r="H16" s="221"/>
      <c r="I16" s="30"/>
      <c r="K16" s="38" t="s">
        <v>22</v>
      </c>
      <c r="L16" s="39">
        <f>C135</f>
        <v>0</v>
      </c>
      <c r="N16"/>
      <c r="O16"/>
      <c r="P16"/>
    </row>
    <row r="17" spans="1:36" ht="12.75">
      <c r="A17" s="31" t="s">
        <v>369</v>
      </c>
      <c r="B17" s="41"/>
      <c r="C17" s="22"/>
      <c r="D17" s="213">
        <v>3</v>
      </c>
      <c r="E17" s="219">
        <v>7.194</v>
      </c>
      <c r="F17" s="37">
        <v>6.2830000000000004</v>
      </c>
      <c r="G17" s="222"/>
      <c r="H17" s="221"/>
      <c r="I17" s="30"/>
      <c r="K17" s="38" t="s">
        <v>24</v>
      </c>
      <c r="L17" s="39">
        <f>C195+C225</f>
        <v>40</v>
      </c>
      <c r="N17"/>
      <c r="O17"/>
      <c r="P17"/>
    </row>
    <row r="18" spans="1:36" ht="12.75">
      <c r="A18" s="31" t="s">
        <v>370</v>
      </c>
      <c r="B18" s="41"/>
      <c r="C18" s="22"/>
      <c r="D18" s="213">
        <v>59.140999999999998</v>
      </c>
      <c r="E18" s="219">
        <v>56.933999999999997</v>
      </c>
      <c r="F18" s="37">
        <v>58.234999999999999</v>
      </c>
      <c r="G18" s="222"/>
      <c r="H18" s="221"/>
      <c r="I18" s="30"/>
      <c r="K18" s="38" t="s">
        <v>26</v>
      </c>
      <c r="L18" s="39">
        <f>C196</f>
        <v>15</v>
      </c>
      <c r="N18"/>
      <c r="O18"/>
      <c r="P18"/>
    </row>
    <row r="19" spans="1:36" ht="13.5" thickBot="1">
      <c r="A19" s="31" t="s">
        <v>21</v>
      </c>
      <c r="B19" s="36"/>
      <c r="C19" s="36"/>
      <c r="D19" s="37">
        <f>F93-B92</f>
        <v>274.78199999999998</v>
      </c>
      <c r="E19" s="219">
        <f>'Mar prebid'!D19</f>
        <v>220.48099999999999</v>
      </c>
      <c r="F19" s="37">
        <v>0</v>
      </c>
      <c r="G19" s="222">
        <v>0</v>
      </c>
      <c r="H19" s="221">
        <v>0</v>
      </c>
      <c r="I19" s="42"/>
      <c r="K19" s="47" t="s">
        <v>28</v>
      </c>
      <c r="L19" s="48">
        <f>C200+C228</f>
        <v>59.167000000000002</v>
      </c>
      <c r="N19"/>
      <c r="O19"/>
    </row>
    <row r="20" spans="1:36" ht="12.75">
      <c r="A20" s="31" t="s">
        <v>23</v>
      </c>
      <c r="B20" s="22"/>
      <c r="C20" s="22"/>
      <c r="D20" s="43">
        <f>SUM(D7:D19)-D15</f>
        <v>1327.0220000000002</v>
      </c>
      <c r="E20" s="43">
        <f>SUM(E7:E19)-E15</f>
        <v>1406.3524437229437</v>
      </c>
      <c r="F20" s="43">
        <f>SUM(F7:F19)-F15</f>
        <v>1043.6099999999997</v>
      </c>
      <c r="G20" s="44">
        <f>SUM(G7:G19)</f>
        <v>2298.0943500000003</v>
      </c>
      <c r="H20" s="231">
        <f>SUM(H7:H19)</f>
        <v>703.21965000000012</v>
      </c>
      <c r="I20" s="33"/>
      <c r="L20"/>
      <c r="N20"/>
      <c r="O20" s="45"/>
    </row>
    <row r="21" spans="1:36" ht="12.75">
      <c r="A21" s="31" t="s">
        <v>25</v>
      </c>
      <c r="B21" s="22"/>
      <c r="C21" s="22"/>
      <c r="D21" s="46">
        <f>D32</f>
        <v>0</v>
      </c>
      <c r="E21" s="224">
        <v>-64.516129032258064</v>
      </c>
      <c r="F21" s="225">
        <v>0</v>
      </c>
      <c r="G21" s="226">
        <v>0</v>
      </c>
      <c r="H21" s="227">
        <v>0</v>
      </c>
      <c r="I21" s="30"/>
      <c r="L21"/>
      <c r="N21" s="45"/>
      <c r="O21"/>
    </row>
    <row r="22" spans="1:36" ht="12.75">
      <c r="A22" s="31" t="s">
        <v>475</v>
      </c>
      <c r="B22" s="22"/>
      <c r="C22" s="22"/>
      <c r="D22" s="37">
        <v>2.5</v>
      </c>
      <c r="E22" s="37">
        <v>2.5</v>
      </c>
      <c r="F22" s="37">
        <v>2.5</v>
      </c>
      <c r="G22" s="228">
        <v>0</v>
      </c>
      <c r="H22" s="227">
        <v>0</v>
      </c>
      <c r="I22" s="30"/>
      <c r="L22"/>
      <c r="N22"/>
    </row>
    <row r="23" spans="1:36" ht="12.75">
      <c r="A23" s="49"/>
      <c r="B23" s="22"/>
      <c r="C23" s="50" t="s">
        <v>29</v>
      </c>
      <c r="D23" s="314">
        <f>D22+D21+D20</f>
        <v>1329.5220000000002</v>
      </c>
      <c r="E23" s="44">
        <f>E22+E21+E20</f>
        <v>1344.3363146906856</v>
      </c>
      <c r="F23" s="44">
        <f>F22+F21+F20</f>
        <v>1046.1099999999997</v>
      </c>
      <c r="G23" s="44">
        <f>G22+G21+G20</f>
        <v>2298.0943500000003</v>
      </c>
      <c r="H23" s="232">
        <f>H22+H21+H20</f>
        <v>703.21965000000012</v>
      </c>
      <c r="I23" s="30"/>
      <c r="L23"/>
    </row>
    <row r="24" spans="1:36" ht="12.75">
      <c r="A24" s="31" t="s">
        <v>30</v>
      </c>
      <c r="B24" s="22"/>
      <c r="C24" s="22"/>
      <c r="D24" s="46">
        <f>D44</f>
        <v>1273.51</v>
      </c>
      <c r="E24" s="312">
        <f>'Mar prebid'!D24</f>
        <v>1494.069</v>
      </c>
      <c r="F24" s="312">
        <v>1660</v>
      </c>
      <c r="G24" s="313">
        <f>D24</f>
        <v>1273.51</v>
      </c>
      <c r="H24" s="311">
        <f>D24</f>
        <v>1273.51</v>
      </c>
      <c r="I24" s="30"/>
      <c r="L24"/>
    </row>
    <row r="25" spans="1:36" ht="12.75">
      <c r="A25" s="315" t="s">
        <v>334</v>
      </c>
      <c r="B25" s="22"/>
      <c r="C25" s="22"/>
      <c r="D25" s="46">
        <v>109</v>
      </c>
      <c r="E25" s="37">
        <f>'Mar prebid'!D25</f>
        <v>53.755000000000003</v>
      </c>
      <c r="F25" s="37"/>
      <c r="G25" s="225"/>
      <c r="H25" s="227"/>
      <c r="I25" s="30"/>
      <c r="L25"/>
    </row>
    <row r="26" spans="1:36" ht="13.5" thickBot="1">
      <c r="A26" s="51"/>
      <c r="B26" s="52"/>
      <c r="C26" s="53" t="s">
        <v>31</v>
      </c>
      <c r="D26" s="54">
        <f>D24+D25-D23</f>
        <v>52.987999999999829</v>
      </c>
      <c r="E26" s="54">
        <f>E24-E23+E25</f>
        <v>203.48768530931432</v>
      </c>
      <c r="F26" s="54">
        <f>F24-F23</f>
        <v>613.89000000000033</v>
      </c>
      <c r="G26" s="54">
        <f>+G23-G24</f>
        <v>1024.5843500000003</v>
      </c>
      <c r="H26" s="54">
        <f>+(H23-H24)</f>
        <v>-570.29034999999988</v>
      </c>
      <c r="I26" s="33"/>
      <c r="L26"/>
    </row>
    <row r="27" spans="1:36" ht="4.5" customHeight="1">
      <c r="A27" s="55"/>
      <c r="B27" s="22"/>
      <c r="C27" s="56"/>
      <c r="D27" s="57"/>
      <c r="E27" s="58"/>
      <c r="F27" s="58"/>
      <c r="G27" s="59"/>
      <c r="H27" s="59"/>
      <c r="I27" s="33"/>
      <c r="K27" s="65"/>
      <c r="L27" s="66"/>
    </row>
    <row r="28" spans="1:36" ht="12.75">
      <c r="A28" s="49"/>
      <c r="C28" s="60" t="s">
        <v>32</v>
      </c>
      <c r="D28" s="238">
        <v>0</v>
      </c>
      <c r="E28" s="58"/>
      <c r="F28" s="58"/>
      <c r="G28" s="58"/>
      <c r="H28" s="58"/>
      <c r="I28" s="33"/>
      <c r="L28"/>
    </row>
    <row r="29" spans="1:36" s="67" customFormat="1" ht="13.5" customHeight="1" thickBot="1">
      <c r="A29" s="61"/>
      <c r="B29" s="62"/>
      <c r="C29" s="63" t="s">
        <v>33</v>
      </c>
      <c r="D29" s="64">
        <f>D26+D28</f>
        <v>52.987999999999829</v>
      </c>
      <c r="E29" s="58"/>
      <c r="F29" s="58"/>
      <c r="G29" s="58"/>
      <c r="H29" s="58"/>
      <c r="I29" s="33"/>
      <c r="J29" s="65"/>
      <c r="K29" s="12"/>
      <c r="L2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</row>
    <row r="30" spans="1:36" ht="8.25" customHeight="1" thickBot="1">
      <c r="A30" s="68"/>
      <c r="B30" s="69"/>
      <c r="C30" s="70"/>
      <c r="D30" s="71"/>
      <c r="E30" s="10"/>
      <c r="F30" s="10"/>
      <c r="G30" s="72"/>
      <c r="H30" s="73"/>
      <c r="I30" s="74"/>
      <c r="K30"/>
    </row>
    <row r="31" spans="1:36" ht="13.5" thickBot="1">
      <c r="A31" s="429" t="s">
        <v>389</v>
      </c>
      <c r="B31" s="430"/>
      <c r="C31" s="430"/>
      <c r="D31" s="431"/>
      <c r="E31" s="75" t="s">
        <v>35</v>
      </c>
      <c r="F31" s="76"/>
      <c r="G31" s="77"/>
      <c r="H31" s="78"/>
      <c r="I31" s="426" t="s">
        <v>36</v>
      </c>
      <c r="J31" s="427"/>
      <c r="K31" s="96"/>
      <c r="L31" s="96"/>
    </row>
    <row r="32" spans="1:36" ht="13.5" thickBot="1">
      <c r="A32" s="31" t="s">
        <v>37</v>
      </c>
      <c r="B32" s="72"/>
      <c r="C32" s="72"/>
      <c r="D32" s="282">
        <f>B33/30</f>
        <v>0</v>
      </c>
      <c r="E32" s="79" t="s">
        <v>38</v>
      </c>
      <c r="F32" s="80"/>
      <c r="G32" s="81" t="s">
        <v>39</v>
      </c>
      <c r="H32" s="82"/>
      <c r="I32" s="83" t="s">
        <v>40</v>
      </c>
      <c r="J32" s="84" t="s">
        <v>41</v>
      </c>
      <c r="K32" s="99"/>
      <c r="L32" s="99"/>
    </row>
    <row r="33" spans="1:12" ht="13.5" thickBot="1">
      <c r="A33" s="85" t="s">
        <v>42</v>
      </c>
      <c r="B33" s="86">
        <v>0</v>
      </c>
      <c r="C33" s="87" t="s">
        <v>43</v>
      </c>
      <c r="D33" s="88"/>
      <c r="E33" s="283" t="s">
        <v>443</v>
      </c>
      <c r="F33" s="284">
        <v>10</v>
      </c>
      <c r="G33" s="90" t="s">
        <v>78</v>
      </c>
      <c r="H33" s="91">
        <v>20</v>
      </c>
      <c r="I33" s="239">
        <f>7.5+20+5+10</f>
        <v>42.5</v>
      </c>
      <c r="J33" s="240">
        <f>20+5+5+5+5+20</f>
        <v>60</v>
      </c>
      <c r="K33" s="74"/>
      <c r="L33" s="74"/>
    </row>
    <row r="34" spans="1:12" ht="13.5" thickBot="1">
      <c r="A34" s="85" t="s">
        <v>44</v>
      </c>
      <c r="B34" s="92">
        <v>0</v>
      </c>
      <c r="C34" s="22"/>
      <c r="D34" s="93"/>
      <c r="E34" s="283" t="s">
        <v>181</v>
      </c>
      <c r="F34" s="284">
        <v>13</v>
      </c>
      <c r="G34" s="90" t="s">
        <v>440</v>
      </c>
      <c r="H34" s="91">
        <v>30</v>
      </c>
      <c r="I34" s="307" t="s">
        <v>45</v>
      </c>
      <c r="J34" s="95">
        <f>+I33-J33</f>
        <v>-17.5</v>
      </c>
      <c r="K34"/>
      <c r="L34"/>
    </row>
    <row r="35" spans="1:12" ht="13.5" thickBot="1">
      <c r="A35" s="97"/>
      <c r="B35" s="52"/>
      <c r="C35" s="52"/>
      <c r="D35" s="98"/>
      <c r="E35" s="283" t="s">
        <v>448</v>
      </c>
      <c r="F35" s="284">
        <v>1.5</v>
      </c>
      <c r="G35" s="90" t="s">
        <v>452</v>
      </c>
      <c r="H35" s="91">
        <v>5</v>
      </c>
      <c r="I35"/>
      <c r="J35"/>
      <c r="K35"/>
      <c r="L35"/>
    </row>
    <row r="36" spans="1:12" ht="13.5" thickBot="1">
      <c r="A36" s="100"/>
      <c r="B36" s="101"/>
      <c r="C36" s="101"/>
      <c r="D36" s="102"/>
      <c r="E36" s="90" t="s">
        <v>92</v>
      </c>
      <c r="F36" s="91">
        <v>5</v>
      </c>
      <c r="G36" s="90" t="s">
        <v>453</v>
      </c>
      <c r="H36" s="91">
        <v>5</v>
      </c>
      <c r="I36" s="426" t="s">
        <v>46</v>
      </c>
      <c r="J36" s="428"/>
      <c r="K36" s="112"/>
      <c r="L36"/>
    </row>
    <row r="37" spans="1:12" ht="13.5" thickBot="1">
      <c r="A37" s="103" t="s">
        <v>47</v>
      </c>
      <c r="B37" s="104"/>
      <c r="C37" s="104"/>
      <c r="D37" s="105"/>
      <c r="E37" s="283" t="s">
        <v>84</v>
      </c>
      <c r="F37" s="284">
        <v>4.5</v>
      </c>
      <c r="G37" s="106" t="s">
        <v>96</v>
      </c>
      <c r="H37" s="107">
        <v>1.1000000000000001</v>
      </c>
      <c r="I37" s="83" t="s">
        <v>48</v>
      </c>
      <c r="J37" s="84" t="s">
        <v>49</v>
      </c>
      <c r="K37" s="112"/>
      <c r="L37"/>
    </row>
    <row r="38" spans="1:12" ht="13.5" thickBot="1">
      <c r="A38" s="31"/>
      <c r="B38" s="22"/>
      <c r="C38" s="22"/>
      <c r="D38" s="108"/>
      <c r="E38" s="365" t="s">
        <v>67</v>
      </c>
      <c r="F38" s="284">
        <v>0.2</v>
      </c>
      <c r="G38" s="106"/>
      <c r="H38" s="107"/>
      <c r="I38" s="305">
        <v>0</v>
      </c>
      <c r="J38" s="241">
        <f>5+10-30</f>
        <v>-15</v>
      </c>
      <c r="K38" s="112"/>
      <c r="L38"/>
    </row>
    <row r="39" spans="1:12" ht="13.5" thickBot="1">
      <c r="A39" s="31" t="s">
        <v>50</v>
      </c>
      <c r="B39" s="22"/>
      <c r="C39" s="22"/>
      <c r="D39" s="110">
        <f>K206/1000</f>
        <v>49.082000000000001</v>
      </c>
      <c r="E39" s="89" t="s">
        <v>74</v>
      </c>
      <c r="F39" s="218">
        <v>60</v>
      </c>
      <c r="G39" s="106"/>
      <c r="H39" s="107"/>
      <c r="I39" s="111" t="s">
        <v>51</v>
      </c>
      <c r="J39" s="84" t="s">
        <v>52</v>
      </c>
      <c r="K39"/>
      <c r="L39"/>
    </row>
    <row r="40" spans="1:12" ht="13.5" thickBot="1">
      <c r="A40" s="31" t="s">
        <v>53</v>
      </c>
      <c r="B40" s="22"/>
      <c r="C40" s="22"/>
      <c r="D40" s="108">
        <f>L93</f>
        <v>472.495</v>
      </c>
      <c r="E40" s="89" t="s">
        <v>451</v>
      </c>
      <c r="F40" s="218">
        <v>10</v>
      </c>
      <c r="G40" s="113"/>
      <c r="H40" s="114"/>
      <c r="I40" s="242">
        <f>20+20+30+10+60</f>
        <v>140</v>
      </c>
      <c r="J40" s="306">
        <v>0</v>
      </c>
      <c r="K40"/>
      <c r="L40"/>
    </row>
    <row r="41" spans="1:12" ht="13.5" thickBot="1">
      <c r="A41" s="31" t="s">
        <v>54</v>
      </c>
      <c r="B41" s="22"/>
      <c r="C41" s="22"/>
      <c r="D41" s="33">
        <v>40</v>
      </c>
      <c r="E41" s="89"/>
      <c r="F41" s="218"/>
      <c r="G41" s="113"/>
      <c r="H41" s="114"/>
      <c r="I41" s="308" t="s">
        <v>55</v>
      </c>
      <c r="J41" s="95">
        <f>J34+I38+J38+I40+J40</f>
        <v>107.5</v>
      </c>
      <c r="K41"/>
      <c r="L41"/>
    </row>
    <row r="42" spans="1:12" ht="13.5" thickBot="1">
      <c r="A42" s="31" t="s">
        <v>56</v>
      </c>
      <c r="B42" s="22"/>
      <c r="C42" s="22"/>
      <c r="D42" s="347">
        <f>700.302-3.543+10+5.174</f>
        <v>711.93299999999999</v>
      </c>
      <c r="E42" s="89"/>
      <c r="F42" s="218"/>
      <c r="G42" s="10"/>
      <c r="H42" s="11"/>
      <c r="K42"/>
      <c r="L42"/>
    </row>
    <row r="43" spans="1:12" ht="13.5" thickBot="1">
      <c r="A43" s="31"/>
      <c r="B43" s="22"/>
      <c r="C43" s="22"/>
      <c r="D43" s="108"/>
      <c r="E43" s="89"/>
      <c r="F43" s="218"/>
      <c r="G43" s="10"/>
      <c r="H43" s="11"/>
      <c r="I43" s="426" t="s">
        <v>57</v>
      </c>
      <c r="J43" s="427"/>
      <c r="K43"/>
      <c r="L43"/>
    </row>
    <row r="44" spans="1:12" ht="13.5" thickBot="1">
      <c r="A44" s="51"/>
      <c r="B44" s="118" t="s">
        <v>58</v>
      </c>
      <c r="C44" s="119" t="str">
        <f>+F5</f>
        <v>Apr</v>
      </c>
      <c r="D44" s="120">
        <f>SUM(D39:D42)</f>
        <v>1273.51</v>
      </c>
      <c r="E44" s="121" t="s">
        <v>59</v>
      </c>
      <c r="F44" s="122">
        <f>SUM(F33:F42)</f>
        <v>104.2</v>
      </c>
      <c r="G44" s="121" t="s">
        <v>59</v>
      </c>
      <c r="H44" s="123">
        <f>SUM(H33:H43)</f>
        <v>61.1</v>
      </c>
      <c r="I44"/>
      <c r="J44" s="346">
        <v>15</v>
      </c>
      <c r="K44"/>
      <c r="L44"/>
    </row>
    <row r="45" spans="1:12" ht="12.75" thickBot="1"/>
    <row r="46" spans="1:12" ht="12.75" thickBot="1">
      <c r="A46" s="124" t="s">
        <v>60</v>
      </c>
      <c r="B46" s="125"/>
      <c r="C46" s="125"/>
      <c r="D46" s="125"/>
      <c r="E46" s="126"/>
      <c r="F46" s="127"/>
      <c r="G46" s="124" t="s">
        <v>61</v>
      </c>
      <c r="H46" s="125"/>
      <c r="I46" s="125"/>
      <c r="J46" s="125"/>
      <c r="K46" s="125"/>
      <c r="L46" s="128"/>
    </row>
    <row r="47" spans="1:12">
      <c r="A47" s="129" t="s">
        <v>63</v>
      </c>
      <c r="B47" s="130"/>
      <c r="C47" s="131" t="s">
        <v>64</v>
      </c>
      <c r="D47" s="130"/>
      <c r="E47" s="131" t="s">
        <v>65</v>
      </c>
      <c r="F47" s="132"/>
      <c r="G47" s="133"/>
      <c r="H47" s="130"/>
      <c r="I47" s="131" t="s">
        <v>64</v>
      </c>
      <c r="J47" s="130"/>
      <c r="K47" s="131" t="s">
        <v>65</v>
      </c>
      <c r="L47" s="132"/>
    </row>
    <row r="48" spans="1:12">
      <c r="A48" s="134" t="s">
        <v>69</v>
      </c>
      <c r="B48" s="135">
        <v>9.6000000000000002E-2</v>
      </c>
      <c r="C48" s="136" t="s">
        <v>11</v>
      </c>
      <c r="D48" s="135">
        <v>5</v>
      </c>
      <c r="E48" s="136" t="s">
        <v>67</v>
      </c>
      <c r="F48" s="135">
        <v>5</v>
      </c>
      <c r="G48" s="138"/>
      <c r="H48" s="139"/>
      <c r="I48" s="136" t="s">
        <v>68</v>
      </c>
      <c r="J48" s="243">
        <v>40</v>
      </c>
      <c r="K48" s="136" t="s">
        <v>444</v>
      </c>
      <c r="L48" s="140">
        <v>5</v>
      </c>
    </row>
    <row r="49" spans="1:12">
      <c r="A49" s="134" t="s">
        <v>72</v>
      </c>
      <c r="B49" s="135">
        <v>4.8000000000000001E-2</v>
      </c>
      <c r="C49" s="136" t="s">
        <v>455</v>
      </c>
      <c r="D49" s="135">
        <v>15</v>
      </c>
      <c r="E49" s="136" t="s">
        <v>458</v>
      </c>
      <c r="F49" s="140">
        <v>5</v>
      </c>
      <c r="G49" s="138"/>
      <c r="H49" s="139"/>
      <c r="I49" s="141" t="s">
        <v>71</v>
      </c>
      <c r="J49" s="257">
        <v>20</v>
      </c>
      <c r="K49" s="136" t="s">
        <v>444</v>
      </c>
      <c r="L49" s="140">
        <v>10</v>
      </c>
    </row>
    <row r="50" spans="1:12">
      <c r="A50" s="134" t="s">
        <v>79</v>
      </c>
      <c r="B50" s="135">
        <v>4.8000000000000001E-2</v>
      </c>
      <c r="C50" s="136" t="s">
        <v>84</v>
      </c>
      <c r="D50" s="135">
        <v>4.5</v>
      </c>
      <c r="E50" s="136" t="s">
        <v>458</v>
      </c>
      <c r="F50" s="140">
        <v>5</v>
      </c>
      <c r="G50" s="138"/>
      <c r="H50" s="139"/>
      <c r="I50" s="141" t="s">
        <v>71</v>
      </c>
      <c r="J50" s="135">
        <v>20</v>
      </c>
      <c r="K50" s="136" t="s">
        <v>81</v>
      </c>
      <c r="L50" s="140">
        <v>35</v>
      </c>
    </row>
    <row r="51" spans="1:12">
      <c r="A51" s="134" t="s">
        <v>83</v>
      </c>
      <c r="B51" s="135">
        <v>0.57499999999999996</v>
      </c>
      <c r="C51" s="136" t="s">
        <v>89</v>
      </c>
      <c r="D51" s="135">
        <v>2</v>
      </c>
      <c r="E51" s="136" t="s">
        <v>458</v>
      </c>
      <c r="F51" s="140">
        <v>5</v>
      </c>
      <c r="G51" s="138"/>
      <c r="H51" s="139"/>
      <c r="I51" s="141" t="s">
        <v>75</v>
      </c>
      <c r="J51" s="135">
        <v>20</v>
      </c>
      <c r="K51" s="136" t="s">
        <v>449</v>
      </c>
      <c r="L51" s="140">
        <v>5</v>
      </c>
    </row>
    <row r="52" spans="1:12">
      <c r="A52" s="134" t="s">
        <v>85</v>
      </c>
      <c r="B52" s="341">
        <f>2.1</f>
        <v>2.1</v>
      </c>
      <c r="C52" s="136"/>
      <c r="D52" s="135"/>
      <c r="E52" s="136" t="s">
        <v>173</v>
      </c>
      <c r="F52" s="372">
        <v>0</v>
      </c>
      <c r="G52" s="138"/>
      <c r="H52" s="139"/>
      <c r="I52" s="141" t="s">
        <v>450</v>
      </c>
      <c r="J52" s="135">
        <v>10</v>
      </c>
      <c r="K52" s="136" t="s">
        <v>463</v>
      </c>
      <c r="L52" s="140">
        <v>10</v>
      </c>
    </row>
    <row r="53" spans="1:12">
      <c r="A53" s="134"/>
      <c r="B53" s="135"/>
      <c r="C53" s="136"/>
      <c r="D53" s="135"/>
      <c r="E53" s="136" t="s">
        <v>181</v>
      </c>
      <c r="F53" s="140">
        <v>12</v>
      </c>
      <c r="G53" s="138"/>
      <c r="H53" s="139"/>
      <c r="I53" s="141" t="s">
        <v>459</v>
      </c>
      <c r="J53" s="370">
        <v>10</v>
      </c>
      <c r="K53" s="136" t="s">
        <v>336</v>
      </c>
      <c r="L53" s="140">
        <v>5</v>
      </c>
    </row>
    <row r="54" spans="1:12">
      <c r="A54" s="134"/>
      <c r="B54" s="135"/>
      <c r="C54" s="136"/>
      <c r="D54" s="135"/>
      <c r="E54" s="136" t="s">
        <v>74</v>
      </c>
      <c r="F54" s="140">
        <v>20</v>
      </c>
      <c r="G54" s="138"/>
      <c r="H54" s="139"/>
      <c r="I54" s="141" t="s">
        <v>426</v>
      </c>
      <c r="J54" s="135">
        <v>15</v>
      </c>
      <c r="K54" s="136"/>
      <c r="L54" s="140"/>
    </row>
    <row r="55" spans="1:12">
      <c r="A55" s="134"/>
      <c r="B55" s="135"/>
      <c r="C55" s="136"/>
      <c r="D55" s="135"/>
      <c r="E55" s="136" t="s">
        <v>149</v>
      </c>
      <c r="F55" s="140">
        <v>15</v>
      </c>
      <c r="G55" s="138"/>
      <c r="H55" s="139"/>
      <c r="I55" s="141" t="s">
        <v>91</v>
      </c>
      <c r="J55" s="135">
        <v>2</v>
      </c>
      <c r="K55" s="136"/>
      <c r="L55" s="140"/>
    </row>
    <row r="56" spans="1:12">
      <c r="A56" s="138"/>
      <c r="B56" s="139"/>
      <c r="C56" s="136"/>
      <c r="D56" s="135"/>
      <c r="E56" s="136" t="s">
        <v>81</v>
      </c>
      <c r="F56" s="140">
        <v>35</v>
      </c>
      <c r="G56" s="138"/>
      <c r="H56" s="139"/>
      <c r="I56" s="141" t="s">
        <v>93</v>
      </c>
      <c r="J56" s="135">
        <v>30</v>
      </c>
      <c r="K56" s="136"/>
      <c r="L56" s="140"/>
    </row>
    <row r="57" spans="1:12">
      <c r="A57" s="138"/>
      <c r="B57" s="139"/>
      <c r="C57" s="136"/>
      <c r="D57" s="135"/>
      <c r="E57" s="136" t="s">
        <v>85</v>
      </c>
      <c r="F57" s="135">
        <v>6.0250000000000004</v>
      </c>
      <c r="G57" s="138"/>
      <c r="H57" s="139"/>
      <c r="I57" s="141" t="s">
        <v>94</v>
      </c>
      <c r="J57" s="135">
        <v>5</v>
      </c>
      <c r="K57" s="136"/>
      <c r="L57" s="140"/>
    </row>
    <row r="58" spans="1:12">
      <c r="A58" s="138"/>
      <c r="B58" s="139"/>
      <c r="C58" s="136"/>
      <c r="D58" s="135"/>
      <c r="E58" s="136" t="s">
        <v>457</v>
      </c>
      <c r="F58" s="135">
        <v>5</v>
      </c>
      <c r="G58" s="138"/>
      <c r="H58" s="139"/>
      <c r="I58" s="141" t="s">
        <v>94</v>
      </c>
      <c r="J58" s="135">
        <v>10</v>
      </c>
      <c r="K58" s="136"/>
      <c r="L58" s="140"/>
    </row>
    <row r="59" spans="1:12">
      <c r="A59" s="143"/>
      <c r="B59" s="144"/>
      <c r="C59" s="136"/>
      <c r="D59" s="135"/>
      <c r="E59" s="432">
        <v>36612</v>
      </c>
      <c r="F59" s="433"/>
      <c r="G59" s="138"/>
      <c r="H59" s="139"/>
      <c r="I59" s="136" t="s">
        <v>95</v>
      </c>
      <c r="J59" s="135">
        <v>20</v>
      </c>
      <c r="K59" s="432">
        <v>36612</v>
      </c>
      <c r="L59" s="433"/>
    </row>
    <row r="60" spans="1:12">
      <c r="A60" s="143"/>
      <c r="B60" s="144"/>
      <c r="C60" s="136"/>
      <c r="D60" s="135"/>
      <c r="E60" s="136" t="s">
        <v>464</v>
      </c>
      <c r="F60" s="137">
        <v>10</v>
      </c>
      <c r="G60" s="138"/>
      <c r="H60" s="139"/>
      <c r="I60" s="136" t="s">
        <v>68</v>
      </c>
      <c r="J60" s="135">
        <v>6</v>
      </c>
      <c r="K60" s="136" t="s">
        <v>396</v>
      </c>
      <c r="L60" s="140">
        <v>3.7</v>
      </c>
    </row>
    <row r="61" spans="1:12">
      <c r="A61" s="143"/>
      <c r="B61" s="144"/>
      <c r="C61" s="136"/>
      <c r="D61" s="135"/>
      <c r="E61" s="136" t="s">
        <v>394</v>
      </c>
      <c r="F61" s="137">
        <v>4</v>
      </c>
      <c r="G61" s="138"/>
      <c r="H61" s="139"/>
      <c r="I61" s="136"/>
      <c r="J61" s="135"/>
      <c r="K61" s="136" t="s">
        <v>465</v>
      </c>
      <c r="L61" s="140">
        <v>5</v>
      </c>
    </row>
    <row r="62" spans="1:12">
      <c r="A62" s="143"/>
      <c r="B62" s="144"/>
      <c r="C62" s="136"/>
      <c r="D62" s="135"/>
      <c r="E62" s="136" t="s">
        <v>394</v>
      </c>
      <c r="F62" s="137">
        <v>12</v>
      </c>
      <c r="G62" s="138"/>
      <c r="H62" s="139"/>
      <c r="I62" s="136"/>
      <c r="J62" s="135"/>
      <c r="K62" s="136" t="s">
        <v>466</v>
      </c>
      <c r="L62" s="140">
        <v>5</v>
      </c>
    </row>
    <row r="63" spans="1:12">
      <c r="A63" s="143"/>
      <c r="B63" s="144"/>
      <c r="C63" s="136"/>
      <c r="D63" s="135"/>
      <c r="E63" s="136" t="s">
        <v>458</v>
      </c>
      <c r="F63" s="137">
        <v>5</v>
      </c>
      <c r="G63" s="138"/>
      <c r="H63" s="139"/>
      <c r="I63" s="136"/>
      <c r="J63" s="135"/>
      <c r="K63" s="136" t="s">
        <v>434</v>
      </c>
      <c r="L63" s="140">
        <v>60</v>
      </c>
    </row>
    <row r="64" spans="1:12">
      <c r="A64" s="143"/>
      <c r="B64" s="144"/>
      <c r="C64" s="136"/>
      <c r="D64" s="135"/>
      <c r="E64" s="136" t="s">
        <v>437</v>
      </c>
      <c r="F64" s="137">
        <v>10</v>
      </c>
      <c r="G64" s="138"/>
      <c r="H64" s="139"/>
      <c r="I64" s="136"/>
      <c r="J64" s="135"/>
      <c r="K64" s="136"/>
      <c r="L64" s="140"/>
    </row>
    <row r="65" spans="1:12">
      <c r="A65" s="143"/>
      <c r="B65" s="144"/>
      <c r="C65" s="136"/>
      <c r="D65" s="135"/>
      <c r="E65" s="136" t="s">
        <v>467</v>
      </c>
      <c r="F65" s="137">
        <v>5</v>
      </c>
      <c r="G65" s="138"/>
      <c r="H65" s="139"/>
      <c r="I65" s="136"/>
      <c r="J65" s="135"/>
      <c r="K65" s="136"/>
      <c r="L65" s="140"/>
    </row>
    <row r="66" spans="1:12">
      <c r="A66" s="143"/>
      <c r="B66" s="144"/>
      <c r="C66" s="136"/>
      <c r="D66" s="135"/>
      <c r="E66" s="136" t="s">
        <v>468</v>
      </c>
      <c r="F66" s="137">
        <v>20</v>
      </c>
      <c r="G66" s="138"/>
      <c r="H66" s="139"/>
      <c r="I66" s="136"/>
      <c r="J66" s="135"/>
      <c r="K66" s="136"/>
      <c r="L66" s="140"/>
    </row>
    <row r="67" spans="1:12">
      <c r="A67" s="143"/>
      <c r="B67" s="144"/>
      <c r="C67" s="136"/>
      <c r="D67" s="135"/>
      <c r="E67" s="432">
        <v>36613</v>
      </c>
      <c r="F67" s="433"/>
      <c r="G67" s="138"/>
      <c r="H67" s="139"/>
      <c r="I67" s="136"/>
      <c r="J67" s="135"/>
      <c r="K67" s="432">
        <v>36613</v>
      </c>
      <c r="L67" s="433"/>
    </row>
    <row r="68" spans="1:12">
      <c r="A68" s="143"/>
      <c r="B68" s="144"/>
      <c r="C68" s="136"/>
      <c r="D68" s="135"/>
      <c r="E68" s="136" t="s">
        <v>471</v>
      </c>
      <c r="F68" s="137">
        <v>9.4239999999999995</v>
      </c>
      <c r="G68" s="138"/>
      <c r="H68" s="139"/>
      <c r="I68" s="136"/>
      <c r="J68" s="135"/>
      <c r="K68" s="136" t="s">
        <v>404</v>
      </c>
      <c r="L68" s="140">
        <v>0.41</v>
      </c>
    </row>
    <row r="69" spans="1:12">
      <c r="A69" s="143"/>
      <c r="B69" s="144"/>
      <c r="C69" s="136"/>
      <c r="D69" s="135"/>
      <c r="E69" s="136" t="s">
        <v>472</v>
      </c>
      <c r="F69" s="137">
        <v>10</v>
      </c>
      <c r="G69" s="138"/>
      <c r="H69" s="139"/>
      <c r="I69" s="136"/>
      <c r="J69" s="135"/>
      <c r="K69" s="136" t="s">
        <v>469</v>
      </c>
      <c r="L69" s="140">
        <v>11.3</v>
      </c>
    </row>
    <row r="70" spans="1:12">
      <c r="A70" s="143"/>
      <c r="B70" s="144"/>
      <c r="C70" s="136"/>
      <c r="D70" s="135"/>
      <c r="E70" s="136" t="s">
        <v>474</v>
      </c>
      <c r="F70" s="137">
        <v>6</v>
      </c>
      <c r="G70" s="138"/>
      <c r="H70" s="139"/>
      <c r="I70" s="136"/>
      <c r="J70" s="135"/>
      <c r="K70" s="136" t="s">
        <v>469</v>
      </c>
      <c r="L70" s="140">
        <v>7.5</v>
      </c>
    </row>
    <row r="71" spans="1:12">
      <c r="A71" s="143"/>
      <c r="B71" s="144"/>
      <c r="C71" s="136"/>
      <c r="D71" s="135"/>
      <c r="E71" s="136" t="s">
        <v>152</v>
      </c>
      <c r="F71" s="137">
        <v>10</v>
      </c>
      <c r="G71" s="138"/>
      <c r="H71" s="139"/>
      <c r="I71" s="136"/>
      <c r="J71" s="135"/>
      <c r="K71" s="136" t="s">
        <v>388</v>
      </c>
      <c r="L71" s="140">
        <v>10</v>
      </c>
    </row>
    <row r="72" spans="1:12">
      <c r="A72" s="143"/>
      <c r="B72" s="144"/>
      <c r="C72" s="136"/>
      <c r="D72" s="135"/>
      <c r="E72" s="136"/>
      <c r="F72" s="137"/>
      <c r="G72" s="138"/>
      <c r="H72" s="139"/>
      <c r="I72" s="136"/>
      <c r="J72" s="135"/>
      <c r="K72" s="136" t="s">
        <v>470</v>
      </c>
      <c r="L72" s="140">
        <v>8</v>
      </c>
    </row>
    <row r="73" spans="1:12">
      <c r="A73" s="143"/>
      <c r="B73" s="144"/>
      <c r="C73" s="136"/>
      <c r="D73" s="135"/>
      <c r="E73" s="136"/>
      <c r="F73" s="137"/>
      <c r="G73" s="138"/>
      <c r="H73" s="139"/>
      <c r="I73" s="136"/>
      <c r="J73" s="135"/>
      <c r="K73" s="136" t="s">
        <v>254</v>
      </c>
      <c r="L73" s="140">
        <v>0.33500000000000002</v>
      </c>
    </row>
    <row r="74" spans="1:12">
      <c r="A74" s="143"/>
      <c r="B74" s="144"/>
      <c r="C74" s="136"/>
      <c r="D74" s="135"/>
      <c r="E74" s="136"/>
      <c r="F74" s="137"/>
      <c r="G74" s="138"/>
      <c r="H74" s="139"/>
      <c r="I74" s="136"/>
      <c r="J74" s="135"/>
      <c r="K74" s="136" t="s">
        <v>459</v>
      </c>
      <c r="L74" s="140">
        <v>5</v>
      </c>
    </row>
    <row r="75" spans="1:12">
      <c r="A75" s="143"/>
      <c r="B75" s="144"/>
      <c r="C75" s="136"/>
      <c r="D75" s="135"/>
      <c r="E75" s="136"/>
      <c r="F75" s="137"/>
      <c r="G75" s="138"/>
      <c r="H75" s="139"/>
      <c r="I75" s="136"/>
      <c r="J75" s="135"/>
      <c r="K75" s="136" t="s">
        <v>459</v>
      </c>
      <c r="L75" s="140">
        <v>5</v>
      </c>
    </row>
    <row r="76" spans="1:12">
      <c r="A76" s="143"/>
      <c r="B76" s="144"/>
      <c r="C76" s="136"/>
      <c r="D76" s="135"/>
      <c r="E76" s="136"/>
      <c r="F76" s="137"/>
      <c r="G76" s="138"/>
      <c r="H76" s="139"/>
      <c r="I76" s="136"/>
      <c r="J76" s="135"/>
      <c r="K76" s="136" t="s">
        <v>473</v>
      </c>
      <c r="L76" s="140">
        <v>5</v>
      </c>
    </row>
    <row r="77" spans="1:12">
      <c r="A77" s="143"/>
      <c r="B77" s="144"/>
      <c r="C77" s="136"/>
      <c r="D77" s="135"/>
      <c r="E77" s="136"/>
      <c r="F77" s="137"/>
      <c r="G77" s="138"/>
      <c r="H77" s="139"/>
      <c r="I77" s="136"/>
      <c r="J77" s="135"/>
      <c r="K77" s="136" t="s">
        <v>93</v>
      </c>
      <c r="L77" s="140">
        <v>10</v>
      </c>
    </row>
    <row r="78" spans="1:12">
      <c r="A78" s="143"/>
      <c r="B78" s="144"/>
      <c r="C78" s="136"/>
      <c r="D78" s="135"/>
      <c r="E78" s="136"/>
      <c r="F78" s="137"/>
      <c r="G78" s="138"/>
      <c r="H78" s="139"/>
      <c r="I78" s="136"/>
      <c r="J78" s="135"/>
      <c r="K78" s="136"/>
      <c r="L78" s="140"/>
    </row>
    <row r="79" spans="1:12">
      <c r="A79" s="143"/>
      <c r="B79" s="144"/>
      <c r="C79" s="136"/>
      <c r="D79" s="135"/>
      <c r="E79" s="136"/>
      <c r="F79" s="137"/>
      <c r="G79" s="138"/>
      <c r="H79" s="139"/>
      <c r="I79" s="136"/>
      <c r="J79" s="135"/>
      <c r="K79" s="136"/>
      <c r="L79" s="140"/>
    </row>
    <row r="80" spans="1:12">
      <c r="A80" s="143"/>
      <c r="B80" s="144"/>
      <c r="C80" s="146" t="s">
        <v>98</v>
      </c>
      <c r="D80" s="147"/>
      <c r="E80" s="148"/>
      <c r="F80" s="149"/>
      <c r="G80" s="138"/>
      <c r="H80" s="139"/>
      <c r="I80" s="146" t="s">
        <v>98</v>
      </c>
      <c r="J80" s="150"/>
      <c r="K80" s="216"/>
      <c r="L80" s="217"/>
    </row>
    <row r="81" spans="1:12">
      <c r="A81" s="143"/>
      <c r="B81" s="144"/>
      <c r="C81" s="136" t="s">
        <v>99</v>
      </c>
      <c r="D81" s="135">
        <v>18</v>
      </c>
      <c r="E81" s="136" t="s">
        <v>348</v>
      </c>
      <c r="F81" s="140">
        <v>5.8330000000000002</v>
      </c>
      <c r="G81" s="151"/>
      <c r="H81" s="139"/>
      <c r="I81" s="136" t="s">
        <v>100</v>
      </c>
      <c r="J81" s="135">
        <v>8</v>
      </c>
      <c r="K81" s="136" t="s">
        <v>388</v>
      </c>
      <c r="L81" s="140">
        <v>10</v>
      </c>
    </row>
    <row r="82" spans="1:12">
      <c r="A82" s="143"/>
      <c r="B82" s="144"/>
      <c r="C82" s="136" t="s">
        <v>435</v>
      </c>
      <c r="D82" s="135">
        <v>5</v>
      </c>
      <c r="E82" s="136"/>
      <c r="F82" s="140"/>
      <c r="G82" s="138"/>
      <c r="H82" s="139"/>
      <c r="I82" s="136"/>
      <c r="J82" s="135"/>
      <c r="K82" s="136" t="s">
        <v>388</v>
      </c>
      <c r="L82" s="140">
        <v>10</v>
      </c>
    </row>
    <row r="83" spans="1:12">
      <c r="A83" s="143"/>
      <c r="B83" s="144"/>
      <c r="C83" s="136" t="s">
        <v>437</v>
      </c>
      <c r="D83" s="135">
        <v>5</v>
      </c>
      <c r="E83" s="136"/>
      <c r="F83" s="140"/>
      <c r="G83" s="138"/>
      <c r="H83" s="139"/>
      <c r="I83" s="136"/>
      <c r="J83" s="135"/>
      <c r="K83" s="136" t="s">
        <v>149</v>
      </c>
      <c r="L83" s="140">
        <v>10</v>
      </c>
    </row>
    <row r="84" spans="1:12">
      <c r="A84" s="143"/>
      <c r="B84" s="144"/>
      <c r="C84" s="136"/>
      <c r="D84" s="135"/>
      <c r="E84" s="136"/>
      <c r="F84" s="140"/>
      <c r="G84" s="138"/>
      <c r="H84" s="139"/>
      <c r="I84" s="136"/>
      <c r="J84" s="135"/>
      <c r="K84" s="136" t="s">
        <v>387</v>
      </c>
      <c r="L84" s="140">
        <v>1.25</v>
      </c>
    </row>
    <row r="85" spans="1:12">
      <c r="A85" s="143"/>
      <c r="B85" s="144"/>
      <c r="C85" s="136"/>
      <c r="D85" s="135"/>
      <c r="E85" s="136"/>
      <c r="F85" s="140"/>
      <c r="G85" s="138"/>
      <c r="H85" s="139"/>
      <c r="I85" s="136"/>
      <c r="J85" s="135"/>
      <c r="K85" s="136" t="s">
        <v>149</v>
      </c>
      <c r="L85" s="140">
        <v>8</v>
      </c>
    </row>
    <row r="86" spans="1:12">
      <c r="A86" s="143"/>
      <c r="B86" s="144"/>
      <c r="C86" s="136"/>
      <c r="D86" s="135"/>
      <c r="E86" s="136"/>
      <c r="F86" s="140"/>
      <c r="G86" s="138"/>
      <c r="H86" s="139"/>
      <c r="I86" s="136"/>
      <c r="J86" s="135"/>
      <c r="K86" s="136" t="s">
        <v>404</v>
      </c>
      <c r="L86" s="140">
        <v>1</v>
      </c>
    </row>
    <row r="87" spans="1:12">
      <c r="A87" s="143"/>
      <c r="B87" s="144"/>
      <c r="C87" s="136"/>
      <c r="D87" s="135"/>
      <c r="E87" s="136"/>
      <c r="F87" s="140"/>
      <c r="G87" s="138"/>
      <c r="H87" s="139"/>
      <c r="I87" s="136"/>
      <c r="J87" s="135"/>
      <c r="K87" s="364" t="s">
        <v>412</v>
      </c>
      <c r="L87" s="140">
        <v>10</v>
      </c>
    </row>
    <row r="88" spans="1:12">
      <c r="A88" s="143"/>
      <c r="B88" s="144"/>
      <c r="C88" s="136"/>
      <c r="D88" s="135"/>
      <c r="E88" s="136"/>
      <c r="F88" s="140"/>
      <c r="G88" s="138"/>
      <c r="H88" s="139"/>
      <c r="I88" s="136"/>
      <c r="J88" s="135"/>
      <c r="K88" s="136"/>
      <c r="L88" s="140"/>
    </row>
    <row r="89" spans="1:12">
      <c r="A89" s="143"/>
      <c r="B89" s="144"/>
      <c r="C89" s="136"/>
      <c r="D89" s="135"/>
      <c r="E89" s="136"/>
      <c r="F89" s="140"/>
      <c r="G89" s="138"/>
      <c r="H89" s="139"/>
      <c r="I89" s="136"/>
      <c r="J89" s="135"/>
      <c r="K89" s="136"/>
      <c r="L89" s="140"/>
    </row>
    <row r="90" spans="1:12">
      <c r="A90" s="143"/>
      <c r="B90" s="144"/>
      <c r="C90" s="136"/>
      <c r="D90" s="135"/>
      <c r="E90" s="136"/>
      <c r="F90" s="140"/>
      <c r="G90" s="138"/>
      <c r="H90" s="139"/>
      <c r="I90" s="136"/>
      <c r="J90" s="135"/>
      <c r="K90" s="136"/>
      <c r="L90" s="140"/>
    </row>
    <row r="91" spans="1:12">
      <c r="A91" s="152"/>
      <c r="B91" s="153"/>
      <c r="C91" s="154"/>
      <c r="D91" s="153"/>
      <c r="E91" s="155"/>
      <c r="F91" s="156"/>
      <c r="G91" s="152"/>
      <c r="H91" s="153"/>
      <c r="I91" s="154"/>
      <c r="J91" s="342"/>
      <c r="K91" s="252"/>
      <c r="L91" s="253"/>
    </row>
    <row r="92" spans="1:12">
      <c r="A92" s="157" t="s">
        <v>103</v>
      </c>
      <c r="B92" s="158">
        <f>SUM(B47:B91)</f>
        <v>2.867</v>
      </c>
      <c r="C92" s="159" t="s">
        <v>103</v>
      </c>
      <c r="D92" s="158">
        <f>SUM(D47:D91)</f>
        <v>54.5</v>
      </c>
      <c r="E92" s="159" t="s">
        <v>103</v>
      </c>
      <c r="F92" s="160">
        <f>SUM(F47:F91)</f>
        <v>220.28200000000001</v>
      </c>
      <c r="G92" s="157"/>
      <c r="H92" s="158"/>
      <c r="I92" s="159" t="s">
        <v>103</v>
      </c>
      <c r="J92" s="161">
        <f>SUM(J47:J91)</f>
        <v>216</v>
      </c>
      <c r="K92" s="159" t="s">
        <v>103</v>
      </c>
      <c r="L92" s="162">
        <f>SUM(L47:L91)</f>
        <v>256.495</v>
      </c>
    </row>
    <row r="93" spans="1:12" ht="12.75" thickBot="1">
      <c r="A93" s="163"/>
      <c r="B93" s="164"/>
      <c r="C93" s="165"/>
      <c r="D93" s="164"/>
      <c r="E93" s="166" t="s">
        <v>104</v>
      </c>
      <c r="F93" s="167">
        <f>+B92+F92+D92</f>
        <v>277.649</v>
      </c>
      <c r="G93" s="163"/>
      <c r="H93" s="164"/>
      <c r="I93" s="165"/>
      <c r="J93" s="164"/>
      <c r="K93" s="166" t="s">
        <v>104</v>
      </c>
      <c r="L93" s="167">
        <f>J92+L92</f>
        <v>472.495</v>
      </c>
    </row>
    <row r="94" spans="1:12" ht="12.75">
      <c r="G94" s="168"/>
      <c r="H94"/>
    </row>
    <row r="95" spans="1:12" ht="12.75">
      <c r="G95" s="12" t="s">
        <v>429</v>
      </c>
      <c r="H95"/>
    </row>
    <row r="96" spans="1:12" ht="12.75">
      <c r="G96" s="310"/>
      <c r="H96"/>
    </row>
    <row r="97" spans="1:15" ht="12.75" hidden="1">
      <c r="E97"/>
      <c r="G97" s="12" t="s">
        <v>105</v>
      </c>
      <c r="H97"/>
    </row>
    <row r="98" spans="1:15" ht="24" hidden="1">
      <c r="A98" s="169" t="s">
        <v>106</v>
      </c>
      <c r="B98" s="169" t="s">
        <v>107</v>
      </c>
      <c r="C98" s="169" t="s">
        <v>108</v>
      </c>
      <c r="D98" s="169" t="s">
        <v>109</v>
      </c>
      <c r="E98" s="169" t="s">
        <v>110</v>
      </c>
      <c r="F98" s="169" t="s">
        <v>111</v>
      </c>
      <c r="G98" s="12">
        <v>1.65</v>
      </c>
      <c r="H98"/>
    </row>
    <row r="99" spans="1:15" ht="12.75" hidden="1">
      <c r="A99" t="s">
        <v>112</v>
      </c>
      <c r="B99" t="s">
        <v>113</v>
      </c>
      <c r="C99">
        <v>10</v>
      </c>
      <c r="D99">
        <v>95</v>
      </c>
      <c r="E99">
        <v>0.09</v>
      </c>
      <c r="F99">
        <f>+$G$98*(E99/100)</f>
        <v>1.4849999999999998E-3</v>
      </c>
      <c r="G99"/>
      <c r="H99"/>
      <c r="I99"/>
      <c r="J99"/>
      <c r="K99"/>
      <c r="L99"/>
      <c r="M99"/>
      <c r="N99"/>
      <c r="O99"/>
    </row>
    <row r="100" spans="1:15" ht="12.75" hidden="1">
      <c r="A100"/>
      <c r="B100" t="s">
        <v>114</v>
      </c>
      <c r="C100">
        <v>42</v>
      </c>
      <c r="D100">
        <v>65</v>
      </c>
      <c r="E100">
        <v>0.27</v>
      </c>
      <c r="F100">
        <f>+$G$98*(E100/100)</f>
        <v>4.4549999999999998E-3</v>
      </c>
      <c r="G100"/>
      <c r="H100"/>
      <c r="I100"/>
      <c r="J100"/>
      <c r="K100"/>
      <c r="L100"/>
      <c r="M100"/>
      <c r="N100"/>
      <c r="O100"/>
    </row>
    <row r="101" spans="1:15" ht="12.75" hidden="1">
      <c r="A101"/>
      <c r="B101" t="s">
        <v>115</v>
      </c>
      <c r="C101">
        <v>89</v>
      </c>
      <c r="D101">
        <v>43.87</v>
      </c>
      <c r="E101">
        <v>0.39</v>
      </c>
      <c r="F101">
        <f>+$G$98*(E101/100)</f>
        <v>6.4349999999999997E-3</v>
      </c>
      <c r="G101"/>
      <c r="H101"/>
      <c r="I101"/>
      <c r="J101"/>
      <c r="K101"/>
      <c r="L101"/>
      <c r="M101"/>
      <c r="N101"/>
      <c r="O101"/>
    </row>
    <row r="102" spans="1:15" ht="12.75" hidden="1">
      <c r="A102"/>
      <c r="B102" t="s">
        <v>116</v>
      </c>
      <c r="C102">
        <v>2.44</v>
      </c>
      <c r="D102">
        <v>1.05</v>
      </c>
      <c r="E102">
        <v>0.03</v>
      </c>
      <c r="F102">
        <f>+$G$98*(E102/100)</f>
        <v>4.9499999999999989E-4</v>
      </c>
      <c r="G102"/>
      <c r="H102"/>
      <c r="I102"/>
      <c r="J102"/>
      <c r="K102"/>
      <c r="L102"/>
      <c r="M102"/>
      <c r="N102"/>
      <c r="O102"/>
    </row>
    <row r="103" spans="1:15" ht="12.75" hidden="1">
      <c r="A103"/>
      <c r="B103"/>
      <c r="C103"/>
      <c r="D103"/>
      <c r="E103" s="170" t="s">
        <v>104</v>
      </c>
      <c r="F103">
        <f>SUM(F99:F102)</f>
        <v>1.2869999999999999E-2</v>
      </c>
      <c r="G103"/>
      <c r="H103"/>
      <c r="I103"/>
      <c r="J103"/>
      <c r="K103"/>
      <c r="L103"/>
      <c r="M103"/>
      <c r="N103"/>
      <c r="O103"/>
    </row>
    <row r="104" spans="1:15" ht="12.75" hidden="1">
      <c r="A104"/>
      <c r="B104"/>
      <c r="C104"/>
      <c r="D104"/>
      <c r="E104" s="170"/>
      <c r="F104"/>
      <c r="G104"/>
      <c r="H104"/>
      <c r="I104"/>
      <c r="J104"/>
      <c r="K104"/>
      <c r="L104"/>
      <c r="M104"/>
      <c r="N104"/>
      <c r="O104"/>
    </row>
    <row r="105" spans="1:15" ht="12.75" hidden="1">
      <c r="A105" t="s">
        <v>117</v>
      </c>
      <c r="B105" t="s">
        <v>118</v>
      </c>
      <c r="C105" s="171">
        <v>0.27</v>
      </c>
      <c r="D105" s="171">
        <v>96.33</v>
      </c>
      <c r="E105" s="171">
        <v>0.26</v>
      </c>
      <c r="F105" s="171">
        <f>+$G$98*(E105/100)</f>
        <v>4.2899999999999995E-3</v>
      </c>
      <c r="G105"/>
      <c r="H105"/>
      <c r="I105"/>
      <c r="J105"/>
      <c r="K105"/>
      <c r="L105"/>
      <c r="M105"/>
      <c r="N105"/>
      <c r="O105"/>
    </row>
    <row r="106" spans="1:15" ht="12.75" hidden="1">
      <c r="A106"/>
      <c r="B106" t="s">
        <v>119</v>
      </c>
      <c r="C106" s="171">
        <v>0.36</v>
      </c>
      <c r="D106" s="171">
        <v>85.77</v>
      </c>
      <c r="E106" s="171">
        <v>0.31</v>
      </c>
      <c r="F106" s="171">
        <f>+$G$98*(E106/100)</f>
        <v>5.1149999999999998E-3</v>
      </c>
      <c r="G106"/>
      <c r="H106"/>
      <c r="I106"/>
      <c r="J106"/>
      <c r="K106"/>
      <c r="L106"/>
      <c r="M106"/>
      <c r="N106"/>
      <c r="O106"/>
    </row>
    <row r="107" spans="1:15" ht="12.75" hidden="1">
      <c r="A107"/>
      <c r="B107" t="s">
        <v>120</v>
      </c>
      <c r="C107" s="171">
        <v>0.8</v>
      </c>
      <c r="D107" s="171">
        <v>9.94</v>
      </c>
      <c r="E107" s="171">
        <v>0.08</v>
      </c>
      <c r="F107" s="171">
        <f>+$G$98*(E107/100)</f>
        <v>1.32E-3</v>
      </c>
      <c r="G107"/>
      <c r="H107"/>
      <c r="I107"/>
      <c r="J107"/>
      <c r="K107"/>
      <c r="L107"/>
      <c r="M107"/>
      <c r="N107"/>
      <c r="O107"/>
    </row>
    <row r="108" spans="1:15" ht="12.75" hidden="1">
      <c r="A108"/>
      <c r="B108" t="s">
        <v>121</v>
      </c>
      <c r="C108" s="171">
        <v>1.1399999999999999</v>
      </c>
      <c r="D108" s="171">
        <v>6.21</v>
      </c>
      <c r="E108" s="171">
        <v>7.0000000000000007E-2</v>
      </c>
      <c r="F108" s="171">
        <f>+$G$98*(E108/100)</f>
        <v>1.1550000000000002E-3</v>
      </c>
      <c r="G108"/>
      <c r="H108"/>
      <c r="I108"/>
      <c r="J108"/>
      <c r="K108"/>
      <c r="L108"/>
      <c r="M108"/>
      <c r="N108"/>
      <c r="O108"/>
    </row>
    <row r="109" spans="1:15" ht="12.75" hidden="1">
      <c r="A109"/>
      <c r="B109"/>
      <c r="C109" s="171"/>
      <c r="D109" s="171"/>
      <c r="E109" s="172" t="s">
        <v>122</v>
      </c>
      <c r="F109" s="171">
        <f>SUM(F106:F108)</f>
        <v>7.5899999999999995E-3</v>
      </c>
      <c r="G109"/>
      <c r="H109"/>
      <c r="I109"/>
      <c r="J109"/>
      <c r="K109"/>
      <c r="L109"/>
      <c r="M109"/>
      <c r="N109"/>
      <c r="O109"/>
    </row>
    <row r="110" spans="1:15" ht="12.75" hidden="1">
      <c r="A110"/>
      <c r="B110"/>
      <c r="C110" s="171"/>
      <c r="D110" s="171"/>
      <c r="E110" s="172" t="s">
        <v>123</v>
      </c>
      <c r="F110" s="171">
        <f>SUM(F105:F108)</f>
        <v>1.188E-2</v>
      </c>
      <c r="G110"/>
      <c r="H110"/>
      <c r="I110"/>
      <c r="J110"/>
      <c r="K110"/>
      <c r="L110"/>
      <c r="M110"/>
      <c r="N110"/>
      <c r="O110"/>
    </row>
    <row r="111" spans="1:15" ht="12.75" hidden="1">
      <c r="A111"/>
      <c r="B111"/>
      <c r="C111" s="171"/>
      <c r="D111" s="171"/>
      <c r="E111" s="171"/>
      <c r="F111" s="171"/>
      <c r="G111"/>
      <c r="H111"/>
      <c r="I111"/>
      <c r="J111"/>
      <c r="K111"/>
      <c r="L111"/>
      <c r="M111"/>
      <c r="N111"/>
      <c r="O111"/>
    </row>
    <row r="112" spans="1:15" ht="12.75" hidden="1">
      <c r="A112" t="s">
        <v>124</v>
      </c>
      <c r="B112" t="s">
        <v>124</v>
      </c>
      <c r="C112" s="171">
        <v>0.62</v>
      </c>
      <c r="D112" s="171">
        <v>94.29</v>
      </c>
      <c r="E112" s="171">
        <v>0.57999999999999996</v>
      </c>
      <c r="F112" s="171">
        <f>+$G$98*(E112/100)</f>
        <v>9.5699999999999986E-3</v>
      </c>
      <c r="G112"/>
      <c r="H112"/>
      <c r="I112"/>
      <c r="J112"/>
      <c r="K112"/>
      <c r="L112"/>
      <c r="M112"/>
      <c r="N112"/>
      <c r="O112"/>
    </row>
    <row r="113" spans="1:15" ht="12.75" hidden="1">
      <c r="A113"/>
      <c r="B113"/>
      <c r="C113" s="171"/>
      <c r="D113" s="171"/>
      <c r="E113" s="171"/>
      <c r="F113" s="171"/>
      <c r="G113"/>
      <c r="H113"/>
      <c r="I113"/>
      <c r="J113"/>
      <c r="K113"/>
      <c r="L113"/>
      <c r="M113"/>
      <c r="N113"/>
      <c r="O113"/>
    </row>
    <row r="114" spans="1:15" ht="12.75" hidden="1">
      <c r="A114" t="s">
        <v>125</v>
      </c>
      <c r="B114" t="s">
        <v>126</v>
      </c>
      <c r="C114" s="171">
        <v>0.85</v>
      </c>
      <c r="D114" s="171">
        <v>100</v>
      </c>
      <c r="E114" s="171">
        <v>0.85</v>
      </c>
      <c r="F114" s="171">
        <f>+$G$98*(E114/100)</f>
        <v>1.4025000000000001E-2</v>
      </c>
      <c r="G114"/>
      <c r="H114"/>
      <c r="I114"/>
      <c r="J114"/>
      <c r="K114"/>
      <c r="L114"/>
      <c r="M114"/>
      <c r="N114"/>
      <c r="O114"/>
    </row>
    <row r="115" spans="1:15" ht="12.75" hidden="1">
      <c r="A115"/>
      <c r="B115"/>
      <c r="C115" s="171"/>
      <c r="D115" s="171"/>
      <c r="E115" s="171"/>
      <c r="F115" s="171"/>
      <c r="G115"/>
      <c r="H115"/>
      <c r="I115"/>
      <c r="J115"/>
      <c r="K115"/>
      <c r="L115"/>
      <c r="M115"/>
      <c r="N115"/>
      <c r="O115"/>
    </row>
    <row r="116" spans="1:15" ht="12.75" hidden="1">
      <c r="A116" t="s">
        <v>127</v>
      </c>
      <c r="B116" t="s">
        <v>128</v>
      </c>
      <c r="C116" s="171" t="s">
        <v>129</v>
      </c>
      <c r="D116" s="171"/>
      <c r="E116" s="171">
        <v>0.35460000000000003</v>
      </c>
      <c r="F116" s="171">
        <f>+$G$98*(E116/100)</f>
        <v>5.8509E-3</v>
      </c>
      <c r="G116"/>
      <c r="H116"/>
      <c r="I116"/>
      <c r="J116"/>
      <c r="K116"/>
      <c r="L116"/>
      <c r="M116"/>
      <c r="N116"/>
      <c r="O116"/>
    </row>
    <row r="117" spans="1:15" ht="12.75" hidden="1">
      <c r="A117"/>
      <c r="B117" t="s">
        <v>130</v>
      </c>
      <c r="C117" s="171" t="s">
        <v>131</v>
      </c>
      <c r="D117" s="171"/>
      <c r="E117" s="171">
        <v>0.55700000000000005</v>
      </c>
      <c r="F117" s="171">
        <f>+$G$98*(E117/100)</f>
        <v>9.1905000000000008E-3</v>
      </c>
      <c r="G117"/>
      <c r="H117"/>
      <c r="I117"/>
    </row>
    <row r="118" spans="1:15" ht="12.75" hidden="1">
      <c r="A118"/>
      <c r="B118" t="s">
        <v>132</v>
      </c>
      <c r="C118" s="171" t="s">
        <v>133</v>
      </c>
      <c r="D118" s="171"/>
      <c r="E118" s="171">
        <v>0.628</v>
      </c>
      <c r="F118" s="171">
        <f>+$G$98*(E118/100)</f>
        <v>1.0362E-2</v>
      </c>
      <c r="G118"/>
      <c r="H118"/>
      <c r="I118"/>
    </row>
    <row r="119" spans="1:15" ht="12.75" hidden="1">
      <c r="A119"/>
      <c r="B119"/>
      <c r="C119" s="171"/>
      <c r="D119" s="171"/>
      <c r="E119" s="171"/>
      <c r="F119" s="171"/>
      <c r="G119"/>
      <c r="H119"/>
      <c r="I119"/>
    </row>
    <row r="120" spans="1:15" ht="12.75" hidden="1">
      <c r="A120" t="s">
        <v>134</v>
      </c>
      <c r="B120" t="s">
        <v>135</v>
      </c>
      <c r="C120" s="171" t="s">
        <v>136</v>
      </c>
      <c r="D120" s="171"/>
      <c r="E120" s="171">
        <v>0.309</v>
      </c>
      <c r="F120" s="171">
        <f>+$G$98*(E120/100)</f>
        <v>5.0984999999999997E-3</v>
      </c>
      <c r="G120"/>
      <c r="H120"/>
      <c r="I120"/>
    </row>
    <row r="121" spans="1:15" ht="12.75" hidden="1">
      <c r="A121"/>
      <c r="B121"/>
      <c r="C121" s="171"/>
      <c r="D121" s="171"/>
      <c r="E121" s="171"/>
      <c r="F121" s="171"/>
      <c r="G121"/>
      <c r="H121"/>
      <c r="I121"/>
    </row>
    <row r="122" spans="1:15" ht="12.75" hidden="1">
      <c r="A122" t="s">
        <v>137</v>
      </c>
      <c r="B122" t="s">
        <v>138</v>
      </c>
      <c r="C122" s="171" t="s">
        <v>139</v>
      </c>
      <c r="D122" s="171"/>
      <c r="E122" s="171">
        <v>0.37480000000000002</v>
      </c>
      <c r="F122" s="171">
        <f>+$G$98*(E122/100)</f>
        <v>6.1841999999999999E-3</v>
      </c>
      <c r="G122"/>
      <c r="H122"/>
      <c r="I122"/>
    </row>
    <row r="123" spans="1:15" ht="12.75" hidden="1">
      <c r="A123"/>
      <c r="B123"/>
      <c r="C123"/>
      <c r="D123"/>
      <c r="E123"/>
      <c r="F123"/>
      <c r="G123"/>
      <c r="H123"/>
      <c r="I123"/>
    </row>
    <row r="124" spans="1:15" ht="12.75">
      <c r="B124"/>
      <c r="C124"/>
      <c r="D124"/>
      <c r="E124"/>
      <c r="F124"/>
      <c r="G124"/>
      <c r="H124"/>
      <c r="I124"/>
    </row>
    <row r="125" spans="1:15" ht="12.75">
      <c r="A125"/>
      <c r="B125"/>
      <c r="C125"/>
      <c r="D125"/>
      <c r="E125"/>
      <c r="F125"/>
      <c r="G125"/>
      <c r="H125"/>
      <c r="I125"/>
    </row>
    <row r="126" spans="1:15" ht="12.75">
      <c r="A126"/>
      <c r="B126"/>
      <c r="C126"/>
      <c r="D126"/>
      <c r="E126"/>
      <c r="F126"/>
      <c r="G126"/>
      <c r="H126"/>
      <c r="I126"/>
    </row>
    <row r="127" spans="1:15" ht="12.75">
      <c r="A127"/>
      <c r="B127"/>
      <c r="C127"/>
      <c r="D127"/>
      <c r="E127"/>
      <c r="F127"/>
      <c r="G127"/>
      <c r="H127"/>
      <c r="I127"/>
      <c r="N127" s="12" t="s">
        <v>428</v>
      </c>
    </row>
    <row r="128" spans="1:15" ht="12.75">
      <c r="A128" s="421" t="s">
        <v>140</v>
      </c>
      <c r="B128" s="422"/>
      <c r="C128" s="423"/>
      <c r="D128"/>
      <c r="E128" s="173"/>
      <c r="F128"/>
      <c r="G128" s="174"/>
      <c r="H128"/>
      <c r="I128" s="302" t="s">
        <v>47</v>
      </c>
      <c r="J128" s="303"/>
      <c r="K128" s="304"/>
      <c r="N128" s="12" t="s">
        <v>142</v>
      </c>
    </row>
    <row r="129" spans="1:15" ht="12.75">
      <c r="A129" s="178" t="s">
        <v>143</v>
      </c>
      <c r="B129" s="176" t="s">
        <v>144</v>
      </c>
      <c r="C129" s="344">
        <v>0.63</v>
      </c>
      <c r="D129" s="65"/>
      <c r="E129" s="176"/>
      <c r="F129" s="66"/>
      <c r="G129" s="178"/>
      <c r="H129" s="66"/>
      <c r="I129" s="178" t="s">
        <v>145</v>
      </c>
      <c r="J129" s="65"/>
      <c r="K129" s="177">
        <v>0</v>
      </c>
      <c r="L129" s="65"/>
      <c r="N129" s="12" t="s">
        <v>146</v>
      </c>
      <c r="O129" s="12">
        <v>1024</v>
      </c>
    </row>
    <row r="130" spans="1:15" ht="12.75">
      <c r="A130" s="65"/>
      <c r="B130" s="176" t="s">
        <v>147</v>
      </c>
      <c r="C130" s="344">
        <v>1E-3</v>
      </c>
      <c r="D130" s="65"/>
      <c r="E130" s="66"/>
      <c r="F130" s="66"/>
      <c r="G130" s="178"/>
      <c r="H130" s="66"/>
      <c r="I130" s="178" t="s">
        <v>148</v>
      </c>
      <c r="J130" s="65">
        <v>6688</v>
      </c>
      <c r="K130" s="179">
        <v>13</v>
      </c>
      <c r="L130" s="65"/>
      <c r="N130" s="12" t="s">
        <v>149</v>
      </c>
      <c r="O130" s="12">
        <v>1500</v>
      </c>
    </row>
    <row r="131" spans="1:15" ht="12.75">
      <c r="A131" s="65"/>
      <c r="B131" s="176" t="s">
        <v>150</v>
      </c>
      <c r="C131" s="344">
        <v>0.5</v>
      </c>
      <c r="D131" s="65"/>
      <c r="E131" s="66"/>
      <c r="F131" s="66"/>
      <c r="G131" s="178"/>
      <c r="H131" s="66" t="s">
        <v>446</v>
      </c>
      <c r="I131" s="178" t="s">
        <v>68</v>
      </c>
      <c r="J131" s="65">
        <v>6888</v>
      </c>
      <c r="K131" s="236">
        <f>5455+6000-6000</f>
        <v>5455</v>
      </c>
      <c r="L131" s="65"/>
      <c r="N131" s="12" t="s">
        <v>151</v>
      </c>
      <c r="O131" s="12">
        <v>219</v>
      </c>
    </row>
    <row r="132" spans="1:15" ht="12.75">
      <c r="A132" s="65"/>
      <c r="B132" s="176" t="s">
        <v>152</v>
      </c>
      <c r="C132" s="176">
        <v>10</v>
      </c>
      <c r="D132" s="65">
        <v>2</v>
      </c>
      <c r="E132" s="66"/>
      <c r="F132" s="66"/>
      <c r="G132" s="178"/>
      <c r="H132" s="66"/>
      <c r="I132" s="178" t="s">
        <v>156</v>
      </c>
      <c r="J132" s="65">
        <v>900338</v>
      </c>
      <c r="K132" s="179">
        <v>690</v>
      </c>
      <c r="L132" s="65"/>
      <c r="N132" s="12" t="s">
        <v>153</v>
      </c>
      <c r="O132" s="12">
        <v>1000</v>
      </c>
    </row>
    <row r="133" spans="1:15" ht="12.75">
      <c r="A133" s="178" t="s">
        <v>154</v>
      </c>
      <c r="B133" s="176" t="s">
        <v>155</v>
      </c>
      <c r="C133" s="176">
        <v>3.6</v>
      </c>
      <c r="D133" s="65"/>
      <c r="E133" s="66"/>
      <c r="F133" s="66"/>
      <c r="G133" s="178"/>
      <c r="H133" s="66"/>
      <c r="I133" s="178" t="s">
        <v>161</v>
      </c>
      <c r="J133" s="65"/>
      <c r="K133" s="179">
        <v>0</v>
      </c>
      <c r="L133" s="65"/>
      <c r="N133" s="12" t="s">
        <v>157</v>
      </c>
      <c r="O133" s="12">
        <v>90</v>
      </c>
    </row>
    <row r="134" spans="1:15" ht="12.75">
      <c r="A134" s="178"/>
      <c r="B134" s="176"/>
      <c r="C134" s="176"/>
      <c r="D134" s="65"/>
      <c r="E134" s="66"/>
      <c r="F134" s="66"/>
      <c r="G134" s="178"/>
      <c r="H134" s="66"/>
      <c r="I134" s="178" t="s">
        <v>365</v>
      </c>
      <c r="J134" s="65">
        <v>5333</v>
      </c>
      <c r="K134" s="179">
        <v>250</v>
      </c>
      <c r="L134" s="65" t="s">
        <v>366</v>
      </c>
    </row>
    <row r="135" spans="1:15" ht="12.75">
      <c r="A135" s="65"/>
      <c r="B135" s="176"/>
      <c r="C135" s="178"/>
      <c r="D135" s="65"/>
      <c r="E135" s="66"/>
      <c r="F135" s="66"/>
      <c r="G135" s="178"/>
      <c r="H135" s="66"/>
      <c r="I135" s="177" t="s">
        <v>168</v>
      </c>
      <c r="J135" s="65">
        <v>6373</v>
      </c>
      <c r="K135" s="179">
        <v>0</v>
      </c>
      <c r="L135" s="65"/>
      <c r="N135" s="12" t="s">
        <v>80</v>
      </c>
    </row>
    <row r="136" spans="1:15" ht="12.75">
      <c r="A136" s="65"/>
      <c r="B136" s="176"/>
      <c r="C136" s="176"/>
      <c r="D136" s="65"/>
      <c r="E136" s="66"/>
      <c r="F136" s="66"/>
      <c r="G136" s="178"/>
      <c r="H136" s="66"/>
      <c r="I136" s="177" t="s">
        <v>165</v>
      </c>
      <c r="J136" s="65">
        <v>4286</v>
      </c>
      <c r="K136" s="179">
        <v>39</v>
      </c>
      <c r="L136" s="65"/>
    </row>
    <row r="137" spans="1:15" ht="12.75">
      <c r="A137" s="178" t="s">
        <v>162</v>
      </c>
      <c r="B137" s="176" t="s">
        <v>163</v>
      </c>
      <c r="C137" s="176">
        <v>0.8</v>
      </c>
      <c r="D137" s="66"/>
      <c r="E137" s="66"/>
      <c r="F137" s="66"/>
      <c r="G137" s="178"/>
      <c r="H137" s="66" t="s">
        <v>446</v>
      </c>
      <c r="I137" s="177" t="s">
        <v>401</v>
      </c>
      <c r="J137" s="65">
        <v>6480</v>
      </c>
      <c r="K137" s="354">
        <v>49</v>
      </c>
      <c r="L137" s="235"/>
    </row>
    <row r="138" spans="1:15" ht="12.75">
      <c r="A138" s="66"/>
      <c r="B138" s="176" t="s">
        <v>6</v>
      </c>
      <c r="C138" s="176">
        <v>3</v>
      </c>
      <c r="D138" s="66"/>
      <c r="E138" s="66"/>
      <c r="F138" s="66"/>
      <c r="G138" s="178"/>
      <c r="H138" s="178"/>
      <c r="I138" s="177" t="s">
        <v>342</v>
      </c>
      <c r="J138" s="65">
        <v>6551</v>
      </c>
      <c r="K138" s="179">
        <v>0</v>
      </c>
      <c r="L138" s="65" t="s">
        <v>460</v>
      </c>
    </row>
    <row r="139" spans="1:15" ht="12.75">
      <c r="A139" s="66"/>
      <c r="B139" s="176" t="s">
        <v>7</v>
      </c>
      <c r="C139" s="178">
        <v>0</v>
      </c>
      <c r="D139" s="66" t="s">
        <v>65</v>
      </c>
      <c r="E139" s="66"/>
      <c r="F139" s="66"/>
      <c r="G139" s="178"/>
      <c r="H139" s="66"/>
      <c r="I139" s="177" t="s">
        <v>164</v>
      </c>
      <c r="J139" s="65">
        <v>6835</v>
      </c>
      <c r="K139" s="179">
        <v>0</v>
      </c>
      <c r="L139" s="65" t="s">
        <v>460</v>
      </c>
    </row>
    <row r="140" spans="1:15" ht="12.75">
      <c r="A140" s="66"/>
      <c r="B140" s="176" t="s">
        <v>167</v>
      </c>
      <c r="C140" s="176">
        <v>2.5000000000000001E-2</v>
      </c>
      <c r="D140" s="66"/>
      <c r="E140" s="66"/>
      <c r="F140" s="66"/>
      <c r="G140" s="178"/>
      <c r="H140" s="66"/>
      <c r="I140" s="177" t="s">
        <v>166</v>
      </c>
      <c r="J140" s="65">
        <v>9676</v>
      </c>
      <c r="K140" s="179">
        <v>0</v>
      </c>
      <c r="L140" s="235"/>
    </row>
    <row r="141" spans="1:15" ht="12.75">
      <c r="A141" s="66"/>
      <c r="B141" s="176" t="s">
        <v>169</v>
      </c>
      <c r="C141" s="178">
        <v>0</v>
      </c>
      <c r="D141" s="66"/>
      <c r="E141" s="66"/>
      <c r="F141" s="66"/>
      <c r="G141" s="178"/>
      <c r="H141" s="66" t="s">
        <v>446</v>
      </c>
      <c r="I141" s="177" t="s">
        <v>402</v>
      </c>
      <c r="J141" s="65">
        <v>4056</v>
      </c>
      <c r="K141" s="354">
        <v>820</v>
      </c>
      <c r="L141" s="65"/>
    </row>
    <row r="142" spans="1:15" ht="12.75">
      <c r="A142" s="66"/>
      <c r="B142" s="176" t="s">
        <v>171</v>
      </c>
      <c r="C142" s="176">
        <v>8</v>
      </c>
      <c r="D142" s="66"/>
      <c r="E142" s="66"/>
      <c r="F142" s="66"/>
      <c r="G142" s="178"/>
      <c r="H142" s="66" t="s">
        <v>446</v>
      </c>
      <c r="I142" s="177" t="s">
        <v>402</v>
      </c>
      <c r="J142" s="65">
        <v>6855</v>
      </c>
      <c r="K142" s="354">
        <v>227</v>
      </c>
      <c r="L142" s="65"/>
    </row>
    <row r="143" spans="1:15" ht="12.75">
      <c r="A143" s="66"/>
      <c r="B143" s="176"/>
      <c r="C143" s="176"/>
      <c r="D143" s="66"/>
      <c r="E143" s="66"/>
      <c r="F143" s="66"/>
      <c r="G143" s="178"/>
      <c r="H143" s="66"/>
      <c r="I143" s="177" t="s">
        <v>170</v>
      </c>
      <c r="J143" s="65">
        <v>4132</v>
      </c>
      <c r="K143" s="179">
        <v>176</v>
      </c>
      <c r="L143" s="65"/>
    </row>
    <row r="144" spans="1:15" ht="12.75">
      <c r="A144" s="66"/>
      <c r="B144" s="176" t="s">
        <v>173</v>
      </c>
      <c r="C144" s="371">
        <v>20</v>
      </c>
      <c r="D144" s="66"/>
      <c r="E144" s="66"/>
      <c r="F144" s="66"/>
      <c r="G144" s="178"/>
      <c r="H144" s="66"/>
      <c r="I144" s="177" t="s">
        <v>172</v>
      </c>
      <c r="J144" s="65">
        <v>4120</v>
      </c>
      <c r="K144" s="179">
        <v>821</v>
      </c>
      <c r="L144" s="65"/>
    </row>
    <row r="145" spans="1:12" ht="12.75">
      <c r="A145" s="66"/>
      <c r="B145" s="176" t="s">
        <v>175</v>
      </c>
      <c r="C145" s="176">
        <v>3.85</v>
      </c>
      <c r="D145" s="66"/>
      <c r="E145" s="66"/>
      <c r="F145" s="66"/>
      <c r="G145" s="178"/>
      <c r="H145" s="65"/>
      <c r="I145" s="177" t="s">
        <v>78</v>
      </c>
      <c r="J145" s="65">
        <v>639</v>
      </c>
      <c r="K145" s="179">
        <v>485</v>
      </c>
      <c r="L145" s="65"/>
    </row>
    <row r="146" spans="1:12" ht="12.75">
      <c r="A146" s="66"/>
      <c r="B146" s="176" t="s">
        <v>11</v>
      </c>
      <c r="C146" s="176">
        <v>0</v>
      </c>
      <c r="D146" s="66"/>
      <c r="E146" s="66"/>
      <c r="F146" s="66"/>
      <c r="G146" s="178"/>
      <c r="H146" s="65"/>
      <c r="I146" s="366" t="s">
        <v>343</v>
      </c>
      <c r="J146" s="367">
        <v>6840</v>
      </c>
      <c r="K146" s="236">
        <v>0</v>
      </c>
      <c r="L146" s="367"/>
    </row>
    <row r="147" spans="1:12" ht="12.75">
      <c r="A147" s="66"/>
      <c r="B147" s="176" t="s">
        <v>178</v>
      </c>
      <c r="C147" s="176">
        <v>2.5000000000000001E-2</v>
      </c>
      <c r="D147" s="66"/>
      <c r="E147" s="66"/>
      <c r="F147" s="66"/>
      <c r="G147" s="178"/>
      <c r="H147" s="65"/>
      <c r="I147" s="177" t="s">
        <v>176</v>
      </c>
      <c r="J147" s="65">
        <v>6519</v>
      </c>
      <c r="K147" s="179">
        <v>1</v>
      </c>
      <c r="L147" s="65"/>
    </row>
    <row r="148" spans="1:12" ht="12.75">
      <c r="A148" s="66"/>
      <c r="B148" s="176" t="s">
        <v>70</v>
      </c>
      <c r="C148" s="176">
        <v>4</v>
      </c>
      <c r="D148" s="66"/>
      <c r="E148" s="66"/>
      <c r="F148" s="66"/>
      <c r="G148" s="178"/>
      <c r="H148" s="65"/>
      <c r="I148" s="177" t="s">
        <v>177</v>
      </c>
      <c r="J148" s="65">
        <v>5502</v>
      </c>
      <c r="K148" s="179">
        <v>37</v>
      </c>
      <c r="L148" s="65"/>
    </row>
    <row r="149" spans="1:12" ht="12.75">
      <c r="A149" s="66"/>
      <c r="B149" s="176" t="s">
        <v>180</v>
      </c>
      <c r="C149" s="176">
        <v>0.05</v>
      </c>
      <c r="D149" s="66"/>
      <c r="E149" s="66"/>
      <c r="F149" s="66"/>
      <c r="G149" s="178"/>
      <c r="H149" s="65"/>
      <c r="I149" s="177" t="s">
        <v>179</v>
      </c>
      <c r="J149" s="65">
        <v>6789</v>
      </c>
      <c r="K149" s="179">
        <v>0</v>
      </c>
      <c r="L149" s="65" t="s">
        <v>460</v>
      </c>
    </row>
    <row r="150" spans="1:12" ht="12.75">
      <c r="A150" s="66"/>
      <c r="B150" s="176" t="s">
        <v>181</v>
      </c>
      <c r="C150" s="176" t="s">
        <v>456</v>
      </c>
      <c r="D150" s="66" t="s">
        <v>445</v>
      </c>
      <c r="E150" s="66"/>
      <c r="F150" s="66"/>
      <c r="G150" s="178"/>
      <c r="H150" s="65"/>
      <c r="I150" s="177" t="s">
        <v>354</v>
      </c>
      <c r="J150" s="65">
        <v>6545</v>
      </c>
      <c r="K150" s="179">
        <v>0</v>
      </c>
      <c r="L150" s="65" t="s">
        <v>460</v>
      </c>
    </row>
    <row r="151" spans="1:12" ht="12.75">
      <c r="A151" s="66"/>
      <c r="B151" s="176" t="s">
        <v>183</v>
      </c>
      <c r="C151" s="176">
        <v>0.48299999999999998</v>
      </c>
      <c r="D151" s="65"/>
      <c r="E151" s="66"/>
      <c r="F151" s="66"/>
      <c r="G151" s="178"/>
      <c r="H151" s="65"/>
      <c r="I151" s="177" t="s">
        <v>354</v>
      </c>
      <c r="J151" s="65">
        <v>275</v>
      </c>
      <c r="K151" s="179">
        <v>74</v>
      </c>
      <c r="L151" s="65"/>
    </row>
    <row r="152" spans="1:12" ht="12.75">
      <c r="A152" s="66"/>
      <c r="B152" s="176"/>
      <c r="C152" s="176"/>
      <c r="D152" s="65"/>
      <c r="E152" s="66"/>
      <c r="F152" s="66"/>
      <c r="G152" s="178"/>
      <c r="H152" s="65"/>
      <c r="I152" s="177" t="s">
        <v>355</v>
      </c>
      <c r="J152" s="65">
        <v>9812</v>
      </c>
      <c r="K152" s="179">
        <v>0</v>
      </c>
      <c r="L152" s="65" t="s">
        <v>460</v>
      </c>
    </row>
    <row r="153" spans="1:12" ht="12.75">
      <c r="A153" s="65"/>
      <c r="B153" s="176" t="s">
        <v>186</v>
      </c>
      <c r="C153" s="176">
        <v>5</v>
      </c>
      <c r="D153" s="65"/>
      <c r="E153" s="66"/>
      <c r="F153" s="66"/>
      <c r="G153" s="178"/>
      <c r="H153" s="65"/>
      <c r="I153" s="177" t="s">
        <v>356</v>
      </c>
      <c r="J153" s="65">
        <v>6387</v>
      </c>
      <c r="K153" s="179">
        <v>400</v>
      </c>
      <c r="L153" s="65"/>
    </row>
    <row r="154" spans="1:12" ht="12.75">
      <c r="A154" s="65"/>
      <c r="B154" s="176" t="s">
        <v>187</v>
      </c>
      <c r="C154" s="178">
        <v>0</v>
      </c>
      <c r="D154" s="65"/>
      <c r="E154" s="66"/>
      <c r="F154" s="66"/>
      <c r="G154" s="178"/>
      <c r="H154" s="65"/>
      <c r="I154" s="366" t="s">
        <v>356</v>
      </c>
      <c r="J154" s="367">
        <v>6347</v>
      </c>
      <c r="K154" s="236">
        <v>0</v>
      </c>
      <c r="L154" s="65"/>
    </row>
    <row r="155" spans="1:12" ht="12.75">
      <c r="A155" s="65"/>
      <c r="B155" s="176" t="s">
        <v>189</v>
      </c>
      <c r="C155" s="176">
        <v>10</v>
      </c>
      <c r="D155" s="65"/>
      <c r="E155" s="66"/>
      <c r="F155" s="66"/>
      <c r="G155" s="178"/>
      <c r="H155" s="65"/>
      <c r="I155" s="177" t="s">
        <v>356</v>
      </c>
      <c r="J155" s="65">
        <v>5892</v>
      </c>
      <c r="K155" s="179">
        <v>28</v>
      </c>
      <c r="L155" s="65"/>
    </row>
    <row r="156" spans="1:12" ht="12.75">
      <c r="A156" s="65"/>
      <c r="B156" s="176" t="s">
        <v>191</v>
      </c>
      <c r="C156" s="176">
        <v>0.1</v>
      </c>
      <c r="D156" s="65"/>
      <c r="E156" s="66"/>
      <c r="F156" s="66"/>
      <c r="G156" s="178"/>
      <c r="H156" s="65"/>
      <c r="I156" s="177" t="s">
        <v>356</v>
      </c>
      <c r="J156" s="65">
        <v>6757</v>
      </c>
      <c r="K156" s="179">
        <v>21</v>
      </c>
      <c r="L156" s="65"/>
    </row>
    <row r="157" spans="1:12" ht="12.75">
      <c r="A157" s="65"/>
      <c r="B157" s="343" t="s">
        <v>327</v>
      </c>
      <c r="C157" s="176">
        <v>2</v>
      </c>
      <c r="D157" s="65"/>
      <c r="E157" s="66"/>
      <c r="F157" s="66"/>
      <c r="G157" s="178"/>
      <c r="H157" s="65"/>
      <c r="I157" s="177" t="s">
        <v>182</v>
      </c>
      <c r="J157" s="65">
        <v>6598</v>
      </c>
      <c r="K157" s="179">
        <v>204</v>
      </c>
      <c r="L157" s="65"/>
    </row>
    <row r="158" spans="1:12" ht="12.75">
      <c r="A158" s="65"/>
      <c r="B158" s="176" t="s">
        <v>196</v>
      </c>
      <c r="C158" s="176">
        <v>0.02</v>
      </c>
      <c r="D158" s="65"/>
      <c r="E158" s="66"/>
      <c r="F158" s="66"/>
      <c r="G158" s="178"/>
      <c r="H158" s="66" t="s">
        <v>446</v>
      </c>
      <c r="I158" s="177" t="s">
        <v>184</v>
      </c>
      <c r="J158" s="65">
        <v>6392</v>
      </c>
      <c r="K158" s="354">
        <v>86</v>
      </c>
      <c r="L158" s="65"/>
    </row>
    <row r="159" spans="1:12" ht="12.75">
      <c r="A159" s="65"/>
      <c r="B159" s="176"/>
      <c r="C159" s="178"/>
      <c r="D159" s="65"/>
      <c r="E159" s="66"/>
      <c r="F159" s="66"/>
      <c r="G159" s="178"/>
      <c r="H159" s="66" t="s">
        <v>446</v>
      </c>
      <c r="I159" s="178" t="s">
        <v>386</v>
      </c>
      <c r="J159" s="65">
        <v>3405</v>
      </c>
      <c r="K159" s="236">
        <v>2429</v>
      </c>
      <c r="L159" s="65"/>
    </row>
    <row r="160" spans="1:12" ht="12.75">
      <c r="A160" s="65"/>
      <c r="B160" s="176" t="s">
        <v>198</v>
      </c>
      <c r="C160" s="176">
        <v>0.55600000000000005</v>
      </c>
      <c r="D160" s="65"/>
      <c r="E160" s="66"/>
      <c r="F160" s="66"/>
      <c r="G160" s="178"/>
      <c r="H160" s="65"/>
      <c r="I160" s="177" t="s">
        <v>297</v>
      </c>
      <c r="J160" s="65">
        <v>440</v>
      </c>
      <c r="K160" s="179">
        <v>444</v>
      </c>
      <c r="L160" s="65"/>
    </row>
    <row r="161" spans="1:12" ht="12.75">
      <c r="A161" s="65"/>
      <c r="B161" s="176" t="s">
        <v>201</v>
      </c>
      <c r="C161" s="176">
        <v>9</v>
      </c>
      <c r="D161" s="65"/>
      <c r="E161" s="66"/>
      <c r="F161" s="66"/>
      <c r="G161" s="178"/>
      <c r="H161" s="66" t="s">
        <v>446</v>
      </c>
      <c r="I161" s="177" t="s">
        <v>149</v>
      </c>
      <c r="J161" s="65">
        <v>6173</v>
      </c>
      <c r="K161" s="354">
        <v>550</v>
      </c>
      <c r="L161" s="65"/>
    </row>
    <row r="162" spans="1:12" ht="12.75">
      <c r="A162" s="65"/>
      <c r="B162" s="176" t="s">
        <v>203</v>
      </c>
      <c r="C162" s="176">
        <v>2.1</v>
      </c>
      <c r="D162" s="65"/>
      <c r="E162" s="66"/>
      <c r="F162" s="66"/>
      <c r="G162" s="178"/>
      <c r="H162" s="65"/>
      <c r="I162" s="177" t="s">
        <v>188</v>
      </c>
      <c r="J162" s="65"/>
      <c r="K162" s="177">
        <v>0</v>
      </c>
      <c r="L162" s="65"/>
    </row>
    <row r="163" spans="1:12" ht="12.75">
      <c r="A163" s="65"/>
      <c r="B163" s="176" t="s">
        <v>16</v>
      </c>
      <c r="C163" s="176">
        <v>34</v>
      </c>
      <c r="D163" s="65"/>
      <c r="E163" s="66"/>
      <c r="F163" s="66"/>
      <c r="G163" s="178"/>
      <c r="H163" s="65"/>
      <c r="I163" s="177" t="s">
        <v>190</v>
      </c>
      <c r="J163" s="65">
        <v>4132</v>
      </c>
      <c r="K163" s="179">
        <v>7500</v>
      </c>
      <c r="L163" s="65"/>
    </row>
    <row r="164" spans="1:12" ht="12.75">
      <c r="A164" s="65"/>
      <c r="B164" s="319" t="s">
        <v>14</v>
      </c>
      <c r="C164" s="319">
        <v>80</v>
      </c>
      <c r="D164" s="65">
        <v>70</v>
      </c>
      <c r="E164" s="66"/>
      <c r="F164" s="66"/>
      <c r="G164" s="178"/>
      <c r="H164" s="65"/>
      <c r="I164" s="177" t="s">
        <v>192</v>
      </c>
      <c r="J164" s="211" t="s">
        <v>193</v>
      </c>
      <c r="K164" s="179">
        <v>0</v>
      </c>
      <c r="L164" s="65" t="s">
        <v>460</v>
      </c>
    </row>
    <row r="165" spans="1:12" ht="12.75">
      <c r="A165" s="65"/>
      <c r="B165" s="176" t="s">
        <v>208</v>
      </c>
      <c r="C165" s="352">
        <v>0.18</v>
      </c>
      <c r="D165" s="65"/>
      <c r="E165" s="66"/>
      <c r="F165" s="66"/>
      <c r="G165" s="178"/>
      <c r="H165" s="65"/>
      <c r="I165" s="177" t="s">
        <v>195</v>
      </c>
      <c r="J165" s="65">
        <v>3405</v>
      </c>
      <c r="K165" s="177">
        <v>0</v>
      </c>
      <c r="L165" s="65"/>
    </row>
    <row r="166" spans="1:12" ht="12.75">
      <c r="A166" s="65"/>
      <c r="B166" s="180" t="s">
        <v>210</v>
      </c>
      <c r="C166" s="369">
        <v>2.5</v>
      </c>
      <c r="D166" s="65"/>
      <c r="E166" s="66"/>
      <c r="F166" s="66"/>
      <c r="G166" s="178"/>
      <c r="H166" s="65"/>
      <c r="I166" s="177" t="s">
        <v>197</v>
      </c>
      <c r="J166" s="65">
        <v>6353</v>
      </c>
      <c r="K166" s="179">
        <v>3543</v>
      </c>
      <c r="L166" s="65"/>
    </row>
    <row r="167" spans="1:12" ht="12.75">
      <c r="A167" s="65"/>
      <c r="B167" s="176" t="s">
        <v>18</v>
      </c>
      <c r="C167" s="362">
        <v>30</v>
      </c>
      <c r="D167" s="65"/>
      <c r="E167" s="66"/>
      <c r="F167" s="66"/>
      <c r="G167" s="178"/>
      <c r="H167" s="66" t="s">
        <v>446</v>
      </c>
      <c r="I167" s="177" t="s">
        <v>199</v>
      </c>
      <c r="J167" s="65">
        <v>6899</v>
      </c>
      <c r="K167" s="354">
        <v>400</v>
      </c>
      <c r="L167" s="65"/>
    </row>
    <row r="168" spans="1:12" ht="12.75">
      <c r="A168" s="65"/>
      <c r="B168" s="176" t="s">
        <v>214</v>
      </c>
      <c r="C168" s="176">
        <v>0</v>
      </c>
      <c r="D168" s="65"/>
      <c r="E168" s="66"/>
      <c r="F168" s="66"/>
      <c r="G168" s="178"/>
      <c r="H168" s="65"/>
      <c r="I168" s="177" t="s">
        <v>357</v>
      </c>
      <c r="J168" s="258" t="s">
        <v>358</v>
      </c>
      <c r="K168" s="179">
        <v>20</v>
      </c>
      <c r="L168" s="65"/>
    </row>
    <row r="169" spans="1:12" ht="12.75">
      <c r="A169" s="65"/>
      <c r="B169" s="176" t="s">
        <v>216</v>
      </c>
      <c r="C169" s="362">
        <v>10.25</v>
      </c>
      <c r="D169" s="235"/>
      <c r="E169" s="66"/>
      <c r="F169" s="66"/>
      <c r="G169" s="178"/>
      <c r="H169" s="65"/>
      <c r="I169" s="177" t="s">
        <v>202</v>
      </c>
      <c r="J169" s="65">
        <v>7491</v>
      </c>
      <c r="K169" s="179">
        <v>1000</v>
      </c>
      <c r="L169" s="65"/>
    </row>
    <row r="170" spans="1:12" ht="12.75">
      <c r="A170" s="65"/>
      <c r="B170" s="176" t="s">
        <v>218</v>
      </c>
      <c r="C170" s="352">
        <v>0.5</v>
      </c>
      <c r="D170" s="65"/>
      <c r="E170" s="66"/>
      <c r="F170" s="66"/>
      <c r="G170" s="178"/>
      <c r="H170" s="65"/>
      <c r="I170" s="177" t="s">
        <v>359</v>
      </c>
      <c r="J170" s="65">
        <v>6173</v>
      </c>
      <c r="K170" s="179">
        <v>0</v>
      </c>
      <c r="L170" s="65"/>
    </row>
    <row r="171" spans="1:12" ht="12.75">
      <c r="A171" s="65"/>
      <c r="B171" s="176" t="s">
        <v>220</v>
      </c>
      <c r="C171" s="352">
        <v>0.215</v>
      </c>
      <c r="D171" s="65"/>
      <c r="E171" s="66"/>
      <c r="F171" s="66"/>
      <c r="G171" s="178"/>
      <c r="H171" s="65"/>
      <c r="I171" s="177" t="s">
        <v>204</v>
      </c>
      <c r="J171" s="65">
        <v>6210</v>
      </c>
      <c r="K171" s="179">
        <v>0</v>
      </c>
      <c r="L171" s="65" t="s">
        <v>460</v>
      </c>
    </row>
    <row r="172" spans="1:12" ht="12.75">
      <c r="A172" s="65"/>
      <c r="B172" s="176" t="s">
        <v>222</v>
      </c>
      <c r="C172" s="352">
        <v>0.8</v>
      </c>
      <c r="D172" s="65"/>
      <c r="E172" s="66"/>
      <c r="F172" s="66"/>
      <c r="G172" s="178"/>
      <c r="H172" s="65"/>
      <c r="I172" s="177" t="s">
        <v>205</v>
      </c>
      <c r="J172" s="65">
        <v>5097</v>
      </c>
      <c r="K172" s="179">
        <v>0</v>
      </c>
      <c r="L172" s="65"/>
    </row>
    <row r="173" spans="1:12" ht="12.75">
      <c r="A173" s="65"/>
      <c r="B173" s="176" t="s">
        <v>88</v>
      </c>
      <c r="C173" s="178">
        <v>0</v>
      </c>
      <c r="D173" s="65"/>
      <c r="E173" s="66"/>
      <c r="F173" s="66"/>
      <c r="G173" s="178"/>
      <c r="H173" s="65"/>
      <c r="I173" s="177" t="s">
        <v>206</v>
      </c>
      <c r="J173" s="212" t="s">
        <v>382</v>
      </c>
      <c r="K173" s="179">
        <v>0</v>
      </c>
      <c r="L173" s="65" t="s">
        <v>460</v>
      </c>
    </row>
    <row r="174" spans="1:12" ht="12.75">
      <c r="A174" s="65"/>
      <c r="B174" s="176" t="s">
        <v>225</v>
      </c>
      <c r="C174" s="176">
        <v>0</v>
      </c>
      <c r="D174" s="65"/>
      <c r="E174" s="66"/>
      <c r="F174" s="66"/>
      <c r="G174" s="178"/>
      <c r="H174" s="65"/>
      <c r="I174" s="177" t="s">
        <v>209</v>
      </c>
      <c r="J174" s="258" t="s">
        <v>358</v>
      </c>
      <c r="K174" s="179">
        <v>800</v>
      </c>
      <c r="L174" s="65"/>
    </row>
    <row r="175" spans="1:12" ht="12.75">
      <c r="A175" s="65"/>
      <c r="B175" s="176" t="s">
        <v>227</v>
      </c>
      <c r="C175" s="352">
        <v>1</v>
      </c>
      <c r="D175" s="65"/>
      <c r="E175" s="66"/>
      <c r="F175" s="66"/>
      <c r="G175" s="178"/>
      <c r="H175" s="65"/>
      <c r="I175" s="177" t="s">
        <v>476</v>
      </c>
      <c r="J175" s="258" t="s">
        <v>477</v>
      </c>
      <c r="K175" s="179">
        <v>48</v>
      </c>
      <c r="L175" s="65"/>
    </row>
    <row r="176" spans="1:12" ht="12.75">
      <c r="A176" s="65"/>
      <c r="B176" s="176" t="s">
        <v>229</v>
      </c>
      <c r="C176" s="176">
        <v>0</v>
      </c>
      <c r="D176" s="65" t="s">
        <v>447</v>
      </c>
      <c r="E176" s="66"/>
      <c r="F176" s="66"/>
      <c r="G176" s="178"/>
      <c r="H176" s="65"/>
      <c r="I176" s="177" t="s">
        <v>219</v>
      </c>
      <c r="J176" s="65">
        <v>6614</v>
      </c>
      <c r="K176" s="179">
        <v>0</v>
      </c>
      <c r="L176" s="65"/>
    </row>
    <row r="177" spans="1:12" ht="12.75">
      <c r="A177" s="65"/>
      <c r="B177" s="176" t="s">
        <v>231</v>
      </c>
      <c r="C177" s="352">
        <v>1.4</v>
      </c>
      <c r="D177" s="65"/>
      <c r="E177" s="66"/>
      <c r="F177" s="66"/>
      <c r="G177" s="178"/>
      <c r="H177" s="65"/>
      <c r="I177" s="177" t="s">
        <v>213</v>
      </c>
      <c r="J177" s="65">
        <v>5310</v>
      </c>
      <c r="K177" s="179">
        <v>0</v>
      </c>
      <c r="L177" s="65" t="s">
        <v>460</v>
      </c>
    </row>
    <row r="178" spans="1:12" ht="12.75">
      <c r="A178" s="65"/>
      <c r="B178" s="176" t="s">
        <v>233</v>
      </c>
      <c r="C178" s="362">
        <v>15</v>
      </c>
      <c r="D178" s="177"/>
      <c r="E178" s="66"/>
      <c r="F178" s="66"/>
      <c r="G178" s="178"/>
      <c r="H178" s="65"/>
      <c r="I178" s="177" t="s">
        <v>221</v>
      </c>
      <c r="J178" s="65">
        <v>6542</v>
      </c>
      <c r="K178" s="179">
        <v>405</v>
      </c>
      <c r="L178" s="65"/>
    </row>
    <row r="179" spans="1:12" ht="12.75">
      <c r="A179" s="65"/>
      <c r="B179" s="176" t="s">
        <v>235</v>
      </c>
      <c r="C179" s="362">
        <v>5.9749999999999996</v>
      </c>
      <c r="D179" s="65"/>
      <c r="E179" s="66"/>
      <c r="F179" s="66"/>
      <c r="G179" s="178"/>
      <c r="H179" s="65"/>
      <c r="I179" s="177" t="s">
        <v>333</v>
      </c>
      <c r="J179" s="212" t="s">
        <v>383</v>
      </c>
      <c r="K179" s="179">
        <v>0</v>
      </c>
      <c r="L179" s="65" t="s">
        <v>460</v>
      </c>
    </row>
    <row r="180" spans="1:12" ht="12.75">
      <c r="A180" s="65"/>
      <c r="B180" s="176" t="s">
        <v>237</v>
      </c>
      <c r="C180" s="362">
        <v>10</v>
      </c>
      <c r="D180" s="65"/>
      <c r="E180" s="66"/>
      <c r="F180" s="66"/>
      <c r="G180" s="178"/>
      <c r="H180" s="65"/>
      <c r="I180" s="177" t="s">
        <v>333</v>
      </c>
      <c r="J180" s="65">
        <v>6534</v>
      </c>
      <c r="K180" s="179">
        <v>0</v>
      </c>
      <c r="L180" s="65" t="s">
        <v>460</v>
      </c>
    </row>
    <row r="181" spans="1:12" ht="12.75">
      <c r="A181" s="65"/>
      <c r="B181" s="176" t="s">
        <v>239</v>
      </c>
      <c r="C181" s="352">
        <v>0.05</v>
      </c>
      <c r="D181" s="65"/>
      <c r="E181" s="66"/>
      <c r="F181" s="66"/>
      <c r="G181" s="178"/>
      <c r="H181" s="65"/>
      <c r="I181" s="177" t="s">
        <v>223</v>
      </c>
      <c r="J181" s="65">
        <v>5310</v>
      </c>
      <c r="K181" s="179">
        <v>0</v>
      </c>
      <c r="L181" s="65" t="s">
        <v>460</v>
      </c>
    </row>
    <row r="182" spans="1:12" ht="12.75">
      <c r="A182" s="65"/>
      <c r="B182" s="176" t="s">
        <v>241</v>
      </c>
      <c r="C182" s="352">
        <v>0.6</v>
      </c>
      <c r="D182" s="65"/>
      <c r="E182" s="66"/>
      <c r="F182" s="66"/>
      <c r="G182" s="178"/>
      <c r="H182" s="65"/>
      <c r="I182" s="177" t="s">
        <v>224</v>
      </c>
      <c r="J182" s="65">
        <v>5310</v>
      </c>
      <c r="K182" s="179">
        <v>0</v>
      </c>
      <c r="L182" s="65" t="s">
        <v>460</v>
      </c>
    </row>
    <row r="183" spans="1:12" ht="12.75">
      <c r="A183" s="65"/>
      <c r="B183" s="176" t="s">
        <v>243</v>
      </c>
      <c r="C183" s="352">
        <v>0.24</v>
      </c>
      <c r="D183" s="65"/>
      <c r="E183" s="66"/>
      <c r="F183" s="66"/>
      <c r="G183" s="178"/>
      <c r="H183" s="65"/>
      <c r="I183" s="177" t="s">
        <v>232</v>
      </c>
      <c r="J183" s="65"/>
      <c r="K183" s="177">
        <v>0</v>
      </c>
      <c r="L183" s="65"/>
    </row>
    <row r="184" spans="1:12" ht="12.75">
      <c r="A184" s="65"/>
      <c r="B184" s="176" t="s">
        <v>92</v>
      </c>
      <c r="C184" s="176">
        <v>0</v>
      </c>
      <c r="D184" s="65" t="s">
        <v>447</v>
      </c>
      <c r="E184" s="66"/>
      <c r="F184" s="66"/>
      <c r="G184" s="178"/>
      <c r="H184" s="65"/>
      <c r="I184" s="177" t="s">
        <v>230</v>
      </c>
      <c r="J184" s="65"/>
      <c r="K184" s="177">
        <v>0</v>
      </c>
      <c r="L184" s="65"/>
    </row>
    <row r="185" spans="1:12" ht="12.75">
      <c r="A185" s="65"/>
      <c r="B185" s="344" t="s">
        <v>86</v>
      </c>
      <c r="C185" s="176">
        <v>0</v>
      </c>
      <c r="D185" s="65"/>
      <c r="E185" s="66"/>
      <c r="F185" s="66"/>
      <c r="G185" s="178"/>
      <c r="H185" s="65"/>
      <c r="I185" s="177" t="s">
        <v>234</v>
      </c>
      <c r="J185" s="65"/>
      <c r="K185" s="177">
        <v>0</v>
      </c>
      <c r="L185" s="65"/>
    </row>
    <row r="186" spans="1:12" ht="12.75">
      <c r="A186" s="65"/>
      <c r="B186" s="176"/>
      <c r="C186" s="176"/>
      <c r="D186" s="65"/>
      <c r="E186" s="66"/>
      <c r="F186" s="66"/>
      <c r="G186" s="178"/>
      <c r="H186" s="65"/>
      <c r="I186" s="177" t="s">
        <v>226</v>
      </c>
      <c r="J186" s="65"/>
      <c r="K186" s="177">
        <v>0</v>
      </c>
      <c r="L186" s="65"/>
    </row>
    <row r="187" spans="1:12" ht="12.75">
      <c r="A187" s="65"/>
      <c r="B187" s="176" t="s">
        <v>246</v>
      </c>
      <c r="C187" s="352">
        <v>0.45</v>
      </c>
      <c r="D187" s="65"/>
      <c r="E187" s="66"/>
      <c r="F187" s="66"/>
      <c r="G187" s="178"/>
      <c r="H187" s="66" t="s">
        <v>446</v>
      </c>
      <c r="I187" s="177" t="s">
        <v>228</v>
      </c>
      <c r="J187" s="65"/>
      <c r="K187" s="177">
        <v>0</v>
      </c>
      <c r="L187" s="65"/>
    </row>
    <row r="188" spans="1:12" ht="12.75">
      <c r="A188" s="65"/>
      <c r="B188" s="66" t="s">
        <v>248</v>
      </c>
      <c r="C188" s="66">
        <v>0</v>
      </c>
      <c r="D188" s="65"/>
      <c r="E188" s="66"/>
      <c r="F188" s="66"/>
      <c r="G188" s="178"/>
      <c r="H188" s="65"/>
      <c r="I188" s="177" t="s">
        <v>238</v>
      </c>
      <c r="J188" s="65">
        <v>6722</v>
      </c>
      <c r="K188" s="354">
        <v>30</v>
      </c>
      <c r="L188" s="65"/>
    </row>
    <row r="189" spans="1:12" ht="12.75">
      <c r="A189" s="65"/>
      <c r="B189" s="176" t="s">
        <v>251</v>
      </c>
      <c r="C189" s="362">
        <v>20</v>
      </c>
      <c r="D189" s="65"/>
      <c r="E189" s="66"/>
      <c r="F189" s="66"/>
      <c r="G189" s="178"/>
      <c r="H189" s="65"/>
      <c r="I189" s="177" t="s">
        <v>236</v>
      </c>
      <c r="J189" s="65">
        <v>7211</v>
      </c>
      <c r="K189" s="179">
        <v>0</v>
      </c>
      <c r="L189" s="65"/>
    </row>
    <row r="190" spans="1:12" ht="12.75">
      <c r="A190" s="65"/>
      <c r="B190" s="176" t="s">
        <v>160</v>
      </c>
      <c r="C190" s="362">
        <v>2.4</v>
      </c>
      <c r="D190" s="65"/>
      <c r="E190" s="66"/>
      <c r="F190" s="66"/>
      <c r="G190" s="178"/>
      <c r="H190" s="65"/>
      <c r="I190" s="366" t="s">
        <v>240</v>
      </c>
      <c r="J190" s="367"/>
      <c r="K190" s="236">
        <v>0</v>
      </c>
      <c r="L190" s="65" t="s">
        <v>460</v>
      </c>
    </row>
    <row r="191" spans="1:12" ht="12.75">
      <c r="A191" s="65"/>
      <c r="B191" s="176" t="s">
        <v>253</v>
      </c>
      <c r="C191" s="362">
        <v>1.5</v>
      </c>
      <c r="D191" s="65"/>
      <c r="E191" s="66"/>
      <c r="F191" s="66"/>
      <c r="G191" s="178"/>
      <c r="H191" s="66" t="s">
        <v>446</v>
      </c>
      <c r="I191" s="177" t="s">
        <v>242</v>
      </c>
      <c r="J191" s="65">
        <v>4063</v>
      </c>
      <c r="K191" s="179">
        <v>0</v>
      </c>
      <c r="L191" s="65" t="s">
        <v>460</v>
      </c>
    </row>
    <row r="192" spans="1:12" ht="12.75">
      <c r="A192" s="65"/>
      <c r="B192" s="66" t="s">
        <v>84</v>
      </c>
      <c r="C192" s="66">
        <v>0</v>
      </c>
      <c r="D192" s="65" t="s">
        <v>447</v>
      </c>
      <c r="E192" s="66"/>
      <c r="F192" s="66"/>
      <c r="G192" s="178"/>
      <c r="H192" s="66" t="s">
        <v>446</v>
      </c>
      <c r="I192" s="177" t="s">
        <v>94</v>
      </c>
      <c r="J192" s="65">
        <v>3405</v>
      </c>
      <c r="K192" s="236">
        <v>2677</v>
      </c>
      <c r="L192" s="65"/>
    </row>
    <row r="193" spans="1:14" ht="12.75">
      <c r="A193" s="65"/>
      <c r="B193" s="176" t="s">
        <v>256</v>
      </c>
      <c r="C193" s="362">
        <v>4</v>
      </c>
      <c r="D193" s="65"/>
      <c r="E193" s="66"/>
      <c r="F193" s="66"/>
      <c r="G193" s="178"/>
      <c r="H193" s="65"/>
      <c r="I193" s="177" t="s">
        <v>52</v>
      </c>
      <c r="J193" s="65" t="s">
        <v>385</v>
      </c>
      <c r="K193" s="236">
        <v>7000</v>
      </c>
      <c r="L193" s="65"/>
    </row>
    <row r="194" spans="1:14" ht="12.75">
      <c r="A194" s="65"/>
      <c r="B194" s="176" t="s">
        <v>257</v>
      </c>
      <c r="C194" s="352">
        <v>0.08</v>
      </c>
      <c r="D194" s="65"/>
      <c r="E194" s="66"/>
      <c r="F194" s="66"/>
      <c r="G194" s="178"/>
      <c r="H194" s="65"/>
      <c r="I194" s="177" t="s">
        <v>362</v>
      </c>
      <c r="J194" s="65">
        <v>9643</v>
      </c>
      <c r="K194" s="179">
        <v>0</v>
      </c>
      <c r="L194" s="65" t="s">
        <v>460</v>
      </c>
    </row>
    <row r="195" spans="1:14" ht="12.75">
      <c r="A195" s="65"/>
      <c r="B195" s="176" t="s">
        <v>258</v>
      </c>
      <c r="C195" s="362">
        <v>40</v>
      </c>
      <c r="D195" s="65"/>
      <c r="E195" s="66"/>
      <c r="F195" s="66"/>
      <c r="G195" s="178"/>
      <c r="H195" s="65"/>
      <c r="I195" s="177" t="s">
        <v>244</v>
      </c>
      <c r="J195" s="65">
        <v>6788</v>
      </c>
      <c r="K195" s="179">
        <v>0</v>
      </c>
      <c r="L195" s="65" t="s">
        <v>460</v>
      </c>
    </row>
    <row r="196" spans="1:14" ht="12.75">
      <c r="A196" s="65"/>
      <c r="B196" s="176" t="s">
        <v>26</v>
      </c>
      <c r="C196" s="362">
        <v>15</v>
      </c>
      <c r="D196" s="65"/>
      <c r="E196" s="66"/>
      <c r="F196" s="66"/>
      <c r="G196" s="178"/>
      <c r="H196" s="65"/>
      <c r="I196" s="366" t="s">
        <v>245</v>
      </c>
      <c r="J196" s="367">
        <v>6683</v>
      </c>
      <c r="K196" s="236">
        <v>2500</v>
      </c>
      <c r="L196" s="65"/>
    </row>
    <row r="197" spans="1:14" ht="12.75">
      <c r="A197" s="65"/>
      <c r="B197" s="176" t="s">
        <v>261</v>
      </c>
      <c r="C197" s="362">
        <v>1</v>
      </c>
      <c r="D197" s="65"/>
      <c r="E197" s="66"/>
      <c r="F197" s="180"/>
      <c r="G197" s="178"/>
      <c r="H197" s="65"/>
      <c r="I197" s="177" t="s">
        <v>360</v>
      </c>
      <c r="J197" s="65">
        <v>2185</v>
      </c>
      <c r="K197" s="179">
        <v>71</v>
      </c>
      <c r="L197" s="65"/>
    </row>
    <row r="198" spans="1:14" ht="12.75">
      <c r="A198" s="65"/>
      <c r="B198" s="176" t="s">
        <v>152</v>
      </c>
      <c r="C198" s="176">
        <v>0</v>
      </c>
      <c r="D198" s="65"/>
      <c r="E198" s="66"/>
      <c r="F198" s="66"/>
      <c r="G198" s="178"/>
      <c r="H198" s="65"/>
      <c r="I198" s="177" t="s">
        <v>249</v>
      </c>
      <c r="J198" s="212" t="s">
        <v>384</v>
      </c>
      <c r="K198" s="179">
        <v>8677</v>
      </c>
      <c r="L198" s="65"/>
    </row>
    <row r="199" spans="1:14" ht="12.75">
      <c r="A199" s="65"/>
      <c r="B199" s="176" t="s">
        <v>262</v>
      </c>
      <c r="C199" s="362">
        <v>1</v>
      </c>
      <c r="D199" s="65"/>
      <c r="E199" s="66"/>
      <c r="F199" s="66"/>
      <c r="G199" s="178"/>
      <c r="H199" s="65"/>
      <c r="I199" s="177" t="s">
        <v>252</v>
      </c>
      <c r="J199" s="65">
        <v>4132</v>
      </c>
      <c r="K199" s="179">
        <v>11</v>
      </c>
      <c r="L199" s="65"/>
    </row>
    <row r="200" spans="1:14" ht="12.75">
      <c r="A200" s="65"/>
      <c r="B200" s="176" t="s">
        <v>263</v>
      </c>
      <c r="C200" s="362">
        <f>20+10+29.167</f>
        <v>59.167000000000002</v>
      </c>
      <c r="D200" s="65" t="s">
        <v>478</v>
      </c>
      <c r="E200" s="66"/>
      <c r="F200" s="66"/>
      <c r="G200" s="178"/>
      <c r="H200" s="65"/>
      <c r="I200" s="177" t="s">
        <v>254</v>
      </c>
      <c r="J200" s="65">
        <v>2540</v>
      </c>
      <c r="K200" s="179">
        <v>19</v>
      </c>
      <c r="L200" s="65"/>
    </row>
    <row r="201" spans="1:14" ht="12.75">
      <c r="A201" s="65"/>
      <c r="B201" s="176" t="s">
        <v>264</v>
      </c>
      <c r="C201" s="352">
        <v>0.3</v>
      </c>
      <c r="D201" s="65"/>
      <c r="E201" s="66"/>
      <c r="F201" s="66"/>
      <c r="G201" s="178"/>
      <c r="H201" s="65"/>
      <c r="I201" s="177" t="s">
        <v>255</v>
      </c>
      <c r="J201" s="65">
        <v>9643</v>
      </c>
      <c r="K201" s="179">
        <v>14</v>
      </c>
      <c r="L201" s="65"/>
    </row>
    <row r="202" spans="1:14" ht="12.75">
      <c r="A202" s="65"/>
      <c r="B202" s="176" t="s">
        <v>322</v>
      </c>
      <c r="C202" s="352">
        <v>4.2999999999999997E-2</v>
      </c>
      <c r="D202" s="65"/>
      <c r="E202" s="66"/>
      <c r="F202" s="66"/>
      <c r="G202" s="178"/>
      <c r="H202" s="65"/>
      <c r="I202" s="177" t="s">
        <v>255</v>
      </c>
      <c r="J202" s="65">
        <v>5801</v>
      </c>
      <c r="K202" s="179">
        <v>0</v>
      </c>
      <c r="L202" s="65" t="s">
        <v>460</v>
      </c>
    </row>
    <row r="203" spans="1:14" ht="12.75">
      <c r="A203" s="65"/>
      <c r="B203" s="176" t="s">
        <v>265</v>
      </c>
      <c r="C203" s="176">
        <v>0</v>
      </c>
      <c r="D203" s="65"/>
      <c r="E203" s="66"/>
      <c r="F203" s="66"/>
      <c r="G203" s="178"/>
      <c r="H203" s="65"/>
      <c r="I203" s="177" t="s">
        <v>96</v>
      </c>
      <c r="J203" s="65">
        <v>6589</v>
      </c>
      <c r="K203" s="179">
        <v>0</v>
      </c>
      <c r="L203" s="235" t="s">
        <v>441</v>
      </c>
    </row>
    <row r="204" spans="1:14" ht="12.75">
      <c r="A204" s="65"/>
      <c r="B204" s="176" t="s">
        <v>266</v>
      </c>
      <c r="C204" s="352">
        <v>0.05</v>
      </c>
      <c r="D204" s="65"/>
      <c r="E204" s="66"/>
      <c r="F204" s="66"/>
      <c r="G204" s="178"/>
      <c r="H204" s="65"/>
      <c r="I204" s="177" t="s">
        <v>259</v>
      </c>
      <c r="J204" s="65">
        <v>106</v>
      </c>
      <c r="K204" s="179">
        <v>1068</v>
      </c>
      <c r="L204" s="65"/>
    </row>
    <row r="205" spans="1:14" ht="12.75">
      <c r="A205" s="65"/>
      <c r="B205" s="66" t="s">
        <v>178</v>
      </c>
      <c r="C205" s="66">
        <v>0</v>
      </c>
      <c r="D205" s="65"/>
      <c r="E205" s="66"/>
      <c r="F205" s="66"/>
      <c r="G205" s="178"/>
      <c r="H205" s="65"/>
      <c r="I205" s="177" t="s">
        <v>260</v>
      </c>
      <c r="J205" s="65">
        <v>6598</v>
      </c>
      <c r="K205" s="179">
        <v>0</v>
      </c>
      <c r="L205" s="65" t="s">
        <v>460</v>
      </c>
      <c r="M205" s="209">
        <v>34771</v>
      </c>
      <c r="N205" s="12" t="s">
        <v>462</v>
      </c>
    </row>
    <row r="206" spans="1:14" ht="12.75">
      <c r="A206" s="65"/>
      <c r="B206" s="176" t="s">
        <v>267</v>
      </c>
      <c r="C206" s="176">
        <v>0</v>
      </c>
      <c r="D206" s="65"/>
      <c r="E206" s="66"/>
      <c r="F206" s="66"/>
      <c r="G206" s="178"/>
      <c r="H206" s="65"/>
      <c r="I206" s="178"/>
      <c r="J206" s="65"/>
      <c r="K206" s="345">
        <f>SUM(K129:K205)</f>
        <v>49082</v>
      </c>
    </row>
    <row r="207" spans="1:14" ht="12.75">
      <c r="A207" s="65"/>
      <c r="B207" t="s">
        <v>268</v>
      </c>
      <c r="C207" s="66">
        <v>0</v>
      </c>
      <c r="D207" s="65"/>
      <c r="E207" s="66"/>
      <c r="F207" s="66"/>
      <c r="G207" s="178"/>
      <c r="H207" s="65"/>
      <c r="I207" s="178"/>
      <c r="J207" s="65"/>
      <c r="K207" s="179"/>
      <c r="L207" s="65"/>
    </row>
    <row r="208" spans="1:14" ht="12.75">
      <c r="A208" s="65"/>
      <c r="B208" t="s">
        <v>270</v>
      </c>
      <c r="C208" s="66">
        <v>0</v>
      </c>
      <c r="D208" s="65"/>
      <c r="E208" s="66"/>
      <c r="F208" s="66"/>
      <c r="G208" s="178"/>
      <c r="H208" s="65"/>
      <c r="I208" s="177"/>
      <c r="J208" s="65"/>
      <c r="K208" s="177"/>
      <c r="L208" s="65"/>
    </row>
    <row r="209" spans="1:12" ht="12.75">
      <c r="A209" s="65"/>
      <c r="B209"/>
      <c r="C209" s="182">
        <f>SUM(C129:C208)</f>
        <v>421.44000000000005</v>
      </c>
      <c r="D209" s="65"/>
      <c r="E209" s="66"/>
      <c r="F209" s="66"/>
      <c r="G209" s="178"/>
      <c r="H209" s="65"/>
      <c r="I209" s="177"/>
      <c r="J209" s="212"/>
      <c r="L209" s="65"/>
    </row>
    <row r="210" spans="1:12" ht="12.75">
      <c r="B210"/>
      <c r="C210" s="66"/>
      <c r="D210" s="65"/>
      <c r="E210" s="66"/>
      <c r="F210" s="66"/>
      <c r="G210" s="178"/>
      <c r="H210" s="65"/>
      <c r="I210" s="177"/>
      <c r="J210" s="65"/>
      <c r="K210" s="179"/>
      <c r="L210" s="65"/>
    </row>
    <row r="211" spans="1:12" ht="12.75">
      <c r="B211"/>
      <c r="C211" s="66"/>
      <c r="D211" s="65"/>
      <c r="E211" s="182"/>
      <c r="F211" s="66"/>
      <c r="G211" s="177"/>
      <c r="H211" s="65"/>
      <c r="I211" s="177"/>
      <c r="J211" s="65"/>
      <c r="K211" s="177"/>
      <c r="L211" s="65"/>
    </row>
    <row r="212" spans="1:12" ht="12.75">
      <c r="B212"/>
      <c r="C212" s="66"/>
      <c r="D212" s="65"/>
      <c r="E212" s="65"/>
      <c r="F212" s="65"/>
      <c r="G212" s="65"/>
      <c r="H212" s="65"/>
      <c r="I212" s="177"/>
      <c r="J212" s="65"/>
      <c r="K212" s="179"/>
      <c r="L212" s="65"/>
    </row>
    <row r="213" spans="1:12" ht="12.75">
      <c r="B213" s="175" t="s">
        <v>7</v>
      </c>
      <c r="C213" s="176">
        <v>0</v>
      </c>
      <c r="D213" s="65"/>
      <c r="E213" s="65"/>
      <c r="F213" s="65"/>
      <c r="G213" s="65"/>
      <c r="H213" s="65"/>
      <c r="I213" s="177"/>
      <c r="J213" s="65"/>
      <c r="K213" s="179"/>
      <c r="L213" s="65"/>
    </row>
    <row r="214" spans="1:12" ht="12.75">
      <c r="A214" s="183"/>
      <c r="B214" s="175" t="s">
        <v>6</v>
      </c>
      <c r="C214" s="176">
        <v>0</v>
      </c>
      <c r="D214" s="65"/>
      <c r="E214" s="65"/>
      <c r="F214" s="65"/>
      <c r="G214" s="65"/>
      <c r="H214" s="65"/>
      <c r="I214" s="177"/>
      <c r="J214" s="65"/>
      <c r="K214" s="179"/>
      <c r="L214" s="65"/>
    </row>
    <row r="215" spans="1:12" ht="12.75">
      <c r="B215" s="175" t="s">
        <v>271</v>
      </c>
      <c r="C215" s="176">
        <v>0</v>
      </c>
      <c r="D215" s="65"/>
      <c r="E215" s="65"/>
      <c r="F215" s="65"/>
      <c r="G215" s="65"/>
      <c r="H215" s="65"/>
      <c r="I215" s="177"/>
      <c r="J215" s="65"/>
      <c r="K215" s="179"/>
      <c r="L215" s="65"/>
    </row>
    <row r="216" spans="1:12" ht="12.75">
      <c r="B216" s="175" t="s">
        <v>11</v>
      </c>
      <c r="C216" s="176">
        <v>0</v>
      </c>
      <c r="D216" s="65">
        <v>3</v>
      </c>
      <c r="E216" s="65"/>
      <c r="F216" s="65"/>
      <c r="G216" s="65"/>
      <c r="H216" s="65"/>
      <c r="I216" s="66"/>
      <c r="J216" s="65"/>
      <c r="K216" s="179"/>
      <c r="L216" s="65"/>
    </row>
    <row r="217" spans="1:12" ht="12.75">
      <c r="B217" s="175" t="s">
        <v>187</v>
      </c>
      <c r="C217" s="176">
        <v>0</v>
      </c>
      <c r="D217" s="65" t="s">
        <v>272</v>
      </c>
      <c r="E217" s="65"/>
      <c r="F217" s="65"/>
      <c r="G217" s="65"/>
      <c r="H217" s="65"/>
      <c r="I217" s="65"/>
      <c r="J217" s="65"/>
    </row>
    <row r="218" spans="1:12" ht="12.75">
      <c r="B218" s="175" t="s">
        <v>201</v>
      </c>
      <c r="C218" s="176">
        <v>0</v>
      </c>
      <c r="D218" s="65"/>
      <c r="E218" s="65"/>
      <c r="F218" s="65">
        <v>5</v>
      </c>
      <c r="G218" s="65"/>
      <c r="H218" s="65"/>
      <c r="I218" s="65"/>
      <c r="J218" s="65"/>
      <c r="K218" s="65"/>
    </row>
    <row r="219" spans="1:12" ht="12.75">
      <c r="B219" s="175" t="s">
        <v>16</v>
      </c>
      <c r="C219" s="176">
        <v>0</v>
      </c>
      <c r="D219" s="65" t="s">
        <v>273</v>
      </c>
      <c r="E219" s="65"/>
      <c r="F219" s="65">
        <v>10</v>
      </c>
      <c r="G219" s="65"/>
      <c r="H219" s="65"/>
      <c r="I219" s="65"/>
      <c r="J219" s="65"/>
      <c r="K219" s="65"/>
    </row>
    <row r="220" spans="1:12" ht="12.75">
      <c r="B220" s="175" t="s">
        <v>14</v>
      </c>
      <c r="C220" s="176">
        <v>0</v>
      </c>
      <c r="D220" s="65"/>
      <c r="E220" s="65"/>
      <c r="F220" s="65"/>
      <c r="G220" s="65"/>
      <c r="H220" s="65"/>
      <c r="I220" s="65"/>
      <c r="J220" s="65"/>
      <c r="K220" s="65"/>
    </row>
    <row r="221" spans="1:12" ht="12.75">
      <c r="B221" s="175" t="s">
        <v>18</v>
      </c>
      <c r="C221" s="176">
        <v>0</v>
      </c>
      <c r="D221" s="65"/>
      <c r="E221" s="65"/>
      <c r="F221" s="65"/>
      <c r="G221" s="65"/>
      <c r="H221" s="65"/>
      <c r="I221" s="65"/>
      <c r="J221" s="65"/>
      <c r="K221" s="65"/>
    </row>
    <row r="222" spans="1:12" ht="12.75">
      <c r="B222" t="s">
        <v>216</v>
      </c>
      <c r="C222" s="66">
        <v>0</v>
      </c>
      <c r="D222" s="65" t="s">
        <v>272</v>
      </c>
      <c r="E222" s="65"/>
      <c r="F222" s="65">
        <v>5</v>
      </c>
      <c r="G222" s="65"/>
      <c r="H222" s="65"/>
      <c r="I222" s="65"/>
      <c r="J222" s="65"/>
      <c r="K222" s="65"/>
    </row>
    <row r="223" spans="1:12" ht="12.75">
      <c r="B223" s="175" t="s">
        <v>233</v>
      </c>
      <c r="C223" s="176">
        <v>0</v>
      </c>
      <c r="D223" s="65" t="s">
        <v>272</v>
      </c>
      <c r="E223" s="65"/>
      <c r="F223" s="65">
        <v>15</v>
      </c>
      <c r="G223" s="65"/>
      <c r="H223" s="65"/>
      <c r="I223" s="66"/>
      <c r="J223" s="65"/>
      <c r="K223" s="65"/>
    </row>
    <row r="224" spans="1:12" ht="12.75">
      <c r="A224" s="12" t="s">
        <v>274</v>
      </c>
      <c r="B224" s="175" t="s">
        <v>275</v>
      </c>
      <c r="C224" s="176">
        <v>0</v>
      </c>
      <c r="D224" s="65" t="s">
        <v>272</v>
      </c>
      <c r="E224" s="65"/>
      <c r="F224" s="65">
        <v>15</v>
      </c>
      <c r="G224" s="65"/>
      <c r="H224" s="65"/>
      <c r="I224" s="65"/>
      <c r="J224" s="65"/>
    </row>
    <row r="225" spans="2:19" ht="12.75">
      <c r="B225" t="s">
        <v>258</v>
      </c>
      <c r="C225" s="178">
        <v>0</v>
      </c>
      <c r="D225" s="65"/>
      <c r="E225" s="65"/>
      <c r="F225" s="65">
        <v>5</v>
      </c>
      <c r="G225" s="65"/>
      <c r="H225" s="65"/>
      <c r="I225" s="65"/>
      <c r="J225" s="65"/>
    </row>
    <row r="226" spans="2:19" ht="12.75">
      <c r="B226" t="s">
        <v>26</v>
      </c>
      <c r="C226" s="178">
        <v>0</v>
      </c>
      <c r="D226" s="65" t="s">
        <v>276</v>
      </c>
      <c r="E226" s="65"/>
      <c r="F226" s="65"/>
      <c r="G226" s="65"/>
      <c r="H226" s="65"/>
      <c r="I226" s="65"/>
      <c r="J226" s="65"/>
    </row>
    <row r="227" spans="2:19" ht="12.75">
      <c r="B227" t="s">
        <v>267</v>
      </c>
      <c r="C227" s="178">
        <v>0</v>
      </c>
      <c r="D227" s="65"/>
      <c r="E227" s="65"/>
      <c r="F227" s="65">
        <f>SUM(F218:F226)</f>
        <v>55</v>
      </c>
      <c r="G227" s="65"/>
      <c r="H227" s="65"/>
      <c r="I227" s="65"/>
      <c r="J227" s="65"/>
    </row>
    <row r="228" spans="2:19" ht="12.75">
      <c r="B228" t="s">
        <v>277</v>
      </c>
      <c r="C228" s="178">
        <v>0</v>
      </c>
      <c r="D228" s="65"/>
      <c r="E228" s="65"/>
      <c r="F228" s="65"/>
      <c r="G228" s="65"/>
      <c r="H228" s="65"/>
      <c r="I228" s="65"/>
      <c r="J228" s="65"/>
    </row>
    <row r="229" spans="2:19" ht="12.75">
      <c r="B229" t="s">
        <v>278</v>
      </c>
      <c r="C229" s="184">
        <f>SUM(C213:C228)</f>
        <v>0</v>
      </c>
      <c r="D229" s="65"/>
      <c r="E229" s="65"/>
      <c r="F229" s="65"/>
      <c r="G229" s="65"/>
      <c r="H229" s="65"/>
      <c r="I229" s="65"/>
      <c r="J229" s="65"/>
    </row>
    <row r="230" spans="2:19" ht="12.75">
      <c r="B230" s="45"/>
      <c r="C230" s="45"/>
      <c r="D230" s="65"/>
      <c r="E230" s="65"/>
      <c r="F230" s="65"/>
      <c r="G230" s="65"/>
      <c r="H230" s="65"/>
      <c r="I230" s="65"/>
      <c r="J230" s="65"/>
    </row>
    <row r="231" spans="2:19" ht="12.75">
      <c r="B231"/>
      <c r="C231">
        <f>C209+C229</f>
        <v>421.44000000000005</v>
      </c>
      <c r="D231" s="65"/>
      <c r="F231" s="65"/>
      <c r="G231" s="65"/>
      <c r="H231" s="65"/>
      <c r="I231" s="65"/>
      <c r="J231" s="65"/>
    </row>
    <row r="232" spans="2:19" ht="12.75">
      <c r="B232"/>
      <c r="C232"/>
      <c r="H232" s="65"/>
      <c r="I232" s="65"/>
      <c r="J232" s="65"/>
    </row>
    <row r="233" spans="2:19" ht="12.75">
      <c r="B233"/>
      <c r="C233">
        <f>E211-C231</f>
        <v>-421.44000000000005</v>
      </c>
      <c r="I233" s="65"/>
      <c r="J233" s="65"/>
    </row>
    <row r="234" spans="2:19" ht="12.75">
      <c r="B234"/>
      <c r="C234"/>
      <c r="I234" s="66"/>
      <c r="J234" s="65"/>
    </row>
    <row r="235" spans="2:19" ht="12.75">
      <c r="G235" s="185" t="s">
        <v>279</v>
      </c>
      <c r="H235" s="186"/>
      <c r="I235" s="66"/>
      <c r="J235" s="65"/>
      <c r="N235" s="186"/>
      <c r="O235" s="186"/>
      <c r="P235" s="186"/>
      <c r="Q235" s="186"/>
      <c r="R235" s="186"/>
      <c r="S235" s="187"/>
    </row>
    <row r="236" spans="2:19">
      <c r="G236" s="188"/>
      <c r="H236" s="189" t="s">
        <v>280</v>
      </c>
      <c r="I236" s="186"/>
      <c r="J236" s="186"/>
      <c r="K236" s="186"/>
      <c r="M236" s="186"/>
      <c r="N236" s="190"/>
      <c r="O236" s="190"/>
      <c r="P236" s="190"/>
      <c r="Q236" s="190"/>
      <c r="R236" s="74"/>
      <c r="S236" s="158"/>
    </row>
    <row r="237" spans="2:19" ht="12.75">
      <c r="B237"/>
      <c r="C237" s="195"/>
      <c r="G237" s="191"/>
      <c r="H237" s="74"/>
      <c r="I237" s="192"/>
      <c r="J237" s="193"/>
      <c r="K237" s="190"/>
      <c r="L237" s="186"/>
      <c r="M237" s="190"/>
      <c r="N237" s="74"/>
      <c r="O237" s="74"/>
      <c r="P237" s="74"/>
      <c r="Q237" s="74"/>
      <c r="R237" s="74"/>
      <c r="S237" s="161"/>
    </row>
    <row r="238" spans="2:19" ht="12.75">
      <c r="B238"/>
      <c r="C238" s="195"/>
      <c r="G238" s="191"/>
      <c r="H238" s="74"/>
      <c r="I238" s="68" t="s">
        <v>281</v>
      </c>
      <c r="J238" s="194">
        <v>0</v>
      </c>
      <c r="K238" s="74"/>
      <c r="L238" s="190"/>
      <c r="M238" s="74"/>
      <c r="N238" s="74"/>
      <c r="O238" s="74"/>
      <c r="P238" s="74"/>
      <c r="Q238" s="74"/>
      <c r="R238" s="74"/>
      <c r="S238" s="161"/>
    </row>
    <row r="239" spans="2:19" ht="12.75">
      <c r="B239"/>
      <c r="C239" s="195"/>
      <c r="G239" s="191"/>
      <c r="H239" s="74"/>
      <c r="I239" s="74" t="s">
        <v>282</v>
      </c>
      <c r="J239" s="196">
        <v>0</v>
      </c>
      <c r="K239" s="74"/>
      <c r="L239" s="74"/>
      <c r="M239" s="74"/>
      <c r="N239" s="74"/>
      <c r="O239" s="74"/>
      <c r="P239" s="74"/>
      <c r="Q239" s="74"/>
      <c r="R239" s="74"/>
      <c r="S239" s="161"/>
    </row>
    <row r="240" spans="2:19" ht="12.75">
      <c r="B240"/>
      <c r="C240" s="195"/>
      <c r="G240" s="191"/>
      <c r="H240" s="74"/>
      <c r="I240" s="74" t="s">
        <v>283</v>
      </c>
      <c r="J240" s="196">
        <v>0</v>
      </c>
      <c r="K240" s="74"/>
      <c r="L240" s="74"/>
      <c r="M240" s="74"/>
      <c r="N240" s="74"/>
      <c r="O240" s="74"/>
      <c r="P240" s="74"/>
      <c r="Q240" s="74"/>
      <c r="R240" s="74"/>
      <c r="S240" s="161"/>
    </row>
    <row r="241" spans="2:19" ht="12.75">
      <c r="B241"/>
      <c r="C241" s="195"/>
      <c r="G241" s="191"/>
      <c r="H241" s="74"/>
      <c r="I241" s="74" t="s">
        <v>284</v>
      </c>
      <c r="J241" s="196">
        <v>0</v>
      </c>
      <c r="K241" s="74"/>
      <c r="L241" s="74"/>
      <c r="M241" s="74"/>
      <c r="N241" s="74"/>
      <c r="O241" s="74"/>
      <c r="P241" s="74"/>
      <c r="Q241" s="74"/>
      <c r="R241" s="74"/>
      <c r="S241" s="161"/>
    </row>
    <row r="242" spans="2:19" ht="12.75">
      <c r="B242"/>
      <c r="C242" s="195"/>
      <c r="G242" s="191"/>
      <c r="H242" s="74"/>
      <c r="I242" s="74" t="s">
        <v>285</v>
      </c>
      <c r="J242" s="196">
        <v>0</v>
      </c>
      <c r="K242" s="74"/>
      <c r="L242" s="74"/>
      <c r="M242" s="74"/>
      <c r="N242" s="74"/>
      <c r="O242" s="74"/>
      <c r="P242" s="74"/>
      <c r="Q242" s="74"/>
      <c r="R242" s="74"/>
      <c r="S242" s="161"/>
    </row>
    <row r="243" spans="2:19" ht="12.75">
      <c r="B243"/>
      <c r="C243" s="195"/>
      <c r="G243" s="191"/>
      <c r="H243" s="74"/>
      <c r="I243" s="74" t="s">
        <v>286</v>
      </c>
      <c r="J243" s="196">
        <v>0</v>
      </c>
      <c r="K243" s="74"/>
      <c r="L243" s="74"/>
      <c r="M243" s="74"/>
      <c r="N243" s="74"/>
      <c r="O243" s="74"/>
      <c r="P243" s="74"/>
      <c r="Q243" s="74"/>
      <c r="R243" s="74"/>
      <c r="S243" s="161"/>
    </row>
    <row r="244" spans="2:19" ht="12.75">
      <c r="B244"/>
      <c r="C244" s="195"/>
      <c r="G244" s="191"/>
      <c r="H244" s="74"/>
      <c r="I244" s="74" t="s">
        <v>287</v>
      </c>
      <c r="J244" s="197">
        <v>0</v>
      </c>
      <c r="K244" s="74"/>
      <c r="L244" s="74"/>
      <c r="M244" s="74"/>
      <c r="N244" s="74"/>
      <c r="O244" s="74"/>
      <c r="P244" s="74"/>
      <c r="Q244" s="74"/>
      <c r="R244" s="74"/>
      <c r="S244" s="161"/>
    </row>
    <row r="245" spans="2:19" ht="12.75">
      <c r="B245"/>
      <c r="C245" s="195"/>
      <c r="G245" s="191"/>
      <c r="H245" s="74" t="s">
        <v>288</v>
      </c>
      <c r="I245" s="74"/>
      <c r="J245" s="196">
        <f>SUM(J238:J244)</f>
        <v>0</v>
      </c>
      <c r="K245" s="74"/>
      <c r="L245" s="74"/>
      <c r="M245" s="74"/>
      <c r="N245" s="74"/>
      <c r="O245" s="74"/>
      <c r="P245" s="74"/>
      <c r="Q245" s="74"/>
      <c r="R245" s="74"/>
      <c r="S245" s="161"/>
    </row>
    <row r="246" spans="2:19" ht="12.75">
      <c r="B246"/>
      <c r="C246" s="195"/>
      <c r="G246" s="191"/>
      <c r="H246" s="74"/>
      <c r="I246" s="74"/>
      <c r="J246" s="196"/>
      <c r="K246" s="74"/>
      <c r="L246" s="74"/>
      <c r="M246" s="74"/>
      <c r="N246" s="74"/>
      <c r="O246" s="74"/>
      <c r="P246" s="74"/>
      <c r="Q246" s="74"/>
      <c r="R246" s="74"/>
      <c r="S246" s="161"/>
    </row>
    <row r="247" spans="2:19" ht="12.75">
      <c r="B247"/>
      <c r="C247" s="195"/>
      <c r="G247" s="191"/>
      <c r="H247" s="74"/>
      <c r="I247" s="74" t="s">
        <v>289</v>
      </c>
      <c r="J247" s="196">
        <v>0</v>
      </c>
      <c r="K247" s="74"/>
      <c r="L247" s="74"/>
      <c r="M247" s="74"/>
      <c r="N247" s="74"/>
      <c r="O247" s="74"/>
      <c r="P247" s="74"/>
      <c r="Q247" s="74"/>
      <c r="R247" s="74"/>
      <c r="S247" s="161"/>
    </row>
    <row r="248" spans="2:19" ht="12.75">
      <c r="B248"/>
      <c r="C248" s="195"/>
      <c r="G248" s="191"/>
      <c r="H248" s="74"/>
      <c r="I248" s="74" t="s">
        <v>290</v>
      </c>
      <c r="J248" s="196">
        <v>0</v>
      </c>
      <c r="K248" s="74"/>
      <c r="L248" s="74"/>
      <c r="M248" s="74"/>
      <c r="N248" s="74"/>
      <c r="O248" s="74"/>
      <c r="P248" s="74"/>
      <c r="Q248" s="74"/>
      <c r="R248" s="74"/>
      <c r="S248" s="161"/>
    </row>
    <row r="249" spans="2:19" ht="12.75">
      <c r="B249"/>
      <c r="C249" s="195"/>
      <c r="G249" s="191"/>
      <c r="H249" s="74"/>
      <c r="I249" s="74" t="s">
        <v>291</v>
      </c>
      <c r="J249" s="196">
        <v>0</v>
      </c>
      <c r="K249" s="74"/>
      <c r="L249" s="74"/>
      <c r="M249" s="74"/>
      <c r="N249" s="74"/>
      <c r="O249" s="74"/>
      <c r="P249" s="74"/>
      <c r="Q249" s="74"/>
      <c r="R249" s="74"/>
      <c r="S249" s="161"/>
    </row>
    <row r="250" spans="2:19" ht="12.75">
      <c r="B250"/>
      <c r="C250" s="195"/>
      <c r="G250" s="191"/>
      <c r="H250" s="74"/>
      <c r="I250" s="74" t="s">
        <v>292</v>
      </c>
      <c r="J250" s="196">
        <v>0</v>
      </c>
      <c r="K250" s="74"/>
      <c r="L250" s="74"/>
      <c r="M250" s="74"/>
      <c r="N250" s="74"/>
      <c r="O250" s="74"/>
      <c r="P250" s="74"/>
      <c r="Q250" s="74"/>
      <c r="R250" s="74"/>
      <c r="S250" s="161"/>
    </row>
    <row r="251" spans="2:19" ht="12.75">
      <c r="B251"/>
      <c r="C251" s="195"/>
      <c r="G251" s="191"/>
      <c r="H251" s="74"/>
      <c r="I251" s="74" t="s">
        <v>293</v>
      </c>
      <c r="J251" s="196">
        <v>0</v>
      </c>
      <c r="K251" s="74"/>
      <c r="L251" s="74"/>
      <c r="M251" s="74"/>
      <c r="N251" s="74"/>
      <c r="O251" s="74"/>
      <c r="P251" s="74"/>
      <c r="Q251" s="74"/>
      <c r="R251" s="74"/>
      <c r="S251" s="161"/>
    </row>
    <row r="252" spans="2:19" ht="12.75">
      <c r="B252" s="45"/>
      <c r="C252" s="198"/>
      <c r="G252" s="191"/>
      <c r="H252" s="74"/>
      <c r="I252" s="74" t="s">
        <v>294</v>
      </c>
      <c r="J252" s="196">
        <v>0</v>
      </c>
      <c r="K252" s="74"/>
      <c r="L252" s="74"/>
      <c r="M252" s="74"/>
      <c r="N252" s="74"/>
      <c r="O252" s="74"/>
      <c r="P252" s="74"/>
      <c r="Q252" s="74"/>
      <c r="R252" s="74"/>
      <c r="S252" s="161"/>
    </row>
    <row r="253" spans="2:19" ht="12.75">
      <c r="B253"/>
      <c r="C253" s="195"/>
      <c r="G253" s="191"/>
      <c r="H253" s="74"/>
      <c r="I253" s="74" t="s">
        <v>295</v>
      </c>
      <c r="J253" s="196">
        <v>0</v>
      </c>
      <c r="K253" s="74"/>
      <c r="L253" s="74"/>
      <c r="M253" s="74"/>
      <c r="N253" s="74"/>
      <c r="O253" s="74"/>
      <c r="P253" s="74"/>
      <c r="Q253" s="74"/>
      <c r="R253" s="74"/>
      <c r="S253" s="161"/>
    </row>
    <row r="254" spans="2:19" ht="12.75">
      <c r="B254"/>
      <c r="C254" s="195"/>
      <c r="G254" s="191"/>
      <c r="H254" s="74"/>
      <c r="I254" s="74" t="s">
        <v>296</v>
      </c>
      <c r="J254" s="196">
        <v>0</v>
      </c>
      <c r="K254" s="74"/>
      <c r="L254" s="74"/>
      <c r="M254" s="74"/>
      <c r="N254" s="74"/>
      <c r="O254" s="74"/>
      <c r="P254" s="74"/>
      <c r="Q254" s="74"/>
      <c r="R254" s="74"/>
      <c r="S254" s="161"/>
    </row>
    <row r="255" spans="2:19" ht="12.75">
      <c r="B255"/>
      <c r="C255" s="195"/>
      <c r="G255" s="191"/>
      <c r="H255" s="74"/>
      <c r="I255" s="74" t="s">
        <v>297</v>
      </c>
      <c r="J255" s="197">
        <v>0</v>
      </c>
      <c r="K255" s="74"/>
      <c r="L255" s="74"/>
      <c r="M255" s="74"/>
      <c r="N255" s="74"/>
      <c r="O255" s="74"/>
      <c r="P255" s="74"/>
      <c r="Q255" s="74"/>
      <c r="R255" s="74"/>
      <c r="S255" s="161"/>
    </row>
    <row r="256" spans="2:19" ht="12.75">
      <c r="B256"/>
      <c r="C256" s="195"/>
      <c r="G256" s="191"/>
      <c r="H256" s="74"/>
      <c r="I256" s="74"/>
      <c r="J256" s="196">
        <f>SUM(J245:J255)</f>
        <v>0</v>
      </c>
      <c r="K256" s="74"/>
      <c r="L256" s="74"/>
      <c r="M256" s="74"/>
      <c r="N256" s="74"/>
      <c r="O256" s="74"/>
      <c r="P256" s="74"/>
      <c r="Q256" s="74"/>
      <c r="R256" s="74"/>
      <c r="S256" s="161"/>
    </row>
    <row r="257" spans="2:19" ht="12.75">
      <c r="B257"/>
      <c r="C257" s="195"/>
      <c r="G257" s="191"/>
      <c r="H257" s="74" t="s">
        <v>298</v>
      </c>
      <c r="I257" s="74"/>
      <c r="J257" s="196"/>
      <c r="K257" s="74"/>
      <c r="L257" s="74"/>
      <c r="M257" s="74"/>
      <c r="N257" s="74"/>
      <c r="O257" s="74"/>
      <c r="P257" s="74"/>
      <c r="Q257" s="74"/>
      <c r="R257" s="74"/>
      <c r="S257" s="161"/>
    </row>
    <row r="258" spans="2:19" ht="12.75">
      <c r="B258"/>
      <c r="C258" s="195"/>
      <c r="G258" s="191"/>
      <c r="H258" s="74"/>
      <c r="I258" s="74"/>
      <c r="J258" s="196"/>
      <c r="K258" s="74"/>
      <c r="L258" s="74"/>
      <c r="M258" s="74"/>
      <c r="N258" s="74"/>
      <c r="O258" s="74"/>
      <c r="P258" s="74"/>
      <c r="Q258" s="74" t="s">
        <v>299</v>
      </c>
      <c r="R258" s="74"/>
      <c r="S258" s="161"/>
    </row>
    <row r="259" spans="2:19" ht="12.75">
      <c r="B259"/>
      <c r="C259" s="195"/>
      <c r="G259" s="191"/>
      <c r="H259" s="74"/>
      <c r="I259" s="74" t="s">
        <v>300</v>
      </c>
      <c r="J259" s="199">
        <v>-862</v>
      </c>
      <c r="K259" s="74"/>
      <c r="L259" s="74"/>
      <c r="M259" s="74"/>
      <c r="N259" s="74"/>
      <c r="O259" s="74"/>
      <c r="P259" s="196">
        <v>-31732</v>
      </c>
      <c r="Q259" s="74"/>
      <c r="R259" s="74"/>
      <c r="S259" s="161"/>
    </row>
    <row r="260" spans="2:19" ht="12.75">
      <c r="B260"/>
      <c r="C260" s="195"/>
      <c r="G260" s="191"/>
      <c r="H260" s="74"/>
      <c r="I260" s="200" t="s">
        <v>300</v>
      </c>
      <c r="J260" s="201">
        <v>-1</v>
      </c>
      <c r="K260" s="74"/>
      <c r="L260" s="74"/>
      <c r="M260" s="74"/>
      <c r="N260" s="74"/>
      <c r="O260" s="74"/>
      <c r="P260" s="196"/>
      <c r="Q260" s="74"/>
      <c r="R260" s="74"/>
      <c r="S260" s="161"/>
    </row>
    <row r="261" spans="2:19" ht="12.75">
      <c r="B261"/>
      <c r="C261" s="195"/>
      <c r="G261" s="191"/>
      <c r="H261" s="74"/>
      <c r="I261" s="200" t="s">
        <v>301</v>
      </c>
      <c r="J261" s="201">
        <v>-1</v>
      </c>
      <c r="K261" s="74"/>
      <c r="L261" s="74"/>
      <c r="M261" s="74"/>
      <c r="N261" s="74" t="s">
        <v>302</v>
      </c>
      <c r="O261" s="74"/>
      <c r="P261" s="196"/>
      <c r="Q261" s="74" t="s">
        <v>38</v>
      </c>
      <c r="R261" s="74"/>
      <c r="S261" s="161"/>
    </row>
    <row r="262" spans="2:19" ht="12.75">
      <c r="B262"/>
      <c r="C262" s="195"/>
      <c r="G262" s="191"/>
      <c r="H262" s="74"/>
      <c r="I262" s="137" t="s">
        <v>303</v>
      </c>
      <c r="J262" s="202">
        <v>-1500</v>
      </c>
      <c r="K262" s="74"/>
      <c r="L262" s="74"/>
      <c r="M262" s="74"/>
      <c r="N262" s="74"/>
      <c r="O262" s="74"/>
      <c r="P262" s="196">
        <f>K268</f>
        <v>-4368</v>
      </c>
      <c r="Q262" s="74" t="s">
        <v>304</v>
      </c>
      <c r="R262" s="74"/>
      <c r="S262" s="161"/>
    </row>
    <row r="263" spans="2:19" ht="12.75">
      <c r="B263"/>
      <c r="C263"/>
      <c r="G263" s="191"/>
      <c r="H263" s="74"/>
      <c r="I263" s="200" t="s">
        <v>305</v>
      </c>
      <c r="J263" s="201">
        <v>-1</v>
      </c>
      <c r="K263" s="74"/>
      <c r="L263" s="74"/>
      <c r="M263" s="74"/>
      <c r="N263" s="74" t="s">
        <v>306</v>
      </c>
      <c r="O263" s="74"/>
      <c r="P263" s="197">
        <v>-2500</v>
      </c>
      <c r="Q263" s="74"/>
      <c r="R263" s="74"/>
      <c r="S263" s="161"/>
    </row>
    <row r="264" spans="2:19" ht="12.75">
      <c r="B264"/>
      <c r="C264"/>
      <c r="G264" s="191"/>
      <c r="H264" s="74"/>
      <c r="I264" s="200" t="s">
        <v>307</v>
      </c>
      <c r="J264" s="201">
        <v>-1</v>
      </c>
      <c r="K264" s="74"/>
      <c r="L264" s="74"/>
      <c r="M264" s="196">
        <v>525707</v>
      </c>
      <c r="N264" s="74"/>
      <c r="O264" s="196"/>
      <c r="P264" s="74"/>
      <c r="Q264" s="74" t="s">
        <v>308</v>
      </c>
      <c r="R264" s="74"/>
      <c r="S264" s="161"/>
    </row>
    <row r="265" spans="2:19" ht="12.75">
      <c r="B265"/>
      <c r="C265"/>
      <c r="G265" s="191"/>
      <c r="H265" s="74"/>
      <c r="I265" s="137" t="s">
        <v>309</v>
      </c>
      <c r="J265" s="202">
        <v>-1000</v>
      </c>
      <c r="K265" s="74"/>
      <c r="L265" s="74"/>
      <c r="M265" s="196"/>
      <c r="N265" s="74"/>
      <c r="O265" s="74"/>
      <c r="P265" s="196">
        <f>SUM(P259:P263)</f>
        <v>-38600</v>
      </c>
      <c r="Q265" s="74"/>
      <c r="R265" s="74"/>
      <c r="S265" s="161"/>
    </row>
    <row r="266" spans="2:19" ht="12.75">
      <c r="B266"/>
      <c r="C266"/>
      <c r="G266" s="191"/>
      <c r="H266" s="74"/>
      <c r="I266" s="200" t="s">
        <v>310</v>
      </c>
      <c r="J266" s="201">
        <v>-1</v>
      </c>
      <c r="K266" s="74"/>
      <c r="L266" s="74"/>
      <c r="M266" s="196"/>
      <c r="N266" s="74"/>
      <c r="O266" s="74"/>
      <c r="P266" s="74"/>
      <c r="Q266" s="74"/>
      <c r="R266" s="74"/>
      <c r="S266" s="161"/>
    </row>
    <row r="267" spans="2:19" ht="12.75">
      <c r="B267"/>
      <c r="C267"/>
      <c r="G267" s="191"/>
      <c r="H267" s="74"/>
      <c r="I267" s="137" t="s">
        <v>311</v>
      </c>
      <c r="J267" s="202">
        <v>-1000</v>
      </c>
      <c r="K267" s="74"/>
      <c r="L267" s="74"/>
      <c r="M267" s="196">
        <v>493974</v>
      </c>
      <c r="N267" s="74"/>
      <c r="O267" s="74"/>
      <c r="P267" s="203">
        <f>P265+M269</f>
        <v>-6867</v>
      </c>
      <c r="Q267" s="74"/>
      <c r="R267" s="74"/>
      <c r="S267" s="204">
        <f>22000+P267</f>
        <v>15133</v>
      </c>
    </row>
    <row r="268" spans="2:19" ht="12.75">
      <c r="B268" s="45"/>
      <c r="C268" s="45"/>
      <c r="G268" s="191"/>
      <c r="H268" s="74"/>
      <c r="I268" s="200" t="s">
        <v>102</v>
      </c>
      <c r="J268" s="201">
        <v>-1</v>
      </c>
      <c r="K268" s="203">
        <f>SUM(J259:J268)</f>
        <v>-4368</v>
      </c>
      <c r="L268" s="74"/>
      <c r="M268" s="196"/>
      <c r="N268" s="74"/>
      <c r="O268" s="74"/>
      <c r="P268" s="74"/>
      <c r="Q268" s="74"/>
      <c r="R268" s="74"/>
      <c r="S268" s="161"/>
    </row>
    <row r="269" spans="2:19" ht="12.75">
      <c r="B269"/>
      <c r="C269"/>
      <c r="G269" s="191"/>
      <c r="H269" s="74"/>
      <c r="I269" s="74" t="s">
        <v>312</v>
      </c>
      <c r="J269" s="197">
        <f>-M269-K268</f>
        <v>-27365</v>
      </c>
      <c r="K269" s="203"/>
      <c r="L269" s="74"/>
      <c r="M269" s="196">
        <f>M264-M267</f>
        <v>31733</v>
      </c>
      <c r="N269" s="74"/>
      <c r="O269" s="74"/>
      <c r="P269" s="74"/>
      <c r="Q269" s="74"/>
      <c r="R269" s="74"/>
      <c r="S269" s="161"/>
    </row>
    <row r="270" spans="2:19" ht="12.75">
      <c r="B270"/>
      <c r="C270"/>
      <c r="G270" s="191"/>
      <c r="H270" s="74" t="s">
        <v>313</v>
      </c>
      <c r="I270" s="74"/>
      <c r="J270" s="196">
        <f>SUM(J256:J269)</f>
        <v>-31733</v>
      </c>
      <c r="K270" s="74"/>
      <c r="L270" s="74"/>
      <c r="M270" s="74"/>
      <c r="N270" s="74"/>
      <c r="O270" s="74"/>
      <c r="P270" s="74"/>
      <c r="Q270" s="74"/>
      <c r="R270" s="74"/>
      <c r="S270" s="161"/>
    </row>
    <row r="271" spans="2:19" ht="12.75">
      <c r="B271"/>
      <c r="C271"/>
      <c r="G271" s="191"/>
      <c r="H271" s="74"/>
      <c r="I271" s="74"/>
      <c r="J271" s="196"/>
      <c r="K271" s="74"/>
      <c r="L271" s="74"/>
      <c r="M271" s="74"/>
      <c r="N271" s="74"/>
      <c r="O271" s="74"/>
      <c r="P271" s="74"/>
      <c r="Q271" s="74"/>
      <c r="R271" s="74"/>
      <c r="S271" s="161"/>
    </row>
    <row r="272" spans="2:19" ht="12.75">
      <c r="B272"/>
      <c r="C272"/>
      <c r="G272" s="191"/>
      <c r="H272" s="74"/>
      <c r="I272" s="74" t="s">
        <v>314</v>
      </c>
      <c r="J272" s="196">
        <v>3915</v>
      </c>
      <c r="K272" s="74"/>
      <c r="L272" s="74"/>
      <c r="M272" s="203">
        <f>M269+K268</f>
        <v>27365</v>
      </c>
      <c r="N272" s="74"/>
      <c r="O272" s="74"/>
      <c r="P272" s="74"/>
      <c r="Q272" s="74"/>
      <c r="R272" s="74"/>
      <c r="S272" s="161"/>
    </row>
    <row r="273" spans="2:19" ht="12.75">
      <c r="B273"/>
      <c r="C273"/>
      <c r="G273" s="191"/>
      <c r="H273" s="205" t="s">
        <v>315</v>
      </c>
      <c r="I273" s="74"/>
      <c r="J273" s="196"/>
      <c r="K273" s="74"/>
      <c r="L273" s="74"/>
      <c r="M273" s="203"/>
      <c r="N273" s="74"/>
      <c r="O273" s="74"/>
      <c r="P273" s="74"/>
      <c r="Q273" s="74"/>
      <c r="R273" s="74"/>
      <c r="S273" s="161"/>
    </row>
    <row r="274" spans="2:19" ht="13.5" thickBot="1">
      <c r="B274" s="45"/>
      <c r="C274" s="45"/>
      <c r="G274" s="206"/>
      <c r="H274" s="207"/>
      <c r="I274" s="74"/>
      <c r="J274" s="208">
        <f>SUM(J270:J273)</f>
        <v>-27818</v>
      </c>
      <c r="K274" s="74"/>
      <c r="L274" s="74"/>
      <c r="M274" s="203"/>
      <c r="N274" s="207"/>
      <c r="O274" s="207"/>
      <c r="P274" s="207"/>
      <c r="Q274" s="207"/>
      <c r="R274" s="207"/>
      <c r="S274" s="153"/>
    </row>
    <row r="275" spans="2:19" ht="13.5" thickTop="1">
      <c r="B275"/>
      <c r="C275"/>
      <c r="I275" s="207"/>
      <c r="J275" s="197"/>
      <c r="K275" s="207"/>
      <c r="L275" s="74"/>
      <c r="M275" s="207"/>
      <c r="S275" s="153"/>
    </row>
    <row r="276" spans="2:19" ht="12.75">
      <c r="B276" s="66"/>
      <c r="C276" s="66"/>
      <c r="J276" s="209"/>
      <c r="L276" s="207"/>
      <c r="M276" s="74"/>
    </row>
    <row r="277" spans="2:19" ht="12.75">
      <c r="B277"/>
      <c r="C277"/>
      <c r="J277" s="209"/>
      <c r="L277" s="74"/>
      <c r="M277" s="74"/>
    </row>
    <row r="278" spans="2:19" ht="12.75">
      <c r="B278"/>
      <c r="C278"/>
      <c r="J278" s="209">
        <f>551878-11621</f>
        <v>540257</v>
      </c>
      <c r="L278" s="74"/>
      <c r="M278" s="74"/>
    </row>
    <row r="279" spans="2:19" ht="12.75">
      <c r="B279"/>
      <c r="C279"/>
      <c r="J279" s="209"/>
      <c r="L279" s="74"/>
      <c r="M279" s="74"/>
    </row>
    <row r="280" spans="2:19" ht="12.75">
      <c r="B280"/>
      <c r="C280"/>
      <c r="J280" s="209"/>
      <c r="L280" s="74"/>
    </row>
    <row r="281" spans="2:19" ht="12.75">
      <c r="B281"/>
      <c r="C281"/>
      <c r="J281" s="209"/>
      <c r="L281" s="74"/>
    </row>
    <row r="282" spans="2:19" ht="12.75">
      <c r="B282"/>
      <c r="C282"/>
      <c r="J282" s="209"/>
    </row>
    <row r="283" spans="2:19" ht="12.75">
      <c r="B283"/>
      <c r="C283"/>
      <c r="J283" s="209"/>
    </row>
    <row r="284" spans="2:19" ht="12.75">
      <c r="B284"/>
      <c r="C284"/>
      <c r="J284" s="209"/>
    </row>
    <row r="285" spans="2:19" ht="12.75">
      <c r="B285"/>
      <c r="C285"/>
      <c r="J285" s="209"/>
    </row>
    <row r="286" spans="2:19" ht="12.75">
      <c r="B286"/>
      <c r="C286"/>
      <c r="J286" s="209"/>
    </row>
    <row r="287" spans="2:19" ht="12.75">
      <c r="B287"/>
      <c r="C287"/>
      <c r="J287" s="209"/>
    </row>
    <row r="288" spans="2:19" ht="12.75">
      <c r="B288"/>
      <c r="C288"/>
      <c r="J288" s="209"/>
    </row>
    <row r="289" spans="2:10" ht="12.75">
      <c r="B289"/>
      <c r="C289"/>
      <c r="J289" s="209"/>
    </row>
    <row r="290" spans="2:10" ht="12.75">
      <c r="B290"/>
      <c r="C290"/>
      <c r="J290" s="209"/>
    </row>
    <row r="291" spans="2:10" ht="12.75">
      <c r="B291"/>
      <c r="C291"/>
      <c r="J291" s="209"/>
    </row>
    <row r="292" spans="2:10" ht="12.75">
      <c r="B292"/>
      <c r="C292"/>
      <c r="J292" s="209"/>
    </row>
    <row r="293" spans="2:10" ht="12.75">
      <c r="B293"/>
      <c r="C293"/>
      <c r="J293" s="209"/>
    </row>
    <row r="294" spans="2:10" ht="12.75">
      <c r="B294" s="210"/>
      <c r="C294" s="210"/>
      <c r="J294" s="209"/>
    </row>
    <row r="295" spans="2:10" ht="12.75">
      <c r="B295" s="210"/>
      <c r="C295" s="210"/>
      <c r="J295" s="209"/>
    </row>
    <row r="296" spans="2:10" ht="12.75">
      <c r="B296"/>
      <c r="C296"/>
      <c r="J296" s="209"/>
    </row>
    <row r="297" spans="2:10" ht="12.75">
      <c r="B297"/>
      <c r="C297"/>
      <c r="J297" s="209"/>
    </row>
    <row r="298" spans="2:10">
      <c r="J298" s="209"/>
    </row>
    <row r="299" spans="2:10">
      <c r="J299" s="209"/>
    </row>
    <row r="300" spans="2:10">
      <c r="J300" s="209"/>
    </row>
    <row r="301" spans="2:10">
      <c r="J301" s="209"/>
    </row>
    <row r="302" spans="2:10">
      <c r="J302" s="209"/>
    </row>
    <row r="303" spans="2:10">
      <c r="J303" s="209"/>
    </row>
    <row r="304" spans="2:10">
      <c r="J304" s="209"/>
    </row>
    <row r="305" spans="10:10">
      <c r="J305" s="209"/>
    </row>
    <row r="306" spans="10:10">
      <c r="J306" s="209"/>
    </row>
    <row r="307" spans="10:10">
      <c r="J307" s="209"/>
    </row>
    <row r="308" spans="10:10">
      <c r="J308" s="209"/>
    </row>
    <row r="309" spans="10:10">
      <c r="J309" s="209"/>
    </row>
    <row r="310" spans="10:10">
      <c r="J310" s="209"/>
    </row>
    <row r="311" spans="10:10">
      <c r="J311" s="209"/>
    </row>
    <row r="312" spans="10:10">
      <c r="J312" s="209"/>
    </row>
    <row r="313" spans="10:10">
      <c r="J313" s="209"/>
    </row>
    <row r="314" spans="10:10">
      <c r="J314" s="209"/>
    </row>
    <row r="315" spans="10:10">
      <c r="J315" s="209"/>
    </row>
    <row r="316" spans="10:10">
      <c r="J316" s="209"/>
    </row>
    <row r="317" spans="10:10">
      <c r="J317" s="209"/>
    </row>
    <row r="318" spans="10:10">
      <c r="J318" s="209"/>
    </row>
    <row r="319" spans="10:10">
      <c r="J319" s="209"/>
    </row>
    <row r="320" spans="10:10">
      <c r="J320" s="209"/>
    </row>
    <row r="321" spans="10:10">
      <c r="J321" s="209"/>
    </row>
    <row r="322" spans="10:10">
      <c r="J322" s="209"/>
    </row>
    <row r="323" spans="10:10">
      <c r="J323" s="209"/>
    </row>
    <row r="324" spans="10:10">
      <c r="J324" s="209"/>
    </row>
    <row r="325" spans="10:10">
      <c r="J325" s="209"/>
    </row>
    <row r="326" spans="10:10">
      <c r="J326" s="209"/>
    </row>
    <row r="327" spans="10:10">
      <c r="J327" s="209"/>
    </row>
    <row r="328" spans="10:10">
      <c r="J328" s="209"/>
    </row>
    <row r="329" spans="10:10">
      <c r="J329" s="209"/>
    </row>
    <row r="330" spans="10:10">
      <c r="J330" s="209"/>
    </row>
    <row r="331" spans="10:10">
      <c r="J331" s="209"/>
    </row>
    <row r="332" spans="10:10">
      <c r="J332" s="209"/>
    </row>
    <row r="333" spans="10:10">
      <c r="J333" s="209"/>
    </row>
    <row r="334" spans="10:10">
      <c r="J334" s="209"/>
    </row>
    <row r="335" spans="10:10">
      <c r="J335" s="209"/>
    </row>
    <row r="336" spans="10:10">
      <c r="J336" s="209"/>
    </row>
    <row r="337" spans="10:10">
      <c r="J337" s="209"/>
    </row>
    <row r="338" spans="10:10">
      <c r="J338" s="209"/>
    </row>
    <row r="339" spans="10:10">
      <c r="J339" s="209"/>
    </row>
    <row r="340" spans="10:10">
      <c r="J340" s="209"/>
    </row>
    <row r="341" spans="10:10">
      <c r="J341" s="209"/>
    </row>
    <row r="342" spans="10:10">
      <c r="J342" s="209"/>
    </row>
    <row r="343" spans="10:10">
      <c r="J343" s="209"/>
    </row>
    <row r="344" spans="10:10">
      <c r="J344" s="209"/>
    </row>
    <row r="345" spans="10:10">
      <c r="J345" s="209"/>
    </row>
    <row r="346" spans="10:10">
      <c r="J346" s="209"/>
    </row>
    <row r="347" spans="10:10">
      <c r="J347" s="209"/>
    </row>
    <row r="348" spans="10:10">
      <c r="J348" s="209"/>
    </row>
    <row r="349" spans="10:10">
      <c r="J349" s="209"/>
    </row>
    <row r="350" spans="10:10">
      <c r="J350" s="209"/>
    </row>
    <row r="351" spans="10:10">
      <c r="J351" s="209"/>
    </row>
    <row r="352" spans="10:10">
      <c r="J352" s="209"/>
    </row>
    <row r="353" spans="10:10">
      <c r="J353" s="209"/>
    </row>
    <row r="354" spans="10:10">
      <c r="J354" s="209"/>
    </row>
    <row r="355" spans="10:10">
      <c r="J355" s="209"/>
    </row>
    <row r="356" spans="10:10">
      <c r="J356" s="209"/>
    </row>
    <row r="357" spans="10:10">
      <c r="J357" s="209"/>
    </row>
    <row r="358" spans="10:10">
      <c r="J358" s="209"/>
    </row>
    <row r="359" spans="10:10">
      <c r="J359" s="209"/>
    </row>
    <row r="360" spans="10:10">
      <c r="J360" s="209"/>
    </row>
    <row r="361" spans="10:10">
      <c r="J361" s="209"/>
    </row>
    <row r="362" spans="10:10">
      <c r="J362" s="209"/>
    </row>
    <row r="363" spans="10:10">
      <c r="J363" s="209"/>
    </row>
    <row r="364" spans="10:10">
      <c r="J364" s="209"/>
    </row>
    <row r="365" spans="10:10">
      <c r="J365" s="209"/>
    </row>
    <row r="366" spans="10:10">
      <c r="J366" s="209"/>
    </row>
    <row r="367" spans="10:10">
      <c r="J367" s="209"/>
    </row>
    <row r="368" spans="10:10">
      <c r="J368" s="209"/>
    </row>
    <row r="369" spans="10:10">
      <c r="J369" s="209"/>
    </row>
    <row r="370" spans="10:10">
      <c r="J370" s="209"/>
    </row>
    <row r="371" spans="10:10">
      <c r="J371" s="209"/>
    </row>
    <row r="372" spans="10:10">
      <c r="J372" s="209"/>
    </row>
    <row r="373" spans="10:10">
      <c r="J373" s="209"/>
    </row>
    <row r="374" spans="10:10">
      <c r="J374" s="209"/>
    </row>
    <row r="375" spans="10:10">
      <c r="J375" s="209"/>
    </row>
    <row r="376" spans="10:10">
      <c r="J376" s="209"/>
    </row>
    <row r="377" spans="10:10">
      <c r="J377" s="209"/>
    </row>
    <row r="378" spans="10:10">
      <c r="J378" s="209"/>
    </row>
  </sheetData>
  <mergeCells count="10">
    <mergeCell ref="A128:C128"/>
    <mergeCell ref="K6:L6"/>
    <mergeCell ref="I31:J31"/>
    <mergeCell ref="I36:J36"/>
    <mergeCell ref="I43:J43"/>
    <mergeCell ref="A31:D31"/>
    <mergeCell ref="E59:F59"/>
    <mergeCell ref="K59:L59"/>
    <mergeCell ref="E67:F67"/>
    <mergeCell ref="K67:L67"/>
  </mergeCells>
  <printOptions horizontalCentered="1" verticalCentered="1"/>
  <pageMargins left="0.25" right="0.25" top="0.75" bottom="0.25" header="0" footer="0.25"/>
  <pageSetup scale="60" orientation="portrait" horizontalDpi="4294967292" r:id="rId1"/>
  <headerFooter alignWithMargins="0">
    <oddFooter>&amp;L&amp;8Tx Desk Logistics - Daren Farmer&amp;R&amp;8&amp;D
&amp;T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J384"/>
  <sheetViews>
    <sheetView showGridLines="0" topLeftCell="A3" zoomScale="80" workbookViewId="0">
      <selection activeCell="D25" sqref="D25"/>
    </sheetView>
  </sheetViews>
  <sheetFormatPr defaultRowHeight="12"/>
  <cols>
    <col min="1" max="2" width="12.140625" style="12" customWidth="1"/>
    <col min="3" max="3" width="11.28515625" style="12" customWidth="1"/>
    <col min="4" max="4" width="11.85546875" style="12" customWidth="1"/>
    <col min="5" max="5" width="11.5703125" style="12" customWidth="1"/>
    <col min="6" max="6" width="11.7109375" style="12" customWidth="1"/>
    <col min="7" max="7" width="11.85546875" style="12" customWidth="1"/>
    <col min="8" max="8" width="11.7109375" style="12" customWidth="1"/>
    <col min="9" max="9" width="11.85546875" style="12" customWidth="1"/>
    <col min="10" max="10" width="8.85546875" style="12" customWidth="1"/>
    <col min="11" max="11" width="11.85546875" style="12" customWidth="1"/>
    <col min="12" max="12" width="9.140625" style="12"/>
    <col min="13" max="13" width="11" style="12" bestFit="1" customWidth="1"/>
    <col min="14" max="14" width="9.140625" style="12"/>
    <col min="15" max="15" width="5.5703125" style="12" customWidth="1"/>
    <col min="16" max="16384" width="9.140625" style="12"/>
  </cols>
  <sheetData>
    <row r="1" spans="1:16" s="7" customFormat="1" ht="16.5" thickBot="1">
      <c r="A1" s="1" t="s">
        <v>374</v>
      </c>
      <c r="B1" s="2"/>
      <c r="C1" s="3"/>
      <c r="D1" s="4"/>
      <c r="E1" s="2"/>
      <c r="F1" s="2"/>
      <c r="G1" s="2"/>
      <c r="H1" s="5"/>
      <c r="I1" s="6"/>
    </row>
    <row r="2" spans="1:16" ht="12.75">
      <c r="A2" s="8"/>
      <c r="B2" s="9"/>
      <c r="C2" s="9"/>
      <c r="D2" s="10"/>
      <c r="E2" s="10"/>
      <c r="F2" s="10"/>
      <c r="G2" s="9"/>
      <c r="H2" s="11"/>
    </row>
    <row r="3" spans="1:16" ht="13.5" thickBot="1">
      <c r="A3" s="13"/>
      <c r="B3" s="14"/>
      <c r="C3" s="15"/>
      <c r="D3" s="10"/>
      <c r="E3" s="15"/>
      <c r="F3" s="15"/>
      <c r="G3" s="15"/>
      <c r="H3" s="11"/>
    </row>
    <row r="4" spans="1:16" ht="12.75">
      <c r="A4" s="16"/>
      <c r="B4" s="9"/>
      <c r="C4" s="9"/>
      <c r="D4" s="17" t="s">
        <v>479</v>
      </c>
      <c r="E4" s="18"/>
      <c r="F4" s="18"/>
      <c r="G4" s="19"/>
      <c r="H4" s="20"/>
      <c r="L4"/>
    </row>
    <row r="5" spans="1:16" ht="13.5" thickBot="1">
      <c r="A5" s="21"/>
      <c r="B5" s="22"/>
      <c r="C5" s="22"/>
      <c r="D5" s="233" t="s">
        <v>328</v>
      </c>
      <c r="E5" s="23" t="s">
        <v>442</v>
      </c>
      <c r="F5" s="23" t="str">
        <f>D4</f>
        <v>May</v>
      </c>
      <c r="G5" s="24" t="str">
        <f>+F5</f>
        <v>May</v>
      </c>
      <c r="H5" s="25" t="str">
        <f>+F5</f>
        <v>May</v>
      </c>
      <c r="L5"/>
    </row>
    <row r="6" spans="1:16" ht="13.5" thickBot="1">
      <c r="A6" s="21"/>
      <c r="B6" s="22"/>
      <c r="C6" s="22"/>
      <c r="D6" s="26" t="s">
        <v>1</v>
      </c>
      <c r="E6" s="309" t="s">
        <v>328</v>
      </c>
      <c r="F6" s="27">
        <v>99</v>
      </c>
      <c r="G6" s="28" t="s">
        <v>2</v>
      </c>
      <c r="H6" s="29" t="s">
        <v>3</v>
      </c>
      <c r="I6" s="30"/>
      <c r="K6" s="424" t="s">
        <v>4</v>
      </c>
      <c r="L6" s="425"/>
    </row>
    <row r="7" spans="1:16" ht="12.75">
      <c r="A7" s="31" t="s">
        <v>5</v>
      </c>
      <c r="B7" s="22"/>
      <c r="D7" s="32">
        <f>C214+C234</f>
        <v>462.18599999999998</v>
      </c>
      <c r="E7" s="219">
        <f>(20280.525*0.75)/22-E11-E12</f>
        <v>487.56553409090907</v>
      </c>
      <c r="F7" s="32">
        <v>600</v>
      </c>
      <c r="G7" s="220">
        <f>D7*1.1</f>
        <v>508.40460000000002</v>
      </c>
      <c r="H7" s="221">
        <f>D7*0.9</f>
        <v>415.9674</v>
      </c>
      <c r="I7" s="33"/>
      <c r="K7" s="34" t="s">
        <v>6</v>
      </c>
      <c r="L7" s="35">
        <f>C139</f>
        <v>13</v>
      </c>
      <c r="N7"/>
      <c r="O7"/>
    </row>
    <row r="8" spans="1:16" ht="12.75">
      <c r="A8" s="31" t="s">
        <v>511</v>
      </c>
      <c r="B8" s="22"/>
      <c r="C8" s="36"/>
      <c r="D8" s="383">
        <f>73+85</f>
        <v>158</v>
      </c>
      <c r="E8" s="219">
        <f>(1538.234/22)+(1841.558/22)</f>
        <v>153.62690909090909</v>
      </c>
      <c r="F8" s="37">
        <v>109.3</v>
      </c>
      <c r="G8" s="222">
        <f>73+105</f>
        <v>178</v>
      </c>
      <c r="H8" s="221">
        <f>65.7+60</f>
        <v>125.7</v>
      </c>
      <c r="I8" s="30"/>
      <c r="K8" s="38" t="s">
        <v>7</v>
      </c>
      <c r="L8" s="39">
        <f>C140+C218</f>
        <v>0</v>
      </c>
      <c r="N8"/>
      <c r="O8"/>
    </row>
    <row r="9" spans="1:16" ht="12.75">
      <c r="A9" s="31" t="s">
        <v>8</v>
      </c>
      <c r="B9" s="22"/>
      <c r="C9" s="10"/>
      <c r="D9" s="383">
        <v>25</v>
      </c>
      <c r="E9" s="219">
        <f>(529.546-8.263)/19</f>
        <v>27.435947368421054</v>
      </c>
      <c r="F9" s="37">
        <v>33</v>
      </c>
      <c r="G9" s="222">
        <v>60</v>
      </c>
      <c r="H9" s="221">
        <v>20</v>
      </c>
      <c r="I9" s="30"/>
      <c r="K9" s="38" t="s">
        <v>9</v>
      </c>
      <c r="L9" s="263">
        <f>C145+C220</f>
        <v>20</v>
      </c>
      <c r="N9"/>
      <c r="O9"/>
    </row>
    <row r="10" spans="1:16" ht="12.75">
      <c r="A10" s="31" t="s">
        <v>10</v>
      </c>
      <c r="B10" s="22"/>
      <c r="C10" s="22"/>
      <c r="D10" s="383">
        <f>31.723+10</f>
        <v>41.722999999999999</v>
      </c>
      <c r="E10" s="219">
        <f>(660.659/22)+(20.811/22)+10</f>
        <v>40.975909090909084</v>
      </c>
      <c r="F10" s="37">
        <v>93.5</v>
      </c>
      <c r="G10" s="222">
        <v>0</v>
      </c>
      <c r="H10" s="221">
        <v>0</v>
      </c>
      <c r="I10" s="40"/>
      <c r="K10" s="38" t="s">
        <v>11</v>
      </c>
      <c r="L10" s="39">
        <f>C147+C221</f>
        <v>5</v>
      </c>
      <c r="N10"/>
      <c r="O10"/>
    </row>
    <row r="11" spans="1:16" ht="12.75">
      <c r="A11" s="31" t="s">
        <v>330</v>
      </c>
      <c r="B11" s="22"/>
      <c r="C11" s="22"/>
      <c r="D11" s="383">
        <f>90+15+0.4</f>
        <v>105.4</v>
      </c>
      <c r="E11" s="219">
        <f>+(2074.026+39.511+271.7)/22</f>
        <v>108.41986363636362</v>
      </c>
      <c r="F11" s="37">
        <v>103.5</v>
      </c>
      <c r="G11" s="222">
        <v>145</v>
      </c>
      <c r="H11" s="221">
        <v>90</v>
      </c>
      <c r="I11" s="30"/>
      <c r="K11" s="38" t="s">
        <v>12</v>
      </c>
      <c r="L11" s="39">
        <f>C155+C222</f>
        <v>0.6</v>
      </c>
      <c r="N11"/>
      <c r="O11"/>
    </row>
    <row r="12" spans="1:16" ht="12.75">
      <c r="A12" s="31" t="s">
        <v>13</v>
      </c>
      <c r="B12" s="22"/>
      <c r="C12" s="22"/>
      <c r="D12" s="383">
        <v>95</v>
      </c>
      <c r="E12" s="219">
        <f>+(1098.402+17.843+0.289+881.598+116.092)/22-(15.509/22)</f>
        <v>95.396136363636373</v>
      </c>
      <c r="F12" s="37">
        <v>108.8</v>
      </c>
      <c r="G12" s="222">
        <f>90*1.05</f>
        <v>94.5</v>
      </c>
      <c r="H12" s="221">
        <f>90*0.95</f>
        <v>85.5</v>
      </c>
      <c r="I12" s="30"/>
      <c r="K12" s="38" t="s">
        <v>14</v>
      </c>
      <c r="L12" s="39">
        <f>C167+C225</f>
        <v>2.5</v>
      </c>
      <c r="N12"/>
      <c r="O12"/>
    </row>
    <row r="13" spans="1:16" ht="12.75">
      <c r="A13" s="31" t="s">
        <v>15</v>
      </c>
      <c r="B13" s="22"/>
      <c r="C13" s="22"/>
      <c r="D13" s="383">
        <f>40+30</f>
        <v>70</v>
      </c>
      <c r="E13" s="219">
        <v>69.009</v>
      </c>
      <c r="F13" s="37">
        <v>85.403000000000006</v>
      </c>
      <c r="G13" s="222">
        <v>180</v>
      </c>
      <c r="H13" s="221">
        <v>0</v>
      </c>
      <c r="I13" s="30"/>
      <c r="J13"/>
      <c r="K13" s="38" t="s">
        <v>16</v>
      </c>
      <c r="L13" s="39">
        <f>C166+C224</f>
        <v>0.18</v>
      </c>
      <c r="N13"/>
      <c r="O13"/>
    </row>
    <row r="14" spans="1:16" ht="12.75">
      <c r="A14" s="31" t="s">
        <v>17</v>
      </c>
      <c r="B14" s="22"/>
      <c r="C14" s="22"/>
      <c r="D14" s="37">
        <f>B93</f>
        <v>10.016999999999999</v>
      </c>
      <c r="E14" s="219">
        <f>'Mar prebid'!D14</f>
        <v>5.3579999999999997</v>
      </c>
      <c r="F14" s="37">
        <v>4.5</v>
      </c>
      <c r="G14" s="222">
        <f>D14*1.05</f>
        <v>10.517849999999999</v>
      </c>
      <c r="H14" s="221">
        <f>D14*0.95</f>
        <v>9.5161499999999997</v>
      </c>
      <c r="I14" s="30"/>
      <c r="K14" s="38" t="s">
        <v>18</v>
      </c>
      <c r="L14" s="39">
        <f>C170+C226</f>
        <v>10.9</v>
      </c>
      <c r="N14"/>
      <c r="O14"/>
    </row>
    <row r="15" spans="1:16" ht="12.75">
      <c r="A15" s="31" t="s">
        <v>373</v>
      </c>
      <c r="B15" s="22"/>
      <c r="C15" s="368" t="s">
        <v>495</v>
      </c>
      <c r="D15" s="383">
        <f>SUM(D16:D18)</f>
        <v>155</v>
      </c>
      <c r="E15" s="219">
        <f>SUM(E16:E18)</f>
        <v>185</v>
      </c>
      <c r="F15" s="37">
        <f>SUM(F16:F18)</f>
        <v>130</v>
      </c>
      <c r="G15" s="222">
        <v>1174</v>
      </c>
      <c r="H15" s="221">
        <v>0</v>
      </c>
      <c r="I15" s="30"/>
      <c r="K15" s="38" t="s">
        <v>20</v>
      </c>
      <c r="L15" s="39">
        <f>C182+C228</f>
        <v>10</v>
      </c>
      <c r="N15"/>
      <c r="O15"/>
    </row>
    <row r="16" spans="1:16" ht="12.75">
      <c r="A16" s="31" t="s">
        <v>368</v>
      </c>
      <c r="B16" s="41"/>
      <c r="C16" s="22"/>
      <c r="D16" s="213">
        <f>90+4</f>
        <v>94</v>
      </c>
      <c r="E16" s="219">
        <v>121</v>
      </c>
      <c r="F16" s="37">
        <v>67</v>
      </c>
      <c r="G16" s="222"/>
      <c r="H16" s="221"/>
      <c r="I16" s="30"/>
      <c r="K16" s="38" t="s">
        <v>22</v>
      </c>
      <c r="L16" s="39">
        <f>C136</f>
        <v>0</v>
      </c>
      <c r="N16"/>
      <c r="O16"/>
      <c r="P16"/>
    </row>
    <row r="17" spans="1:36" ht="12.75">
      <c r="A17" s="31" t="s">
        <v>369</v>
      </c>
      <c r="B17" s="41"/>
      <c r="C17" s="22"/>
      <c r="D17" s="213">
        <v>3</v>
      </c>
      <c r="E17" s="219">
        <v>6</v>
      </c>
      <c r="F17" s="37">
        <v>4</v>
      </c>
      <c r="G17" s="222"/>
      <c r="H17" s="221"/>
      <c r="I17" s="30"/>
      <c r="K17" s="38" t="s">
        <v>24</v>
      </c>
      <c r="L17" s="39">
        <f>C200+C230</f>
        <v>40</v>
      </c>
      <c r="N17"/>
      <c r="O17"/>
      <c r="P17"/>
    </row>
    <row r="18" spans="1:36" ht="12.75">
      <c r="A18" s="31" t="s">
        <v>370</v>
      </c>
      <c r="B18" s="41"/>
      <c r="C18" s="22"/>
      <c r="D18" s="213">
        <v>58</v>
      </c>
      <c r="E18" s="219">
        <v>58</v>
      </c>
      <c r="F18" s="37">
        <v>59</v>
      </c>
      <c r="G18" s="222"/>
      <c r="H18" s="221"/>
      <c r="I18" s="30"/>
      <c r="K18" s="38" t="s">
        <v>26</v>
      </c>
      <c r="L18" s="39">
        <f>C201</f>
        <v>15</v>
      </c>
      <c r="N18"/>
      <c r="O18"/>
      <c r="P18"/>
    </row>
    <row r="19" spans="1:36" ht="13.5" thickBot="1">
      <c r="A19" s="31" t="s">
        <v>21</v>
      </c>
      <c r="B19" s="36"/>
      <c r="C19" s="36"/>
      <c r="D19" s="37">
        <f>F94-B93</f>
        <v>360.78100000000001</v>
      </c>
      <c r="E19" s="219">
        <f>'Mar prebid'!D19</f>
        <v>220.48099999999999</v>
      </c>
      <c r="F19" s="37">
        <v>0</v>
      </c>
      <c r="G19" s="222">
        <v>0</v>
      </c>
      <c r="H19" s="221">
        <v>0</v>
      </c>
      <c r="I19" s="42"/>
      <c r="K19" s="47" t="s">
        <v>28</v>
      </c>
      <c r="L19" s="48">
        <f>C205+C233</f>
        <v>60</v>
      </c>
      <c r="N19"/>
      <c r="O19"/>
    </row>
    <row r="20" spans="1:36" ht="12.75">
      <c r="A20" s="31" t="s">
        <v>23</v>
      </c>
      <c r="B20" s="22"/>
      <c r="C20" s="22"/>
      <c r="D20" s="43">
        <f>SUM(D7:D19)-D15</f>
        <v>1483.107</v>
      </c>
      <c r="E20" s="43">
        <f>SUM(E7:E19)-E15</f>
        <v>1393.2682996411484</v>
      </c>
      <c r="F20" s="43">
        <f>SUM(F7:F19)-F15</f>
        <v>1268.0029999999999</v>
      </c>
      <c r="G20" s="44">
        <f>SUM(G7:G19)</f>
        <v>2350.42245</v>
      </c>
      <c r="H20" s="231">
        <f>SUM(H7:H19)</f>
        <v>746.68355000000008</v>
      </c>
      <c r="I20" s="33"/>
      <c r="L20"/>
      <c r="N20"/>
      <c r="O20" s="45"/>
    </row>
    <row r="21" spans="1:36" ht="12.75">
      <c r="A21" s="31" t="s">
        <v>25</v>
      </c>
      <c r="B21" s="22"/>
      <c r="C21" s="22"/>
      <c r="D21" s="46">
        <f>D32</f>
        <v>0</v>
      </c>
      <c r="E21" s="224">
        <v>-64.516129032258064</v>
      </c>
      <c r="F21" s="225">
        <v>0</v>
      </c>
      <c r="G21" s="226">
        <v>0</v>
      </c>
      <c r="H21" s="227">
        <v>0</v>
      </c>
      <c r="I21" s="30"/>
      <c r="L21"/>
      <c r="N21" s="45"/>
      <c r="O21"/>
    </row>
    <row r="22" spans="1:36" ht="12.75">
      <c r="A22" s="31" t="s">
        <v>475</v>
      </c>
      <c r="B22" s="22"/>
      <c r="C22" s="22"/>
      <c r="D22" s="383">
        <v>2.5</v>
      </c>
      <c r="E22" s="37">
        <v>2.5</v>
      </c>
      <c r="F22" s="37">
        <v>2.5</v>
      </c>
      <c r="G22" s="228">
        <v>0</v>
      </c>
      <c r="H22" s="227">
        <v>0</v>
      </c>
      <c r="I22" s="30"/>
      <c r="L22"/>
      <c r="N22"/>
    </row>
    <row r="23" spans="1:36" ht="12.75">
      <c r="A23" s="49"/>
      <c r="B23" s="22"/>
      <c r="C23" s="50" t="s">
        <v>29</v>
      </c>
      <c r="D23" s="314">
        <f>D22+D21+D20</f>
        <v>1485.607</v>
      </c>
      <c r="E23" s="44">
        <f>E22+E21+E20</f>
        <v>1331.2521706088903</v>
      </c>
      <c r="F23" s="44">
        <f>F22+F21+F20</f>
        <v>1270.5029999999999</v>
      </c>
      <c r="G23" s="44">
        <f>G22+G21+G20</f>
        <v>2350.42245</v>
      </c>
      <c r="H23" s="232">
        <f>H22+H21+H20</f>
        <v>746.68355000000008</v>
      </c>
      <c r="I23" s="30"/>
      <c r="L23"/>
    </row>
    <row r="24" spans="1:36" ht="12.75">
      <c r="A24" s="31" t="s">
        <v>30</v>
      </c>
      <c r="B24" s="22"/>
      <c r="C24" s="22"/>
      <c r="D24" s="46">
        <f>D44</f>
        <v>1378.6491999999998</v>
      </c>
      <c r="E24" s="312">
        <f>'Mar prebid'!D24</f>
        <v>1494.069</v>
      </c>
      <c r="F24" s="312">
        <v>1660</v>
      </c>
      <c r="G24" s="313">
        <f>D24</f>
        <v>1378.6491999999998</v>
      </c>
      <c r="H24" s="311">
        <f>D24</f>
        <v>1378.6491999999998</v>
      </c>
      <c r="I24" s="30"/>
      <c r="L24"/>
    </row>
    <row r="25" spans="1:36" ht="13.5" thickBot="1">
      <c r="A25" s="315" t="s">
        <v>334</v>
      </c>
      <c r="B25" s="22"/>
      <c r="C25" s="22"/>
      <c r="D25" s="46">
        <v>111.238</v>
      </c>
      <c r="E25" s="37">
        <f>'Mar prebid'!D25</f>
        <v>53.755000000000003</v>
      </c>
      <c r="F25" s="37"/>
      <c r="G25" s="225"/>
      <c r="H25" s="227"/>
      <c r="I25" s="30"/>
      <c r="L25"/>
    </row>
    <row r="26" spans="1:36" ht="13.5" thickBot="1">
      <c r="A26" s="51"/>
      <c r="B26" s="52"/>
      <c r="C26" s="53" t="s">
        <v>31</v>
      </c>
      <c r="D26" s="54">
        <f>D24+D25-D23</f>
        <v>4.2801999999999225</v>
      </c>
      <c r="E26" s="54">
        <f>E24-E23+E25</f>
        <v>216.57182939110965</v>
      </c>
      <c r="F26" s="54">
        <f>F24-F23</f>
        <v>389.49700000000007</v>
      </c>
      <c r="G26" s="54">
        <f>+G23-G24</f>
        <v>971.77325000000019</v>
      </c>
      <c r="H26" s="54">
        <f>+(H23-H24)</f>
        <v>-631.96564999999975</v>
      </c>
      <c r="I26" s="33"/>
      <c r="J26" s="83" t="s">
        <v>480</v>
      </c>
      <c r="L26"/>
    </row>
    <row r="27" spans="1:36" ht="4.5" customHeight="1">
      <c r="A27" s="55"/>
      <c r="B27" s="22"/>
      <c r="C27" s="56"/>
      <c r="D27" s="57"/>
      <c r="E27" s="58"/>
      <c r="F27" s="58"/>
      <c r="G27" s="59"/>
      <c r="H27" s="59"/>
      <c r="I27" s="33"/>
      <c r="J27" s="373"/>
      <c r="K27" s="65"/>
      <c r="L27" s="66"/>
    </row>
    <row r="28" spans="1:36" ht="13.5" thickBot="1">
      <c r="A28" s="49"/>
      <c r="C28" s="60" t="s">
        <v>32</v>
      </c>
      <c r="D28" s="238">
        <v>0</v>
      </c>
      <c r="E28" s="58"/>
      <c r="F28" s="58"/>
      <c r="G28" s="58"/>
      <c r="H28" s="58"/>
      <c r="J28" s="374">
        <f>10+88.34-20-10</f>
        <v>68.34</v>
      </c>
      <c r="L28"/>
    </row>
    <row r="29" spans="1:36" s="67" customFormat="1" ht="13.5" customHeight="1" thickBot="1">
      <c r="A29" s="61"/>
      <c r="B29" s="62"/>
      <c r="C29" s="63" t="s">
        <v>33</v>
      </c>
      <c r="D29" s="64">
        <f>D26+D28</f>
        <v>4.2801999999999225</v>
      </c>
      <c r="E29" s="58"/>
      <c r="F29" s="58"/>
      <c r="G29" s="58"/>
      <c r="H29" s="58"/>
      <c r="I29" s="33"/>
      <c r="J29" s="65"/>
      <c r="K29" s="12"/>
      <c r="L2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</row>
    <row r="30" spans="1:36" ht="8.25" customHeight="1" thickBot="1">
      <c r="A30" s="68"/>
      <c r="B30" s="69"/>
      <c r="C30" s="70"/>
      <c r="D30" s="71"/>
      <c r="E30" s="10"/>
      <c r="F30" s="10"/>
      <c r="G30" s="72"/>
      <c r="H30" s="73"/>
      <c r="I30" s="74"/>
      <c r="K30"/>
    </row>
    <row r="31" spans="1:36" ht="13.5" thickBot="1">
      <c r="A31" s="429" t="s">
        <v>389</v>
      </c>
      <c r="B31" s="430"/>
      <c r="C31" s="430"/>
      <c r="D31" s="431"/>
      <c r="E31" s="75" t="s">
        <v>35</v>
      </c>
      <c r="F31" s="76"/>
      <c r="G31" s="77"/>
      <c r="H31" s="78"/>
      <c r="I31" s="426" t="s">
        <v>36</v>
      </c>
      <c r="J31" s="427"/>
      <c r="K31" s="96"/>
      <c r="L31" s="96"/>
    </row>
    <row r="32" spans="1:36" ht="13.5" thickBot="1">
      <c r="A32" s="31" t="s">
        <v>37</v>
      </c>
      <c r="B32" s="72"/>
      <c r="C32" s="72"/>
      <c r="D32" s="282">
        <f>B33/30</f>
        <v>0</v>
      </c>
      <c r="E32" s="79" t="s">
        <v>38</v>
      </c>
      <c r="F32" s="80"/>
      <c r="G32" s="81" t="s">
        <v>39</v>
      </c>
      <c r="H32" s="82"/>
      <c r="I32" s="83" t="s">
        <v>40</v>
      </c>
      <c r="J32" s="84" t="s">
        <v>41</v>
      </c>
      <c r="K32" s="99"/>
      <c r="L32" s="99"/>
    </row>
    <row r="33" spans="1:12" ht="13.5" thickBot="1">
      <c r="A33" s="85" t="s">
        <v>42</v>
      </c>
      <c r="B33" s="86">
        <v>0</v>
      </c>
      <c r="C33" s="87" t="s">
        <v>43</v>
      </c>
      <c r="D33" s="88"/>
      <c r="E33" s="283" t="s">
        <v>83</v>
      </c>
      <c r="F33" s="375">
        <v>0.55000000000000004</v>
      </c>
      <c r="G33" s="90"/>
      <c r="H33" s="91"/>
      <c r="I33" s="239">
        <f>7.5+20+15+15+15+5+5+10+5+5</f>
        <v>102.5</v>
      </c>
      <c r="J33" s="240">
        <f>15+15+15</f>
        <v>45</v>
      </c>
      <c r="K33" s="74"/>
      <c r="L33" s="74"/>
    </row>
    <row r="34" spans="1:12" ht="13.5" thickBot="1">
      <c r="A34" s="85" t="s">
        <v>44</v>
      </c>
      <c r="B34" s="92">
        <v>0</v>
      </c>
      <c r="C34" s="22"/>
      <c r="D34" s="93"/>
      <c r="E34" s="283" t="s">
        <v>18</v>
      </c>
      <c r="F34" s="284">
        <v>10</v>
      </c>
      <c r="G34" s="90"/>
      <c r="H34" s="91"/>
      <c r="I34" s="307" t="s">
        <v>45</v>
      </c>
      <c r="J34" s="95">
        <f>+I33-J33</f>
        <v>57.5</v>
      </c>
      <c r="K34"/>
      <c r="L34"/>
    </row>
    <row r="35" spans="1:12" ht="13.5" thickBot="1">
      <c r="A35" s="97"/>
      <c r="B35" s="52"/>
      <c r="C35" s="52"/>
      <c r="D35" s="98"/>
      <c r="E35" s="283" t="s">
        <v>322</v>
      </c>
      <c r="F35" s="375">
        <v>2.5000000000000001E-2</v>
      </c>
      <c r="G35" s="90"/>
      <c r="H35" s="91"/>
      <c r="I35"/>
      <c r="J35"/>
      <c r="K35"/>
      <c r="L35"/>
    </row>
    <row r="36" spans="1:12" ht="13.5" thickBot="1">
      <c r="A36" s="100"/>
      <c r="B36" s="101"/>
      <c r="C36" s="101"/>
      <c r="D36" s="102"/>
      <c r="E36" s="90" t="s">
        <v>14</v>
      </c>
      <c r="F36" s="91">
        <v>10</v>
      </c>
      <c r="G36" s="90"/>
      <c r="H36" s="91"/>
      <c r="I36" s="426" t="s">
        <v>46</v>
      </c>
      <c r="J36" s="428"/>
      <c r="K36" s="112"/>
      <c r="L36"/>
    </row>
    <row r="37" spans="1:12" ht="13.5" thickBot="1">
      <c r="A37" s="103" t="s">
        <v>47</v>
      </c>
      <c r="B37" s="104"/>
      <c r="C37" s="104"/>
      <c r="D37" s="105"/>
      <c r="E37" s="283"/>
      <c r="F37" s="284"/>
      <c r="G37" s="106"/>
      <c r="H37" s="107"/>
      <c r="I37" s="83" t="s">
        <v>48</v>
      </c>
      <c r="J37" s="84" t="s">
        <v>49</v>
      </c>
      <c r="K37" s="112"/>
      <c r="L37"/>
    </row>
    <row r="38" spans="1:12" ht="13.5" thickBot="1">
      <c r="A38" s="31"/>
      <c r="B38" s="22"/>
      <c r="C38" s="22"/>
      <c r="D38" s="108"/>
      <c r="E38" s="365"/>
      <c r="F38" s="284"/>
      <c r="G38" s="106"/>
      <c r="H38" s="107"/>
      <c r="I38" s="305">
        <v>5</v>
      </c>
      <c r="J38" s="241">
        <f>20+10-30</f>
        <v>0</v>
      </c>
      <c r="K38" s="112"/>
      <c r="L38"/>
    </row>
    <row r="39" spans="1:12" ht="13.5" thickBot="1">
      <c r="A39" s="31" t="s">
        <v>50</v>
      </c>
      <c r="B39" s="22"/>
      <c r="C39" s="22"/>
      <c r="D39" s="110">
        <f>K212/1000</f>
        <v>54.297199999999997</v>
      </c>
      <c r="E39" s="89"/>
      <c r="F39" s="218"/>
      <c r="G39" s="106"/>
      <c r="H39" s="107"/>
      <c r="I39" s="111" t="s">
        <v>51</v>
      </c>
      <c r="J39" s="84" t="s">
        <v>52</v>
      </c>
      <c r="K39"/>
      <c r="L39"/>
    </row>
    <row r="40" spans="1:12" ht="13.5" thickBot="1">
      <c r="A40" s="31" t="s">
        <v>53</v>
      </c>
      <c r="B40" s="22"/>
      <c r="C40" s="22"/>
      <c r="D40" s="108">
        <f>L94</f>
        <v>576.28199999999993</v>
      </c>
      <c r="E40" s="89"/>
      <c r="F40" s="218"/>
      <c r="G40" s="113"/>
      <c r="H40" s="114"/>
      <c r="I40" s="242">
        <f>10+20+20+10+10+20+25-15</f>
        <v>100</v>
      </c>
      <c r="J40" s="306">
        <v>0</v>
      </c>
      <c r="K40"/>
      <c r="L40"/>
    </row>
    <row r="41" spans="1:12" ht="13.5" thickBot="1">
      <c r="A41" s="31" t="s">
        <v>54</v>
      </c>
      <c r="B41" s="22"/>
      <c r="C41" s="22"/>
      <c r="D41" s="389">
        <v>40</v>
      </c>
      <c r="E41" s="89"/>
      <c r="F41" s="218"/>
      <c r="G41" s="113"/>
      <c r="H41" s="114"/>
      <c r="I41" s="308" t="s">
        <v>55</v>
      </c>
      <c r="J41" s="95">
        <f>J34+I38+J38+I40+J40</f>
        <v>162.5</v>
      </c>
      <c r="K41"/>
      <c r="L41"/>
    </row>
    <row r="42" spans="1:12" ht="13.5" thickBot="1">
      <c r="A42" s="31" t="s">
        <v>56</v>
      </c>
      <c r="B42" s="22"/>
      <c r="C42" s="22"/>
      <c r="D42" s="117">
        <f>741.07-23-10</f>
        <v>708.07</v>
      </c>
      <c r="E42" s="89"/>
      <c r="F42" s="218"/>
      <c r="G42" s="10"/>
      <c r="H42" s="11"/>
      <c r="K42"/>
      <c r="L42"/>
    </row>
    <row r="43" spans="1:12" ht="13.5" thickBot="1">
      <c r="A43" s="31"/>
      <c r="B43" s="22"/>
      <c r="C43" s="22"/>
      <c r="D43" s="108"/>
      <c r="E43" s="89"/>
      <c r="F43" s="218"/>
      <c r="G43" s="10"/>
      <c r="H43" s="11"/>
      <c r="I43" s="426" t="s">
        <v>57</v>
      </c>
      <c r="J43" s="427"/>
      <c r="K43"/>
      <c r="L43"/>
    </row>
    <row r="44" spans="1:12" ht="13.5" thickBot="1">
      <c r="A44" s="51"/>
      <c r="B44" s="118" t="s">
        <v>58</v>
      </c>
      <c r="C44" s="119" t="str">
        <f>+F5</f>
        <v>May</v>
      </c>
      <c r="D44" s="120">
        <f>SUM(D39:D42)</f>
        <v>1378.6491999999998</v>
      </c>
      <c r="E44" s="121" t="s">
        <v>59</v>
      </c>
      <c r="F44" s="122">
        <f>SUM(F33:F42)</f>
        <v>20.575000000000003</v>
      </c>
      <c r="G44" s="121" t="s">
        <v>59</v>
      </c>
      <c r="H44" s="123">
        <f>SUM(H33:H43)</f>
        <v>0</v>
      </c>
      <c r="I44"/>
      <c r="J44" s="346">
        <v>15</v>
      </c>
      <c r="K44"/>
      <c r="L44"/>
    </row>
    <row r="45" spans="1:12" ht="12.75" thickBot="1"/>
    <row r="46" spans="1:12" ht="12.75" thickBot="1">
      <c r="A46" s="124" t="s">
        <v>60</v>
      </c>
      <c r="B46" s="125"/>
      <c r="C46" s="125"/>
      <c r="D46" s="125"/>
      <c r="E46" s="126"/>
      <c r="F46" s="127"/>
      <c r="G46" s="124" t="s">
        <v>61</v>
      </c>
      <c r="H46" s="125"/>
      <c r="I46" s="125"/>
      <c r="J46" s="125"/>
      <c r="K46" s="125"/>
      <c r="L46" s="128"/>
    </row>
    <row r="47" spans="1:12">
      <c r="A47" s="129" t="s">
        <v>63</v>
      </c>
      <c r="B47" s="130"/>
      <c r="C47" s="131" t="s">
        <v>64</v>
      </c>
      <c r="D47" s="130"/>
      <c r="E47" s="131" t="s">
        <v>65</v>
      </c>
      <c r="F47" s="132"/>
      <c r="G47" s="133"/>
      <c r="H47" s="130"/>
      <c r="I47" s="131" t="s">
        <v>64</v>
      </c>
      <c r="J47" s="130"/>
      <c r="K47" s="131" t="s">
        <v>65</v>
      </c>
      <c r="L47" s="132"/>
    </row>
    <row r="48" spans="1:12">
      <c r="A48" s="134" t="s">
        <v>69</v>
      </c>
      <c r="B48" s="382">
        <v>9.6000000000000002E-2</v>
      </c>
      <c r="C48" s="136" t="s">
        <v>455</v>
      </c>
      <c r="D48" s="382">
        <v>15</v>
      </c>
      <c r="E48" s="136" t="s">
        <v>81</v>
      </c>
      <c r="F48" s="382">
        <v>20</v>
      </c>
      <c r="G48" s="138"/>
      <c r="H48" s="139"/>
      <c r="I48" s="136" t="s">
        <v>68</v>
      </c>
      <c r="J48" s="385">
        <v>40</v>
      </c>
      <c r="K48" s="136" t="s">
        <v>75</v>
      </c>
      <c r="L48" s="372">
        <v>15</v>
      </c>
    </row>
    <row r="49" spans="1:12">
      <c r="A49" s="134" t="s">
        <v>72</v>
      </c>
      <c r="B49" s="382">
        <v>4.8000000000000001E-2</v>
      </c>
      <c r="C49" s="136" t="s">
        <v>89</v>
      </c>
      <c r="D49" s="382">
        <v>2</v>
      </c>
      <c r="E49" s="136" t="s">
        <v>85</v>
      </c>
      <c r="F49" s="372">
        <v>5.0309999999999997</v>
      </c>
      <c r="G49" s="138"/>
      <c r="H49" s="139"/>
      <c r="I49" s="141" t="s">
        <v>68</v>
      </c>
      <c r="J49" s="382">
        <v>6</v>
      </c>
      <c r="K49" s="136" t="s">
        <v>75</v>
      </c>
      <c r="L49" s="372">
        <v>15</v>
      </c>
    </row>
    <row r="50" spans="1:12">
      <c r="A50" s="134" t="s">
        <v>79</v>
      </c>
      <c r="B50" s="382">
        <v>4.8000000000000001E-2</v>
      </c>
      <c r="C50" s="136" t="s">
        <v>493</v>
      </c>
      <c r="D50" s="382">
        <v>20</v>
      </c>
      <c r="E50" s="136" t="s">
        <v>102</v>
      </c>
      <c r="F50" s="372">
        <v>15</v>
      </c>
      <c r="G50" s="138"/>
      <c r="H50" s="139"/>
      <c r="I50" s="141" t="s">
        <v>71</v>
      </c>
      <c r="J50" s="386">
        <v>20</v>
      </c>
      <c r="K50" s="136" t="s">
        <v>388</v>
      </c>
      <c r="L50" s="372">
        <v>10</v>
      </c>
    </row>
    <row r="51" spans="1:12">
      <c r="A51" s="134" t="s">
        <v>83</v>
      </c>
      <c r="B51" s="135">
        <v>0</v>
      </c>
      <c r="C51" s="136"/>
      <c r="D51" s="135"/>
      <c r="E51" s="136" t="s">
        <v>492</v>
      </c>
      <c r="F51" s="372">
        <v>9</v>
      </c>
      <c r="G51" s="138"/>
      <c r="H51" s="139"/>
      <c r="I51" s="141" t="s">
        <v>71</v>
      </c>
      <c r="J51" s="382">
        <v>20</v>
      </c>
      <c r="K51" s="136" t="s">
        <v>459</v>
      </c>
      <c r="L51" s="372">
        <v>10</v>
      </c>
    </row>
    <row r="52" spans="1:12">
      <c r="A52" s="134" t="s">
        <v>85</v>
      </c>
      <c r="B52" s="384">
        <f>2.825+7</f>
        <v>9.8249999999999993</v>
      </c>
      <c r="C52" s="136"/>
      <c r="D52" s="135"/>
      <c r="E52" s="136" t="s">
        <v>493</v>
      </c>
      <c r="F52" s="372">
        <v>15</v>
      </c>
      <c r="G52" s="138"/>
      <c r="H52" s="139"/>
      <c r="I52" s="141" t="s">
        <v>75</v>
      </c>
      <c r="J52" s="382">
        <v>20</v>
      </c>
      <c r="K52" s="136" t="s">
        <v>459</v>
      </c>
      <c r="L52" s="372">
        <v>5</v>
      </c>
    </row>
    <row r="53" spans="1:12">
      <c r="A53" s="134"/>
      <c r="B53" s="135"/>
      <c r="C53" s="136"/>
      <c r="D53" s="135"/>
      <c r="E53" s="136" t="s">
        <v>494</v>
      </c>
      <c r="F53" s="372">
        <v>15</v>
      </c>
      <c r="G53" s="138"/>
      <c r="H53" s="139"/>
      <c r="I53" s="141" t="s">
        <v>82</v>
      </c>
      <c r="J53" s="382">
        <v>2.7290000000000001</v>
      </c>
      <c r="K53" s="136" t="s">
        <v>459</v>
      </c>
      <c r="L53" s="382">
        <v>25</v>
      </c>
    </row>
    <row r="54" spans="1:12">
      <c r="A54" s="134"/>
      <c r="B54" s="135"/>
      <c r="C54" s="136"/>
      <c r="D54" s="135"/>
      <c r="E54" s="136" t="s">
        <v>496</v>
      </c>
      <c r="F54" s="372">
        <v>5</v>
      </c>
      <c r="G54" s="138"/>
      <c r="H54" s="139"/>
      <c r="I54" s="141" t="s">
        <v>450</v>
      </c>
      <c r="J54" s="382">
        <v>10</v>
      </c>
      <c r="K54" s="136" t="s">
        <v>418</v>
      </c>
      <c r="L54" s="372">
        <v>15</v>
      </c>
    </row>
    <row r="55" spans="1:12">
      <c r="A55" s="134"/>
      <c r="B55" s="135"/>
      <c r="C55" s="136"/>
      <c r="D55" s="135"/>
      <c r="E55" s="136" t="s">
        <v>499</v>
      </c>
      <c r="F55" s="372">
        <v>4</v>
      </c>
      <c r="G55" s="138"/>
      <c r="H55" s="139"/>
      <c r="I55" s="141" t="s">
        <v>459</v>
      </c>
      <c r="J55" s="388">
        <v>10</v>
      </c>
      <c r="K55" s="136" t="s">
        <v>81</v>
      </c>
      <c r="L55" s="372">
        <v>20</v>
      </c>
    </row>
    <row r="56" spans="1:12">
      <c r="A56" s="138"/>
      <c r="B56" s="139"/>
      <c r="C56" s="136"/>
      <c r="D56" s="135"/>
      <c r="E56" s="136" t="s">
        <v>464</v>
      </c>
      <c r="F56" s="140">
        <v>20</v>
      </c>
      <c r="G56" s="138"/>
      <c r="H56" s="139"/>
      <c r="I56" s="141" t="s">
        <v>426</v>
      </c>
      <c r="J56" s="390">
        <v>15</v>
      </c>
      <c r="K56" s="136" t="s">
        <v>489</v>
      </c>
      <c r="L56" s="372">
        <v>5</v>
      </c>
    </row>
    <row r="57" spans="1:12">
      <c r="A57" s="138"/>
      <c r="B57" s="139"/>
      <c r="C57" s="136"/>
      <c r="D57" s="135"/>
      <c r="E57" s="136" t="s">
        <v>81</v>
      </c>
      <c r="F57" s="135">
        <v>10</v>
      </c>
      <c r="G57" s="138"/>
      <c r="H57" s="139"/>
      <c r="I57" s="141" t="s">
        <v>91</v>
      </c>
      <c r="J57" s="382">
        <v>2</v>
      </c>
      <c r="K57" s="136" t="s">
        <v>481</v>
      </c>
      <c r="L57" s="372">
        <v>10</v>
      </c>
    </row>
    <row r="58" spans="1:12">
      <c r="A58" s="138"/>
      <c r="B58" s="139"/>
      <c r="C58" s="136"/>
      <c r="D58" s="135"/>
      <c r="E58" s="136" t="s">
        <v>500</v>
      </c>
      <c r="F58" s="135">
        <v>10</v>
      </c>
      <c r="G58" s="138"/>
      <c r="H58" s="139"/>
      <c r="I58" s="141" t="s">
        <v>93</v>
      </c>
      <c r="J58" s="382">
        <v>30</v>
      </c>
      <c r="K58" s="136" t="s">
        <v>335</v>
      </c>
      <c r="L58" s="372">
        <v>20</v>
      </c>
    </row>
    <row r="59" spans="1:12">
      <c r="A59" s="143"/>
      <c r="B59" s="144"/>
      <c r="C59" s="136"/>
      <c r="D59" s="135"/>
      <c r="E59" s="136" t="s">
        <v>501</v>
      </c>
      <c r="F59" s="135">
        <v>15</v>
      </c>
      <c r="G59" s="138"/>
      <c r="H59" s="139"/>
      <c r="I59" s="136" t="s">
        <v>94</v>
      </c>
      <c r="J59" s="382">
        <v>10</v>
      </c>
      <c r="K59" s="136" t="s">
        <v>336</v>
      </c>
      <c r="L59" s="372">
        <v>5</v>
      </c>
    </row>
    <row r="60" spans="1:12">
      <c r="A60" s="143"/>
      <c r="B60" s="144"/>
      <c r="C60" s="136"/>
      <c r="D60" s="135"/>
      <c r="E60" s="136" t="s">
        <v>502</v>
      </c>
      <c r="F60" s="137">
        <v>10</v>
      </c>
      <c r="G60" s="138"/>
      <c r="H60" s="139"/>
      <c r="I60" s="136" t="s">
        <v>95</v>
      </c>
      <c r="J60" s="382">
        <v>20</v>
      </c>
      <c r="K60" s="136" t="s">
        <v>336</v>
      </c>
      <c r="L60" s="372">
        <v>5</v>
      </c>
    </row>
    <row r="61" spans="1:12">
      <c r="A61" s="143"/>
      <c r="B61" s="144"/>
      <c r="C61" s="136"/>
      <c r="D61" s="135"/>
      <c r="E61" s="136" t="s">
        <v>503</v>
      </c>
      <c r="F61" s="137">
        <v>6</v>
      </c>
      <c r="G61" s="138"/>
      <c r="H61" s="139"/>
      <c r="I61" s="136"/>
      <c r="J61" s="135"/>
      <c r="K61" s="136" t="s">
        <v>396</v>
      </c>
      <c r="L61" s="372">
        <v>1.3</v>
      </c>
    </row>
    <row r="62" spans="1:12">
      <c r="A62" s="143"/>
      <c r="B62" s="144"/>
      <c r="C62" s="136"/>
      <c r="D62" s="135"/>
      <c r="E62" s="136" t="s">
        <v>504</v>
      </c>
      <c r="F62" s="137">
        <v>10</v>
      </c>
      <c r="G62" s="138"/>
      <c r="H62" s="139"/>
      <c r="I62" s="136"/>
      <c r="J62" s="135"/>
      <c r="K62" s="136" t="s">
        <v>396</v>
      </c>
      <c r="L62" s="372">
        <v>3</v>
      </c>
    </row>
    <row r="63" spans="1:12">
      <c r="A63" s="143"/>
      <c r="B63" s="144"/>
      <c r="C63" s="136"/>
      <c r="D63" s="135"/>
      <c r="E63" s="136" t="s">
        <v>394</v>
      </c>
      <c r="F63" s="137">
        <v>15</v>
      </c>
      <c r="G63" s="138"/>
      <c r="H63" s="139"/>
      <c r="I63" s="136"/>
      <c r="J63" s="135"/>
      <c r="K63" s="136" t="s">
        <v>411</v>
      </c>
      <c r="L63" s="372">
        <v>10</v>
      </c>
    </row>
    <row r="64" spans="1:12">
      <c r="A64" s="143"/>
      <c r="B64" s="144"/>
      <c r="C64" s="136"/>
      <c r="D64" s="135"/>
      <c r="E64" s="136" t="s">
        <v>506</v>
      </c>
      <c r="F64" s="137">
        <v>15</v>
      </c>
      <c r="G64" s="138"/>
      <c r="H64" s="139"/>
      <c r="I64" s="136"/>
      <c r="J64" s="135"/>
      <c r="K64" s="136" t="s">
        <v>411</v>
      </c>
      <c r="L64" s="372">
        <v>5</v>
      </c>
    </row>
    <row r="65" spans="1:12">
      <c r="A65" s="143"/>
      <c r="B65" s="144"/>
      <c r="C65" s="136"/>
      <c r="D65" s="135"/>
      <c r="E65" s="136" t="s">
        <v>345</v>
      </c>
      <c r="F65" s="137">
        <v>8</v>
      </c>
      <c r="G65" s="138"/>
      <c r="H65" s="139"/>
      <c r="I65" s="136"/>
      <c r="J65" s="135"/>
      <c r="K65" s="136" t="s">
        <v>95</v>
      </c>
      <c r="L65" s="372">
        <v>12.5</v>
      </c>
    </row>
    <row r="66" spans="1:12">
      <c r="A66" s="143"/>
      <c r="B66" s="144"/>
      <c r="C66" s="136"/>
      <c r="D66" s="135"/>
      <c r="E66" s="136" t="s">
        <v>81</v>
      </c>
      <c r="F66" s="137">
        <v>15</v>
      </c>
      <c r="G66" s="138"/>
      <c r="H66" s="139"/>
      <c r="I66" s="136"/>
      <c r="J66" s="135"/>
      <c r="K66" s="136" t="s">
        <v>459</v>
      </c>
      <c r="L66" s="372">
        <v>5</v>
      </c>
    </row>
    <row r="67" spans="1:12">
      <c r="A67" s="143"/>
      <c r="B67" s="144"/>
      <c r="C67" s="136"/>
      <c r="D67" s="135"/>
      <c r="E67" s="136"/>
      <c r="F67" s="137"/>
      <c r="G67" s="138"/>
      <c r="H67" s="139"/>
      <c r="I67" s="136"/>
      <c r="J67" s="135"/>
      <c r="K67" s="136" t="s">
        <v>489</v>
      </c>
      <c r="L67" s="372">
        <v>5</v>
      </c>
    </row>
    <row r="68" spans="1:12">
      <c r="A68" s="143"/>
      <c r="B68" s="144"/>
      <c r="C68" s="136"/>
      <c r="D68" s="135"/>
      <c r="E68" s="136"/>
      <c r="F68" s="137"/>
      <c r="G68" s="138"/>
      <c r="H68" s="139"/>
      <c r="I68" s="136"/>
      <c r="J68" s="135"/>
      <c r="K68" s="136" t="s">
        <v>489</v>
      </c>
      <c r="L68" s="372">
        <v>10</v>
      </c>
    </row>
    <row r="69" spans="1:12">
      <c r="A69" s="143"/>
      <c r="B69" s="144"/>
      <c r="C69" s="136"/>
      <c r="D69" s="135"/>
      <c r="E69" s="136"/>
      <c r="F69" s="137"/>
      <c r="G69" s="138"/>
      <c r="H69" s="139"/>
      <c r="I69" s="136"/>
      <c r="J69" s="135"/>
      <c r="K69" s="136" t="s">
        <v>459</v>
      </c>
      <c r="L69" s="372">
        <v>5</v>
      </c>
    </row>
    <row r="70" spans="1:12">
      <c r="A70" s="143"/>
      <c r="B70" s="144"/>
      <c r="C70" s="136"/>
      <c r="D70" s="135"/>
      <c r="E70" s="136"/>
      <c r="F70" s="137"/>
      <c r="G70" s="138"/>
      <c r="H70" s="139"/>
      <c r="I70" s="136"/>
      <c r="J70" s="135"/>
      <c r="K70" s="136" t="s">
        <v>473</v>
      </c>
      <c r="L70" s="140">
        <v>21.866</v>
      </c>
    </row>
    <row r="71" spans="1:12">
      <c r="A71" s="143"/>
      <c r="B71" s="144"/>
      <c r="C71" s="136"/>
      <c r="D71" s="135"/>
      <c r="E71" s="136"/>
      <c r="F71" s="137"/>
      <c r="G71" s="138"/>
      <c r="H71" s="139"/>
      <c r="I71" s="136"/>
      <c r="J71" s="135"/>
      <c r="K71" s="136" t="s">
        <v>254</v>
      </c>
      <c r="L71" s="140">
        <v>0.33</v>
      </c>
    </row>
    <row r="72" spans="1:12">
      <c r="A72" s="143"/>
      <c r="B72" s="144"/>
      <c r="C72" s="136"/>
      <c r="D72" s="135"/>
      <c r="E72" s="136"/>
      <c r="F72" s="137"/>
      <c r="G72" s="138"/>
      <c r="H72" s="139"/>
      <c r="I72" s="136"/>
      <c r="J72" s="135"/>
      <c r="K72" s="136" t="s">
        <v>404</v>
      </c>
      <c r="L72" s="140">
        <v>0.375</v>
      </c>
    </row>
    <row r="73" spans="1:12">
      <c r="A73" s="143"/>
      <c r="B73" s="144"/>
      <c r="C73" s="136"/>
      <c r="D73" s="135"/>
      <c r="E73" s="136"/>
      <c r="F73" s="137"/>
      <c r="G73" s="138"/>
      <c r="H73" s="139"/>
      <c r="I73" s="136"/>
      <c r="J73" s="135"/>
      <c r="K73" s="136" t="s">
        <v>459</v>
      </c>
      <c r="L73" s="140">
        <v>1.742</v>
      </c>
    </row>
    <row r="74" spans="1:12">
      <c r="A74" s="143"/>
      <c r="B74" s="144"/>
      <c r="C74" s="136"/>
      <c r="D74" s="135"/>
      <c r="E74" s="136"/>
      <c r="F74" s="137"/>
      <c r="G74" s="138"/>
      <c r="H74" s="139"/>
      <c r="I74" s="136"/>
      <c r="J74" s="135"/>
      <c r="K74" s="136" t="s">
        <v>102</v>
      </c>
      <c r="L74" s="140">
        <v>10</v>
      </c>
    </row>
    <row r="75" spans="1:12">
      <c r="A75" s="143"/>
      <c r="B75" s="144"/>
      <c r="C75" s="136"/>
      <c r="D75" s="135"/>
      <c r="E75" s="136"/>
      <c r="F75" s="137"/>
      <c r="G75" s="138"/>
      <c r="H75" s="139"/>
      <c r="I75" s="136"/>
      <c r="J75" s="135"/>
      <c r="K75" s="136" t="s">
        <v>412</v>
      </c>
      <c r="L75" s="140">
        <v>20</v>
      </c>
    </row>
    <row r="76" spans="1:12">
      <c r="A76" s="143"/>
      <c r="B76" s="144"/>
      <c r="C76" s="136"/>
      <c r="D76" s="135"/>
      <c r="E76" s="136"/>
      <c r="F76" s="137"/>
      <c r="G76" s="138"/>
      <c r="H76" s="139"/>
      <c r="I76" s="136"/>
      <c r="J76" s="135"/>
      <c r="K76" s="136"/>
      <c r="L76" s="140"/>
    </row>
    <row r="77" spans="1:12">
      <c r="A77" s="143"/>
      <c r="B77" s="144"/>
      <c r="C77" s="136"/>
      <c r="D77" s="135"/>
      <c r="E77" s="136"/>
      <c r="F77" s="137"/>
      <c r="G77" s="138"/>
      <c r="H77" s="139"/>
      <c r="I77" s="136"/>
      <c r="J77" s="135"/>
      <c r="K77" s="136"/>
      <c r="L77" s="140"/>
    </row>
    <row r="78" spans="1:12">
      <c r="A78" s="143"/>
      <c r="B78" s="144"/>
      <c r="C78" s="146" t="s">
        <v>98</v>
      </c>
      <c r="D78" s="147"/>
      <c r="E78" s="148"/>
      <c r="F78" s="149"/>
      <c r="G78" s="138"/>
      <c r="H78" s="139"/>
      <c r="I78" s="146" t="s">
        <v>98</v>
      </c>
      <c r="J78" s="150"/>
      <c r="K78" s="216"/>
      <c r="L78" s="217"/>
    </row>
    <row r="79" spans="1:12">
      <c r="A79" s="143"/>
      <c r="B79" s="144"/>
      <c r="C79" s="136" t="s">
        <v>99</v>
      </c>
      <c r="D79" s="382">
        <v>18</v>
      </c>
      <c r="E79" s="136" t="s">
        <v>348</v>
      </c>
      <c r="F79" s="372">
        <v>8.75</v>
      </c>
      <c r="G79" s="151"/>
      <c r="H79" s="139"/>
      <c r="I79" s="136" t="s">
        <v>100</v>
      </c>
      <c r="J79" s="382">
        <v>8</v>
      </c>
      <c r="K79" s="136" t="s">
        <v>412</v>
      </c>
      <c r="L79" s="372">
        <v>20</v>
      </c>
    </row>
    <row r="80" spans="1:12">
      <c r="A80" s="143"/>
      <c r="B80" s="144"/>
      <c r="C80" s="136" t="s">
        <v>435</v>
      </c>
      <c r="D80" s="382">
        <v>5</v>
      </c>
      <c r="E80" s="136" t="s">
        <v>483</v>
      </c>
      <c r="F80" s="372">
        <v>20</v>
      </c>
      <c r="G80" s="138"/>
      <c r="H80" s="139"/>
      <c r="I80" s="136"/>
      <c r="J80" s="135"/>
      <c r="K80" s="136" t="s">
        <v>420</v>
      </c>
      <c r="L80" s="372">
        <v>5</v>
      </c>
    </row>
    <row r="81" spans="1:12">
      <c r="A81" s="143"/>
      <c r="B81" s="144"/>
      <c r="C81" s="136" t="s">
        <v>437</v>
      </c>
      <c r="D81" s="382">
        <v>5</v>
      </c>
      <c r="E81" s="136" t="s">
        <v>420</v>
      </c>
      <c r="F81" s="372">
        <v>5</v>
      </c>
      <c r="G81" s="138"/>
      <c r="H81" s="139"/>
      <c r="I81" s="136"/>
      <c r="J81" s="135"/>
      <c r="K81" s="136" t="s">
        <v>420</v>
      </c>
      <c r="L81" s="372">
        <v>5</v>
      </c>
    </row>
    <row r="82" spans="1:12">
      <c r="A82" s="143"/>
      <c r="B82" s="144"/>
      <c r="C82" s="136"/>
      <c r="D82" s="135"/>
      <c r="E82" s="136" t="s">
        <v>420</v>
      </c>
      <c r="F82" s="372">
        <v>5</v>
      </c>
      <c r="G82" s="138"/>
      <c r="H82" s="139"/>
      <c r="I82" s="136"/>
      <c r="J82" s="135"/>
      <c r="K82" s="136" t="s">
        <v>483</v>
      </c>
      <c r="L82" s="372">
        <v>19.940000000000001</v>
      </c>
    </row>
    <row r="83" spans="1:12">
      <c r="A83" s="143"/>
      <c r="B83" s="144"/>
      <c r="C83" s="136"/>
      <c r="D83" s="135"/>
      <c r="E83" s="136" t="s">
        <v>467</v>
      </c>
      <c r="F83" s="372">
        <v>5</v>
      </c>
      <c r="G83" s="138"/>
      <c r="H83" s="139"/>
      <c r="I83" s="136"/>
      <c r="J83" s="135"/>
      <c r="K83" s="136" t="s">
        <v>322</v>
      </c>
      <c r="L83" s="372">
        <v>10</v>
      </c>
    </row>
    <row r="84" spans="1:12">
      <c r="A84" s="143"/>
      <c r="B84" s="144"/>
      <c r="C84" s="136"/>
      <c r="D84" s="135"/>
      <c r="E84" s="136" t="s">
        <v>95</v>
      </c>
      <c r="F84" s="372">
        <v>10</v>
      </c>
      <c r="G84" s="138"/>
      <c r="H84" s="139"/>
      <c r="I84" s="136"/>
      <c r="J84" s="135"/>
      <c r="K84" s="136" t="s">
        <v>324</v>
      </c>
      <c r="L84" s="372">
        <v>5</v>
      </c>
    </row>
    <row r="85" spans="1:12">
      <c r="A85" s="143"/>
      <c r="B85" s="144"/>
      <c r="C85" s="136"/>
      <c r="D85" s="135"/>
      <c r="E85" s="136" t="s">
        <v>497</v>
      </c>
      <c r="F85" s="372">
        <v>5</v>
      </c>
      <c r="G85" s="138"/>
      <c r="H85" s="139"/>
      <c r="I85" s="136"/>
      <c r="J85" s="135"/>
      <c r="K85" s="364" t="s">
        <v>497</v>
      </c>
      <c r="L85" s="372">
        <v>5</v>
      </c>
    </row>
    <row r="86" spans="1:12">
      <c r="A86" s="143"/>
      <c r="B86" s="144"/>
      <c r="C86" s="136"/>
      <c r="D86" s="135"/>
      <c r="E86" s="136" t="s">
        <v>97</v>
      </c>
      <c r="F86" s="140">
        <v>5</v>
      </c>
      <c r="G86" s="138"/>
      <c r="H86" s="139"/>
      <c r="I86" s="136"/>
      <c r="J86" s="135"/>
      <c r="K86" s="136" t="s">
        <v>497</v>
      </c>
      <c r="L86" s="372">
        <v>5</v>
      </c>
    </row>
    <row r="87" spans="1:12">
      <c r="A87" s="143"/>
      <c r="B87" s="144"/>
      <c r="C87" s="136"/>
      <c r="D87" s="135"/>
      <c r="E87" s="136" t="s">
        <v>97</v>
      </c>
      <c r="F87" s="140">
        <v>5</v>
      </c>
      <c r="G87" s="138"/>
      <c r="H87" s="139"/>
      <c r="I87" s="136"/>
      <c r="J87" s="135"/>
      <c r="K87" s="136" t="s">
        <v>497</v>
      </c>
      <c r="L87" s="372">
        <v>5</v>
      </c>
    </row>
    <row r="88" spans="1:12">
      <c r="A88" s="143"/>
      <c r="B88" s="144"/>
      <c r="C88" s="136"/>
      <c r="D88" s="135"/>
      <c r="E88" s="136" t="s">
        <v>101</v>
      </c>
      <c r="F88" s="140">
        <v>5</v>
      </c>
      <c r="G88" s="138"/>
      <c r="H88" s="139"/>
      <c r="I88" s="136"/>
      <c r="J88" s="135"/>
      <c r="K88" s="136" t="s">
        <v>387</v>
      </c>
      <c r="L88" s="140">
        <v>1.5</v>
      </c>
    </row>
    <row r="89" spans="1:12">
      <c r="A89" s="143"/>
      <c r="B89" s="144"/>
      <c r="C89" s="136"/>
      <c r="D89" s="135"/>
      <c r="E89" s="136"/>
      <c r="F89" s="140"/>
      <c r="G89" s="138"/>
      <c r="H89" s="139"/>
      <c r="I89" s="136"/>
      <c r="J89" s="135"/>
      <c r="K89" s="136" t="s">
        <v>505</v>
      </c>
      <c r="L89" s="140">
        <v>10</v>
      </c>
    </row>
    <row r="90" spans="1:12">
      <c r="A90" s="143"/>
      <c r="B90" s="144"/>
      <c r="C90" s="136"/>
      <c r="D90" s="135"/>
      <c r="E90" s="136"/>
      <c r="F90" s="140"/>
      <c r="G90" s="138"/>
      <c r="H90" s="139"/>
      <c r="I90" s="136"/>
      <c r="J90" s="135"/>
      <c r="K90" s="136"/>
      <c r="L90" s="140"/>
    </row>
    <row r="91" spans="1:12">
      <c r="A91" s="143"/>
      <c r="B91" s="144"/>
      <c r="C91" s="136"/>
      <c r="D91" s="135"/>
      <c r="E91" s="136"/>
      <c r="F91" s="140"/>
      <c r="G91" s="138"/>
      <c r="H91" s="139"/>
      <c r="I91" s="136"/>
      <c r="J91" s="135"/>
      <c r="K91" s="136"/>
      <c r="L91" s="140"/>
    </row>
    <row r="92" spans="1:12">
      <c r="A92" s="152"/>
      <c r="B92" s="153"/>
      <c r="C92" s="154"/>
      <c r="D92" s="153"/>
      <c r="E92" s="155"/>
      <c r="F92" s="156"/>
      <c r="G92" s="152"/>
      <c r="H92" s="153"/>
      <c r="I92" s="154"/>
      <c r="J92" s="342"/>
      <c r="K92" s="252"/>
      <c r="L92" s="253"/>
    </row>
    <row r="93" spans="1:12">
      <c r="A93" s="157" t="s">
        <v>103</v>
      </c>
      <c r="B93" s="158">
        <f>SUM(B47:B92)</f>
        <v>10.016999999999999</v>
      </c>
      <c r="C93" s="159" t="s">
        <v>103</v>
      </c>
      <c r="D93" s="158">
        <f>SUM(D47:D92)</f>
        <v>65</v>
      </c>
      <c r="E93" s="159" t="s">
        <v>103</v>
      </c>
      <c r="F93" s="160">
        <f>SUM(F47:F92)</f>
        <v>295.78100000000001</v>
      </c>
      <c r="G93" s="157"/>
      <c r="H93" s="158"/>
      <c r="I93" s="159" t="s">
        <v>103</v>
      </c>
      <c r="J93" s="161">
        <f>SUM(J47:J92)</f>
        <v>213.72899999999998</v>
      </c>
      <c r="K93" s="159" t="s">
        <v>103</v>
      </c>
      <c r="L93" s="162">
        <f>SUM(L47:L92)</f>
        <v>362.553</v>
      </c>
    </row>
    <row r="94" spans="1:12" ht="12.75" thickBot="1">
      <c r="A94" s="163"/>
      <c r="B94" s="164"/>
      <c r="C94" s="165"/>
      <c r="D94" s="164"/>
      <c r="E94" s="166" t="s">
        <v>104</v>
      </c>
      <c r="F94" s="167">
        <f>+B93+F93+D93</f>
        <v>370.798</v>
      </c>
      <c r="G94" s="163"/>
      <c r="H94" s="164"/>
      <c r="I94" s="165"/>
      <c r="J94" s="164"/>
      <c r="K94" s="166" t="s">
        <v>104</v>
      </c>
      <c r="L94" s="167">
        <f>J93+L93</f>
        <v>576.28199999999993</v>
      </c>
    </row>
    <row r="95" spans="1:12" ht="12.75">
      <c r="G95" s="168"/>
      <c r="H95"/>
    </row>
    <row r="96" spans="1:12" ht="12.75">
      <c r="A96" s="12" t="s">
        <v>484</v>
      </c>
      <c r="H96"/>
    </row>
    <row r="97" spans="1:15" ht="12.75">
      <c r="G97" s="310"/>
      <c r="H97"/>
    </row>
    <row r="98" spans="1:15" ht="12.75" hidden="1">
      <c r="E98"/>
      <c r="G98" s="12" t="s">
        <v>105</v>
      </c>
      <c r="H98"/>
    </row>
    <row r="99" spans="1:15" ht="24" hidden="1">
      <c r="A99" s="169" t="s">
        <v>106</v>
      </c>
      <c r="B99" s="169" t="s">
        <v>107</v>
      </c>
      <c r="C99" s="169" t="s">
        <v>108</v>
      </c>
      <c r="D99" s="169" t="s">
        <v>109</v>
      </c>
      <c r="E99" s="169" t="s">
        <v>110</v>
      </c>
      <c r="F99" s="169" t="s">
        <v>111</v>
      </c>
      <c r="G99" s="12">
        <v>1.65</v>
      </c>
      <c r="H99"/>
    </row>
    <row r="100" spans="1:15" ht="12.75" hidden="1">
      <c r="A100" t="s">
        <v>112</v>
      </c>
      <c r="B100" t="s">
        <v>113</v>
      </c>
      <c r="C100">
        <v>10</v>
      </c>
      <c r="D100">
        <v>95</v>
      </c>
      <c r="E100">
        <v>0.09</v>
      </c>
      <c r="F100">
        <f>+$G$99*(E100/100)</f>
        <v>1.4849999999999998E-3</v>
      </c>
      <c r="G100"/>
      <c r="H100"/>
      <c r="I100"/>
      <c r="J100"/>
      <c r="K100"/>
      <c r="L100"/>
      <c r="M100"/>
      <c r="N100"/>
      <c r="O100"/>
    </row>
    <row r="101" spans="1:15" ht="12.75" hidden="1">
      <c r="A101"/>
      <c r="B101" t="s">
        <v>114</v>
      </c>
      <c r="C101">
        <v>42</v>
      </c>
      <c r="D101">
        <v>65</v>
      </c>
      <c r="E101">
        <v>0.27</v>
      </c>
      <c r="F101">
        <f>+$G$99*(E101/100)</f>
        <v>4.4549999999999998E-3</v>
      </c>
      <c r="G101"/>
      <c r="H101"/>
      <c r="I101"/>
      <c r="J101"/>
      <c r="K101"/>
      <c r="L101"/>
      <c r="M101"/>
      <c r="N101"/>
      <c r="O101"/>
    </row>
    <row r="102" spans="1:15" ht="12.75" hidden="1">
      <c r="A102"/>
      <c r="B102" t="s">
        <v>115</v>
      </c>
      <c r="C102">
        <v>89</v>
      </c>
      <c r="D102">
        <v>43.87</v>
      </c>
      <c r="E102">
        <v>0.39</v>
      </c>
      <c r="F102">
        <f>+$G$99*(E102/100)</f>
        <v>6.4349999999999997E-3</v>
      </c>
      <c r="G102"/>
      <c r="H102"/>
      <c r="I102"/>
      <c r="J102"/>
      <c r="K102"/>
      <c r="L102"/>
      <c r="M102"/>
      <c r="N102"/>
      <c r="O102"/>
    </row>
    <row r="103" spans="1:15" ht="12.75" hidden="1">
      <c r="A103"/>
      <c r="B103" t="s">
        <v>116</v>
      </c>
      <c r="C103">
        <v>2.44</v>
      </c>
      <c r="D103">
        <v>1.05</v>
      </c>
      <c r="E103">
        <v>0.03</v>
      </c>
      <c r="F103">
        <f>+$G$99*(E103/100)</f>
        <v>4.9499999999999989E-4</v>
      </c>
      <c r="G103"/>
      <c r="H103"/>
      <c r="I103"/>
      <c r="J103"/>
      <c r="K103"/>
      <c r="L103"/>
      <c r="M103"/>
      <c r="N103"/>
      <c r="O103"/>
    </row>
    <row r="104" spans="1:15" ht="12.75" hidden="1">
      <c r="A104"/>
      <c r="B104"/>
      <c r="C104"/>
      <c r="D104"/>
      <c r="E104" s="170" t="s">
        <v>104</v>
      </c>
      <c r="F104">
        <f>SUM(F100:F103)</f>
        <v>1.2869999999999999E-2</v>
      </c>
      <c r="G104"/>
      <c r="H104"/>
      <c r="I104"/>
      <c r="J104"/>
      <c r="K104"/>
      <c r="L104"/>
      <c r="M104"/>
      <c r="N104"/>
      <c r="O104"/>
    </row>
    <row r="105" spans="1:15" ht="12.75" hidden="1">
      <c r="A105"/>
      <c r="B105"/>
      <c r="C105"/>
      <c r="D105"/>
      <c r="E105" s="170"/>
      <c r="F105"/>
      <c r="G105"/>
      <c r="H105"/>
      <c r="I105"/>
      <c r="J105"/>
      <c r="K105"/>
      <c r="L105"/>
      <c r="M105"/>
      <c r="N105"/>
      <c r="O105"/>
    </row>
    <row r="106" spans="1:15" ht="12.75" hidden="1">
      <c r="A106" t="s">
        <v>117</v>
      </c>
      <c r="B106" t="s">
        <v>118</v>
      </c>
      <c r="C106" s="171">
        <v>0.27</v>
      </c>
      <c r="D106" s="171">
        <v>96.33</v>
      </c>
      <c r="E106" s="171">
        <v>0.26</v>
      </c>
      <c r="F106" s="171">
        <f>+$G$99*(E106/100)</f>
        <v>4.2899999999999995E-3</v>
      </c>
      <c r="G106"/>
      <c r="H106"/>
      <c r="I106"/>
      <c r="J106"/>
      <c r="K106"/>
      <c r="L106"/>
      <c r="M106"/>
      <c r="N106"/>
      <c r="O106"/>
    </row>
    <row r="107" spans="1:15" ht="12.75" hidden="1">
      <c r="A107"/>
      <c r="B107" t="s">
        <v>119</v>
      </c>
      <c r="C107" s="171">
        <v>0.36</v>
      </c>
      <c r="D107" s="171">
        <v>85.77</v>
      </c>
      <c r="E107" s="171">
        <v>0.31</v>
      </c>
      <c r="F107" s="171">
        <f>+$G$99*(E107/100)</f>
        <v>5.1149999999999998E-3</v>
      </c>
      <c r="G107"/>
      <c r="H107"/>
      <c r="I107"/>
      <c r="J107"/>
      <c r="K107"/>
      <c r="L107"/>
      <c r="M107"/>
      <c r="N107"/>
      <c r="O107"/>
    </row>
    <row r="108" spans="1:15" ht="12.75" hidden="1">
      <c r="A108"/>
      <c r="B108" t="s">
        <v>120</v>
      </c>
      <c r="C108" s="171">
        <v>0.8</v>
      </c>
      <c r="D108" s="171">
        <v>9.94</v>
      </c>
      <c r="E108" s="171">
        <v>0.08</v>
      </c>
      <c r="F108" s="171">
        <f>+$G$99*(E108/100)</f>
        <v>1.32E-3</v>
      </c>
      <c r="G108"/>
      <c r="H108"/>
      <c r="I108"/>
      <c r="J108"/>
      <c r="K108"/>
      <c r="L108"/>
      <c r="M108"/>
      <c r="N108"/>
      <c r="O108"/>
    </row>
    <row r="109" spans="1:15" ht="12.75" hidden="1">
      <c r="A109"/>
      <c r="B109" t="s">
        <v>121</v>
      </c>
      <c r="C109" s="171">
        <v>1.1399999999999999</v>
      </c>
      <c r="D109" s="171">
        <v>6.21</v>
      </c>
      <c r="E109" s="171">
        <v>7.0000000000000007E-2</v>
      </c>
      <c r="F109" s="171">
        <f>+$G$99*(E109/100)</f>
        <v>1.1550000000000002E-3</v>
      </c>
      <c r="G109"/>
      <c r="H109"/>
      <c r="I109"/>
      <c r="J109"/>
      <c r="K109"/>
      <c r="L109"/>
      <c r="M109"/>
      <c r="N109"/>
      <c r="O109"/>
    </row>
    <row r="110" spans="1:15" ht="12.75" hidden="1">
      <c r="A110"/>
      <c r="B110"/>
      <c r="C110" s="171"/>
      <c r="D110" s="171"/>
      <c r="E110" s="172" t="s">
        <v>122</v>
      </c>
      <c r="F110" s="171">
        <f>SUM(F107:F109)</f>
        <v>7.5899999999999995E-3</v>
      </c>
      <c r="G110"/>
      <c r="H110"/>
      <c r="I110"/>
      <c r="J110"/>
      <c r="K110"/>
      <c r="L110"/>
      <c r="M110"/>
      <c r="N110"/>
      <c r="O110"/>
    </row>
    <row r="111" spans="1:15" ht="12.75" hidden="1">
      <c r="A111"/>
      <c r="B111"/>
      <c r="C111" s="171"/>
      <c r="D111" s="171"/>
      <c r="E111" s="172" t="s">
        <v>123</v>
      </c>
      <c r="F111" s="171">
        <f>SUM(F106:F109)</f>
        <v>1.188E-2</v>
      </c>
      <c r="G111"/>
      <c r="H111"/>
      <c r="I111"/>
      <c r="J111"/>
      <c r="K111"/>
      <c r="L111"/>
      <c r="M111"/>
      <c r="N111"/>
      <c r="O111"/>
    </row>
    <row r="112" spans="1:15" ht="12.75" hidden="1">
      <c r="A112"/>
      <c r="B112"/>
      <c r="C112" s="171"/>
      <c r="D112" s="171"/>
      <c r="E112" s="171"/>
      <c r="F112" s="171"/>
      <c r="G112"/>
      <c r="H112"/>
      <c r="I112"/>
      <c r="J112"/>
      <c r="K112"/>
      <c r="L112"/>
      <c r="M112"/>
      <c r="N112"/>
      <c r="O112"/>
    </row>
    <row r="113" spans="1:15" ht="12.75" hidden="1">
      <c r="A113" t="s">
        <v>124</v>
      </c>
      <c r="B113" t="s">
        <v>124</v>
      </c>
      <c r="C113" s="171">
        <v>0.62</v>
      </c>
      <c r="D113" s="171">
        <v>94.29</v>
      </c>
      <c r="E113" s="171">
        <v>0.57999999999999996</v>
      </c>
      <c r="F113" s="171">
        <f>+$G$99*(E113/100)</f>
        <v>9.5699999999999986E-3</v>
      </c>
      <c r="G113"/>
      <c r="H113"/>
      <c r="I113"/>
      <c r="J113"/>
      <c r="K113"/>
      <c r="L113"/>
      <c r="M113"/>
      <c r="N113"/>
      <c r="O113"/>
    </row>
    <row r="114" spans="1:15" ht="12.75" hidden="1">
      <c r="A114"/>
      <c r="B114"/>
      <c r="C114" s="171"/>
      <c r="D114" s="171"/>
      <c r="E114" s="171"/>
      <c r="F114" s="171"/>
      <c r="G114"/>
      <c r="H114"/>
      <c r="I114"/>
      <c r="J114"/>
      <c r="K114"/>
      <c r="L114"/>
      <c r="M114"/>
      <c r="N114"/>
      <c r="O114"/>
    </row>
    <row r="115" spans="1:15" ht="12.75" hidden="1">
      <c r="A115" t="s">
        <v>125</v>
      </c>
      <c r="B115" t="s">
        <v>126</v>
      </c>
      <c r="C115" s="171">
        <v>0.85</v>
      </c>
      <c r="D115" s="171">
        <v>100</v>
      </c>
      <c r="E115" s="171">
        <v>0.85</v>
      </c>
      <c r="F115" s="171">
        <f>+$G$99*(E115/100)</f>
        <v>1.4025000000000001E-2</v>
      </c>
      <c r="G115"/>
      <c r="H115"/>
      <c r="I115"/>
      <c r="J115"/>
      <c r="K115"/>
      <c r="L115"/>
      <c r="M115"/>
      <c r="N115"/>
      <c r="O115"/>
    </row>
    <row r="116" spans="1:15" ht="12.75" hidden="1">
      <c r="A116"/>
      <c r="B116"/>
      <c r="C116" s="171"/>
      <c r="D116" s="171"/>
      <c r="E116" s="171"/>
      <c r="F116" s="171"/>
      <c r="G116"/>
      <c r="H116"/>
      <c r="I116"/>
      <c r="J116"/>
      <c r="K116"/>
      <c r="L116"/>
      <c r="M116"/>
      <c r="N116"/>
      <c r="O116"/>
    </row>
    <row r="117" spans="1:15" ht="12.75" hidden="1">
      <c r="A117" t="s">
        <v>127</v>
      </c>
      <c r="B117" t="s">
        <v>128</v>
      </c>
      <c r="C117" s="171" t="s">
        <v>129</v>
      </c>
      <c r="D117" s="171"/>
      <c r="E117" s="171">
        <v>0.35460000000000003</v>
      </c>
      <c r="F117" s="171">
        <f>+$G$99*(E117/100)</f>
        <v>5.8509E-3</v>
      </c>
      <c r="G117"/>
      <c r="H117"/>
      <c r="I117"/>
      <c r="J117"/>
      <c r="K117"/>
      <c r="L117"/>
      <c r="M117"/>
      <c r="N117"/>
      <c r="O117"/>
    </row>
    <row r="118" spans="1:15" ht="12.75" hidden="1">
      <c r="A118"/>
      <c r="B118" t="s">
        <v>130</v>
      </c>
      <c r="C118" s="171" t="s">
        <v>131</v>
      </c>
      <c r="D118" s="171"/>
      <c r="E118" s="171">
        <v>0.55700000000000005</v>
      </c>
      <c r="F118" s="171">
        <f>+$G$99*(E118/100)</f>
        <v>9.1905000000000008E-3</v>
      </c>
      <c r="G118"/>
      <c r="H118"/>
      <c r="I118"/>
    </row>
    <row r="119" spans="1:15" ht="12.75" hidden="1">
      <c r="A119"/>
      <c r="B119" t="s">
        <v>132</v>
      </c>
      <c r="C119" s="171" t="s">
        <v>133</v>
      </c>
      <c r="D119" s="171"/>
      <c r="E119" s="171">
        <v>0.628</v>
      </c>
      <c r="F119" s="171">
        <f>+$G$99*(E119/100)</f>
        <v>1.0362E-2</v>
      </c>
      <c r="G119"/>
      <c r="H119"/>
      <c r="I119"/>
    </row>
    <row r="120" spans="1:15" ht="12.75" hidden="1">
      <c r="A120"/>
      <c r="B120"/>
      <c r="C120" s="171"/>
      <c r="D120" s="171"/>
      <c r="E120" s="171"/>
      <c r="F120" s="171"/>
      <c r="G120"/>
      <c r="H120"/>
      <c r="I120"/>
    </row>
    <row r="121" spans="1:15" ht="12.75" hidden="1">
      <c r="A121" t="s">
        <v>134</v>
      </c>
      <c r="B121" t="s">
        <v>135</v>
      </c>
      <c r="C121" s="171" t="s">
        <v>136</v>
      </c>
      <c r="D121" s="171"/>
      <c r="E121" s="171">
        <v>0.309</v>
      </c>
      <c r="F121" s="171">
        <f>+$G$99*(E121/100)</f>
        <v>5.0984999999999997E-3</v>
      </c>
      <c r="G121"/>
      <c r="H121"/>
      <c r="I121"/>
    </row>
    <row r="122" spans="1:15" ht="12.75" hidden="1">
      <c r="A122"/>
      <c r="B122"/>
      <c r="C122" s="171"/>
      <c r="D122" s="171"/>
      <c r="E122" s="171"/>
      <c r="F122" s="171"/>
      <c r="G122"/>
      <c r="H122"/>
      <c r="I122"/>
    </row>
    <row r="123" spans="1:15" ht="12.75" hidden="1">
      <c r="A123" t="s">
        <v>137</v>
      </c>
      <c r="B123" t="s">
        <v>138</v>
      </c>
      <c r="C123" s="171" t="s">
        <v>139</v>
      </c>
      <c r="D123" s="171"/>
      <c r="E123" s="171">
        <v>0.37480000000000002</v>
      </c>
      <c r="F123" s="171">
        <f>+$G$99*(E123/100)</f>
        <v>6.1841999999999999E-3</v>
      </c>
      <c r="G123"/>
      <c r="H123"/>
      <c r="I123"/>
    </row>
    <row r="124" spans="1:15" ht="12.75" hidden="1">
      <c r="A124"/>
      <c r="B124"/>
      <c r="C124"/>
      <c r="D124"/>
      <c r="E124"/>
      <c r="F124"/>
      <c r="G124"/>
      <c r="H124"/>
      <c r="I124"/>
    </row>
    <row r="125" spans="1:15" ht="12.75">
      <c r="B125"/>
      <c r="C125"/>
      <c r="D125"/>
      <c r="E125"/>
      <c r="F125"/>
      <c r="G125"/>
      <c r="H125"/>
      <c r="I125"/>
    </row>
    <row r="126" spans="1:15" ht="12.75">
      <c r="A126"/>
      <c r="B126"/>
      <c r="C126"/>
      <c r="D126"/>
      <c r="E126"/>
      <c r="F126"/>
      <c r="G126"/>
      <c r="H126"/>
      <c r="I126"/>
    </row>
    <row r="127" spans="1:15" ht="12.75">
      <c r="A127"/>
      <c r="B127"/>
      <c r="C127"/>
      <c r="D127"/>
      <c r="E127"/>
      <c r="F127"/>
      <c r="G127"/>
      <c r="H127"/>
      <c r="I127"/>
    </row>
    <row r="128" spans="1:15" ht="12.75">
      <c r="A128"/>
      <c r="B128"/>
      <c r="C128"/>
      <c r="D128"/>
      <c r="E128"/>
      <c r="F128"/>
      <c r="G128"/>
      <c r="H128"/>
      <c r="I128"/>
      <c r="N128" s="12" t="s">
        <v>428</v>
      </c>
    </row>
    <row r="129" spans="1:15" ht="12.75">
      <c r="A129" s="421" t="s">
        <v>140</v>
      </c>
      <c r="B129" s="422"/>
      <c r="C129" s="423"/>
      <c r="D129"/>
      <c r="E129" s="173"/>
      <c r="F129"/>
      <c r="G129" s="174"/>
      <c r="H129"/>
      <c r="I129" s="302" t="s">
        <v>47</v>
      </c>
      <c r="J129" s="303"/>
      <c r="K129" s="304"/>
      <c r="N129" s="12" t="s">
        <v>142</v>
      </c>
    </row>
    <row r="130" spans="1:15" ht="12.75">
      <c r="A130" s="178" t="s">
        <v>143</v>
      </c>
      <c r="B130" s="176" t="s">
        <v>144</v>
      </c>
      <c r="C130" s="362">
        <v>0.63</v>
      </c>
      <c r="D130" s="65"/>
      <c r="E130" s="176"/>
      <c r="F130" s="66"/>
      <c r="G130" s="178"/>
      <c r="H130" s="66"/>
      <c r="I130" s="178" t="s">
        <v>145</v>
      </c>
      <c r="J130" s="65"/>
      <c r="K130" s="177">
        <v>0</v>
      </c>
      <c r="L130" s="65"/>
      <c r="N130" s="12" t="s">
        <v>146</v>
      </c>
      <c r="O130" s="12">
        <v>1024</v>
      </c>
    </row>
    <row r="131" spans="1:15" ht="12.75">
      <c r="A131" s="65"/>
      <c r="B131" s="176" t="s">
        <v>147</v>
      </c>
      <c r="C131" s="362">
        <v>1E-3</v>
      </c>
      <c r="D131" s="65"/>
      <c r="E131" s="66"/>
      <c r="F131" s="66"/>
      <c r="G131" s="178"/>
      <c r="H131" s="66"/>
      <c r="I131" s="178" t="s">
        <v>148</v>
      </c>
      <c r="J131" s="65">
        <v>6688</v>
      </c>
      <c r="K131" s="236">
        <v>13</v>
      </c>
      <c r="L131" s="65"/>
      <c r="N131" s="12" t="s">
        <v>149</v>
      </c>
      <c r="O131" s="367">
        <v>1500</v>
      </c>
    </row>
    <row r="132" spans="1:15" ht="12.75">
      <c r="A132" s="65"/>
      <c r="B132" s="176" t="s">
        <v>150</v>
      </c>
      <c r="C132" s="362">
        <v>0.5</v>
      </c>
      <c r="D132" s="65"/>
      <c r="E132" s="66"/>
      <c r="F132" s="66"/>
      <c r="G132" s="178"/>
      <c r="H132" s="66" t="s">
        <v>446</v>
      </c>
      <c r="I132" s="178" t="s">
        <v>68</v>
      </c>
      <c r="J132" s="65">
        <v>6888</v>
      </c>
      <c r="K132" s="376">
        <v>0</v>
      </c>
      <c r="L132" s="65"/>
      <c r="N132" s="12" t="s">
        <v>151</v>
      </c>
      <c r="O132" s="12">
        <v>219</v>
      </c>
    </row>
    <row r="133" spans="1:15" ht="12.75">
      <c r="A133" s="65"/>
      <c r="B133" s="176" t="s">
        <v>152</v>
      </c>
      <c r="C133" s="362">
        <v>10</v>
      </c>
      <c r="D133" s="65">
        <v>2</v>
      </c>
      <c r="E133" s="66"/>
      <c r="F133" s="66"/>
      <c r="G133" s="178"/>
      <c r="H133" s="66"/>
      <c r="I133" s="178" t="s">
        <v>507</v>
      </c>
      <c r="J133" s="65"/>
      <c r="K133" s="391">
        <v>4106</v>
      </c>
      <c r="L133" s="65"/>
    </row>
    <row r="134" spans="1:15" ht="12.75">
      <c r="A134" s="178" t="s">
        <v>154</v>
      </c>
      <c r="B134" s="176" t="s">
        <v>155</v>
      </c>
      <c r="C134" s="362">
        <v>3.6</v>
      </c>
      <c r="D134" s="65"/>
      <c r="E134" s="66"/>
      <c r="F134" s="66"/>
      <c r="G134" s="178"/>
      <c r="H134" s="66"/>
      <c r="I134" s="178" t="s">
        <v>507</v>
      </c>
      <c r="J134" s="65"/>
      <c r="K134" s="391">
        <v>5268</v>
      </c>
      <c r="L134" s="65"/>
    </row>
    <row r="135" spans="1:15" ht="12.75">
      <c r="A135" s="178"/>
      <c r="B135" s="176"/>
      <c r="C135" s="176"/>
      <c r="D135" s="65"/>
      <c r="E135" s="66"/>
      <c r="F135" s="66"/>
      <c r="G135" s="178"/>
      <c r="H135" s="66"/>
      <c r="I135" s="178" t="s">
        <v>156</v>
      </c>
      <c r="J135" s="65">
        <v>900338</v>
      </c>
      <c r="K135" s="179">
        <v>0</v>
      </c>
      <c r="L135" s="65"/>
      <c r="N135" s="12" t="s">
        <v>153</v>
      </c>
      <c r="O135" s="367">
        <v>1</v>
      </c>
    </row>
    <row r="136" spans="1:15" ht="12.75">
      <c r="A136" s="65"/>
      <c r="B136" s="176"/>
      <c r="C136" s="178"/>
      <c r="D136" s="65"/>
      <c r="E136" s="66"/>
      <c r="F136" s="66"/>
      <c r="G136" s="178"/>
      <c r="H136" s="66"/>
      <c r="I136" s="178" t="s">
        <v>161</v>
      </c>
      <c r="J136" s="65"/>
      <c r="K136" s="179">
        <v>0</v>
      </c>
      <c r="L136" s="65"/>
      <c r="N136" s="12" t="s">
        <v>157</v>
      </c>
      <c r="O136" s="12">
        <v>90</v>
      </c>
    </row>
    <row r="137" spans="1:15" ht="12.75">
      <c r="A137" s="65"/>
      <c r="B137" s="176"/>
      <c r="C137" s="176"/>
      <c r="D137" s="65"/>
      <c r="E137" s="66"/>
      <c r="F137" s="66"/>
      <c r="G137" s="178"/>
      <c r="H137" s="66"/>
      <c r="I137" s="178" t="s">
        <v>365</v>
      </c>
      <c r="J137" s="65">
        <v>5333</v>
      </c>
      <c r="K137" s="179">
        <v>3.2</v>
      </c>
      <c r="L137" s="65" t="s">
        <v>366</v>
      </c>
      <c r="N137" s="12" t="s">
        <v>487</v>
      </c>
      <c r="O137" s="367">
        <v>10</v>
      </c>
    </row>
    <row r="138" spans="1:15" ht="12.75">
      <c r="A138" s="178" t="s">
        <v>162</v>
      </c>
      <c r="B138" s="176" t="s">
        <v>163</v>
      </c>
      <c r="C138" s="362">
        <v>0.8</v>
      </c>
      <c r="D138" s="66"/>
      <c r="E138" s="66"/>
      <c r="F138" s="66"/>
      <c r="G138" s="178"/>
      <c r="H138" s="66"/>
      <c r="I138" s="177" t="s">
        <v>168</v>
      </c>
      <c r="J138" s="65">
        <v>6373</v>
      </c>
      <c r="K138" s="179">
        <v>0</v>
      </c>
      <c r="L138" s="65"/>
      <c r="N138" s="12" t="s">
        <v>80</v>
      </c>
      <c r="O138" s="367">
        <v>1000</v>
      </c>
    </row>
    <row r="139" spans="1:15" ht="12.75">
      <c r="A139" s="66"/>
      <c r="B139" s="176" t="s">
        <v>6</v>
      </c>
      <c r="C139" s="362">
        <v>13</v>
      </c>
      <c r="D139" s="66"/>
      <c r="E139" s="66"/>
      <c r="F139" s="66"/>
      <c r="G139" s="178"/>
      <c r="H139" s="66"/>
      <c r="I139" s="177" t="s">
        <v>165</v>
      </c>
      <c r="J139" s="65">
        <v>4286</v>
      </c>
      <c r="K139" s="380">
        <v>0</v>
      </c>
      <c r="L139" s="65"/>
      <c r="N139" s="12" t="s">
        <v>307</v>
      </c>
      <c r="O139" s="377">
        <v>1</v>
      </c>
    </row>
    <row r="140" spans="1:15" ht="12.75">
      <c r="A140" s="66"/>
      <c r="B140" s="176" t="s">
        <v>7</v>
      </c>
      <c r="C140" s="178">
        <v>0</v>
      </c>
      <c r="D140" s="66" t="s">
        <v>65</v>
      </c>
      <c r="E140" s="66"/>
      <c r="F140" s="66"/>
      <c r="G140" s="178"/>
      <c r="H140" s="66" t="s">
        <v>446</v>
      </c>
      <c r="I140" s="177" t="s">
        <v>401</v>
      </c>
      <c r="J140" s="65">
        <v>6480</v>
      </c>
      <c r="K140" s="380">
        <v>0</v>
      </c>
      <c r="L140" s="235"/>
      <c r="N140" s="12" t="s">
        <v>102</v>
      </c>
      <c r="O140" s="377">
        <v>1</v>
      </c>
    </row>
    <row r="141" spans="1:15" ht="12.75">
      <c r="A141" s="66"/>
      <c r="B141" s="176" t="s">
        <v>167</v>
      </c>
      <c r="C141" s="362">
        <v>2.5000000000000001E-2</v>
      </c>
      <c r="D141" s="66"/>
      <c r="E141" s="66"/>
      <c r="F141" s="66"/>
      <c r="G141" s="178"/>
      <c r="H141" s="178"/>
      <c r="I141" s="177" t="s">
        <v>342</v>
      </c>
      <c r="J141" s="65">
        <v>6551</v>
      </c>
      <c r="K141" s="179">
        <v>0</v>
      </c>
      <c r="L141" s="65" t="s">
        <v>460</v>
      </c>
    </row>
    <row r="142" spans="1:15" ht="12.75">
      <c r="A142" s="66"/>
      <c r="B142" s="176" t="s">
        <v>169</v>
      </c>
      <c r="C142" s="178">
        <v>0</v>
      </c>
      <c r="D142" s="66"/>
      <c r="E142" s="66"/>
      <c r="F142" s="66"/>
      <c r="G142" s="178"/>
      <c r="H142" s="66"/>
      <c r="I142" s="177" t="s">
        <v>164</v>
      </c>
      <c r="J142" s="65">
        <v>6835</v>
      </c>
      <c r="K142" s="179">
        <v>0</v>
      </c>
      <c r="L142" s="65" t="s">
        <v>460</v>
      </c>
    </row>
    <row r="143" spans="1:15" ht="12.75">
      <c r="A143" s="66"/>
      <c r="B143" s="176" t="s">
        <v>482</v>
      </c>
      <c r="C143" s="362">
        <v>0.02</v>
      </c>
      <c r="D143" s="65"/>
      <c r="E143" s="66"/>
      <c r="F143" s="66"/>
      <c r="G143" s="178"/>
      <c r="H143" s="66"/>
      <c r="I143" s="177" t="s">
        <v>166</v>
      </c>
      <c r="J143" s="65">
        <v>9676</v>
      </c>
      <c r="K143" s="179">
        <v>0</v>
      </c>
      <c r="L143" s="235"/>
    </row>
    <row r="144" spans="1:15" ht="12.75">
      <c r="A144" s="66"/>
      <c r="B144" s="176" t="s">
        <v>171</v>
      </c>
      <c r="C144" s="362">
        <v>7.68</v>
      </c>
      <c r="D144" s="66"/>
      <c r="E144" s="66"/>
      <c r="F144" s="66"/>
      <c r="G144" s="178"/>
      <c r="H144" s="66" t="s">
        <v>446</v>
      </c>
      <c r="I144" s="177" t="s">
        <v>402</v>
      </c>
      <c r="J144" s="65">
        <v>4056</v>
      </c>
      <c r="K144" s="380">
        <v>0</v>
      </c>
      <c r="L144" s="65"/>
    </row>
    <row r="145" spans="1:12" ht="12.75">
      <c r="A145" s="66"/>
      <c r="B145" s="176" t="s">
        <v>173</v>
      </c>
      <c r="C145" s="387">
        <v>20</v>
      </c>
      <c r="D145" s="66"/>
      <c r="E145" s="66"/>
      <c r="F145" s="66"/>
      <c r="G145" s="178"/>
      <c r="H145" s="66" t="s">
        <v>446</v>
      </c>
      <c r="I145" s="177" t="s">
        <v>402</v>
      </c>
      <c r="J145" s="65">
        <v>6855</v>
      </c>
      <c r="K145" s="380">
        <v>0</v>
      </c>
      <c r="L145" s="65"/>
    </row>
    <row r="146" spans="1:12" ht="12.75">
      <c r="A146" s="66"/>
      <c r="B146" s="176" t="s">
        <v>175</v>
      </c>
      <c r="C146" s="362">
        <v>3.85</v>
      </c>
      <c r="D146" s="66"/>
      <c r="E146" s="66"/>
      <c r="F146" s="66"/>
      <c r="G146" s="178"/>
      <c r="H146" s="66"/>
      <c r="I146" s="177" t="s">
        <v>170</v>
      </c>
      <c r="J146" s="65">
        <v>4132</v>
      </c>
      <c r="K146" s="391">
        <v>144</v>
      </c>
      <c r="L146" s="65"/>
    </row>
    <row r="147" spans="1:12" ht="12.75">
      <c r="A147" s="66"/>
      <c r="B147" s="176" t="s">
        <v>11</v>
      </c>
      <c r="C147" s="362">
        <v>5</v>
      </c>
      <c r="D147" s="66"/>
      <c r="E147" s="66"/>
      <c r="F147" s="66"/>
      <c r="G147" s="178"/>
      <c r="H147" s="66"/>
      <c r="I147" s="177" t="s">
        <v>172</v>
      </c>
      <c r="J147" s="65">
        <v>4120</v>
      </c>
      <c r="K147" s="236">
        <v>821</v>
      </c>
      <c r="L147" s="65"/>
    </row>
    <row r="148" spans="1:12" ht="12.75">
      <c r="A148" s="66"/>
      <c r="B148" s="176" t="s">
        <v>11</v>
      </c>
      <c r="C148" s="176">
        <v>0</v>
      </c>
      <c r="D148" s="66"/>
      <c r="E148" s="66"/>
      <c r="F148" s="66"/>
      <c r="G148" s="178"/>
      <c r="H148" s="65"/>
      <c r="I148" s="177" t="s">
        <v>78</v>
      </c>
      <c r="J148" s="65">
        <v>639</v>
      </c>
      <c r="K148" s="236">
        <v>465</v>
      </c>
      <c r="L148" s="65"/>
    </row>
    <row r="149" spans="1:12" ht="12.75">
      <c r="A149" s="66"/>
      <c r="B149" s="176" t="s">
        <v>178</v>
      </c>
      <c r="C149" s="362">
        <v>2.5000000000000001E-2</v>
      </c>
      <c r="D149" s="66"/>
      <c r="E149" s="66"/>
      <c r="F149" s="66"/>
      <c r="G149" s="178"/>
      <c r="H149" s="65"/>
      <c r="I149" s="366" t="s">
        <v>343</v>
      </c>
      <c r="J149" s="367">
        <v>6840</v>
      </c>
      <c r="K149" s="179">
        <v>0</v>
      </c>
      <c r="L149" s="367"/>
    </row>
    <row r="150" spans="1:12" ht="12.75">
      <c r="A150" s="66"/>
      <c r="B150" s="66" t="s">
        <v>178</v>
      </c>
      <c r="C150" s="66">
        <v>0</v>
      </c>
      <c r="D150" s="65"/>
      <c r="E150" s="66"/>
      <c r="F150" s="66"/>
      <c r="G150" s="178"/>
      <c r="H150" s="65"/>
      <c r="I150" s="177" t="s">
        <v>176</v>
      </c>
      <c r="J150" s="65">
        <v>6519</v>
      </c>
      <c r="K150" s="380">
        <v>0</v>
      </c>
      <c r="L150" s="65"/>
    </row>
    <row r="151" spans="1:12" ht="12.75">
      <c r="A151" s="66"/>
      <c r="B151" s="176" t="s">
        <v>70</v>
      </c>
      <c r="C151" s="362">
        <v>4.3</v>
      </c>
      <c r="D151" s="66"/>
      <c r="E151" s="66"/>
      <c r="F151" s="66"/>
      <c r="G151" s="178"/>
      <c r="H151" s="65"/>
      <c r="I151" s="177" t="s">
        <v>177</v>
      </c>
      <c r="J151" s="65">
        <v>5502</v>
      </c>
      <c r="K151" s="391">
        <v>37</v>
      </c>
      <c r="L151" s="65"/>
    </row>
    <row r="152" spans="1:12" ht="12.75">
      <c r="A152" s="66"/>
      <c r="B152" s="176" t="s">
        <v>498</v>
      </c>
      <c r="C152" s="362">
        <v>5</v>
      </c>
      <c r="D152" s="65"/>
      <c r="E152" s="66"/>
      <c r="F152" s="66"/>
      <c r="G152" s="178"/>
      <c r="H152" s="65"/>
      <c r="I152" s="177" t="s">
        <v>179</v>
      </c>
      <c r="J152" s="65">
        <v>6789</v>
      </c>
      <c r="K152" s="179">
        <v>0</v>
      </c>
      <c r="L152" s="65" t="s">
        <v>460</v>
      </c>
    </row>
    <row r="153" spans="1:12" ht="12.75">
      <c r="A153" s="66"/>
      <c r="B153" s="176" t="s">
        <v>180</v>
      </c>
      <c r="C153" s="362">
        <v>0.05</v>
      </c>
      <c r="D153" s="66"/>
      <c r="E153" s="66"/>
      <c r="F153" s="66"/>
      <c r="G153" s="178"/>
      <c r="H153" s="65"/>
      <c r="I153" s="177" t="s">
        <v>354</v>
      </c>
      <c r="J153" s="65">
        <v>6545</v>
      </c>
      <c r="K153" s="179">
        <v>0</v>
      </c>
      <c r="L153" s="65" t="s">
        <v>460</v>
      </c>
    </row>
    <row r="154" spans="1:12" ht="12.75">
      <c r="A154" s="65"/>
      <c r="B154" s="176" t="s">
        <v>181</v>
      </c>
      <c r="C154" s="176" t="s">
        <v>456</v>
      </c>
      <c r="D154" s="66" t="s">
        <v>445</v>
      </c>
      <c r="E154" s="66"/>
      <c r="F154" s="66"/>
      <c r="G154" s="178"/>
      <c r="H154" s="65"/>
      <c r="I154" s="177" t="s">
        <v>354</v>
      </c>
      <c r="J154" s="65">
        <v>275</v>
      </c>
      <c r="K154" s="391">
        <v>70</v>
      </c>
      <c r="L154" s="65"/>
    </row>
    <row r="155" spans="1:12" ht="12.75">
      <c r="A155" s="65"/>
      <c r="B155" s="176" t="s">
        <v>183</v>
      </c>
      <c r="C155" s="362">
        <v>0.6</v>
      </c>
      <c r="D155" s="65"/>
      <c r="E155" s="66"/>
      <c r="F155" s="66"/>
      <c r="G155" s="178"/>
      <c r="H155" s="65"/>
      <c r="I155" s="177" t="s">
        <v>355</v>
      </c>
      <c r="J155" s="65">
        <v>9812</v>
      </c>
      <c r="K155" s="179">
        <v>0</v>
      </c>
      <c r="L155" s="65" t="s">
        <v>460</v>
      </c>
    </row>
    <row r="156" spans="1:12" ht="12.75">
      <c r="A156" s="65"/>
      <c r="B156" s="176" t="s">
        <v>187</v>
      </c>
      <c r="C156" s="178">
        <v>0</v>
      </c>
      <c r="D156" s="65"/>
      <c r="E156" s="66"/>
      <c r="F156" s="66"/>
      <c r="G156" s="178"/>
      <c r="H156" s="65"/>
      <c r="I156" s="177" t="s">
        <v>356</v>
      </c>
      <c r="J156" s="65">
        <v>6387</v>
      </c>
      <c r="K156" s="236">
        <v>400</v>
      </c>
      <c r="L156" s="65"/>
    </row>
    <row r="157" spans="1:12" ht="12.75">
      <c r="A157" s="65"/>
      <c r="B157" s="176" t="s">
        <v>189</v>
      </c>
      <c r="C157" s="362">
        <v>10</v>
      </c>
      <c r="D157" s="65"/>
      <c r="E157" s="66"/>
      <c r="F157" s="66"/>
      <c r="G157" s="178"/>
      <c r="H157" s="65"/>
      <c r="I157" s="366" t="s">
        <v>356</v>
      </c>
      <c r="J157" s="367">
        <v>6347</v>
      </c>
      <c r="K157" s="179">
        <v>0</v>
      </c>
      <c r="L157" s="65"/>
    </row>
    <row r="158" spans="1:12" ht="12.75">
      <c r="A158" s="65"/>
      <c r="B158" s="176" t="s">
        <v>191</v>
      </c>
      <c r="C158" s="362">
        <v>0.1</v>
      </c>
      <c r="D158" s="65"/>
      <c r="E158" s="66"/>
      <c r="F158" s="66"/>
      <c r="G158" s="178"/>
      <c r="H158" s="65"/>
      <c r="I158" s="177" t="s">
        <v>356</v>
      </c>
      <c r="J158" s="65">
        <v>5892</v>
      </c>
      <c r="K158" s="236">
        <v>47</v>
      </c>
      <c r="L158" s="65"/>
    </row>
    <row r="159" spans="1:12" ht="12.75">
      <c r="A159" s="65"/>
      <c r="B159" s="176" t="s">
        <v>327</v>
      </c>
      <c r="C159" s="362">
        <v>2</v>
      </c>
      <c r="D159" s="65"/>
      <c r="E159" s="66"/>
      <c r="F159" s="66"/>
      <c r="G159" s="178"/>
      <c r="H159" s="65"/>
      <c r="I159" s="177" t="s">
        <v>356</v>
      </c>
      <c r="J159" s="65">
        <v>6757</v>
      </c>
      <c r="K159" s="236">
        <v>12</v>
      </c>
      <c r="L159" s="65"/>
    </row>
    <row r="160" spans="1:12" ht="12.75">
      <c r="A160" s="65"/>
      <c r="B160" s="176" t="s">
        <v>198</v>
      </c>
      <c r="C160" s="176">
        <v>0</v>
      </c>
      <c r="D160" s="65"/>
      <c r="E160" s="66"/>
      <c r="F160" s="66"/>
      <c r="G160" s="178"/>
      <c r="H160" s="65"/>
      <c r="I160" s="177" t="s">
        <v>182</v>
      </c>
      <c r="J160" s="65">
        <v>6598</v>
      </c>
      <c r="K160" s="380">
        <v>0</v>
      </c>
      <c r="L160" s="65"/>
    </row>
    <row r="161" spans="1:12" ht="12.75">
      <c r="A161" s="65"/>
      <c r="B161" s="176" t="s">
        <v>201</v>
      </c>
      <c r="C161" s="362">
        <v>10</v>
      </c>
      <c r="D161" s="65"/>
      <c r="E161" s="66"/>
      <c r="F161" s="66"/>
      <c r="G161" s="178"/>
      <c r="H161" s="66"/>
      <c r="I161" s="177" t="s">
        <v>184</v>
      </c>
      <c r="J161" s="65">
        <v>6392</v>
      </c>
      <c r="K161" s="236">
        <v>41</v>
      </c>
      <c r="L161" s="65"/>
    </row>
    <row r="162" spans="1:12" ht="12.75">
      <c r="A162" s="65"/>
      <c r="B162" s="176" t="s">
        <v>433</v>
      </c>
      <c r="C162" s="362">
        <v>0.06</v>
      </c>
      <c r="D162" s="65"/>
      <c r="E162" s="66"/>
      <c r="F162" s="66"/>
      <c r="G162" s="178"/>
      <c r="H162" s="66" t="s">
        <v>446</v>
      </c>
      <c r="I162" s="178" t="s">
        <v>386</v>
      </c>
      <c r="J162" s="65">
        <v>9643</v>
      </c>
      <c r="K162" s="236">
        <v>1265</v>
      </c>
      <c r="L162" s="65"/>
    </row>
    <row r="163" spans="1:12" ht="12.75">
      <c r="A163" s="65"/>
      <c r="B163" s="176" t="s">
        <v>203</v>
      </c>
      <c r="C163" s="362">
        <v>2.25</v>
      </c>
      <c r="D163" s="65"/>
      <c r="E163" s="66"/>
      <c r="F163" s="66"/>
      <c r="G163" s="178"/>
      <c r="H163" s="65"/>
      <c r="I163" s="177" t="s">
        <v>297</v>
      </c>
      <c r="J163" s="65">
        <v>440</v>
      </c>
      <c r="K163" s="391">
        <v>444</v>
      </c>
      <c r="L163" s="65"/>
    </row>
    <row r="164" spans="1:12" ht="12.75">
      <c r="A164" s="65"/>
      <c r="B164" s="176" t="s">
        <v>16</v>
      </c>
      <c r="C164" s="362">
        <v>39</v>
      </c>
      <c r="D164" s="65"/>
      <c r="E164" s="66"/>
      <c r="F164" s="66"/>
      <c r="G164" s="178"/>
      <c r="H164" s="66"/>
      <c r="I164" s="177" t="s">
        <v>149</v>
      </c>
      <c r="J164" s="65">
        <v>6173</v>
      </c>
      <c r="K164" s="236">
        <v>550</v>
      </c>
      <c r="L164" s="65"/>
    </row>
    <row r="165" spans="1:12" ht="12.75">
      <c r="A165" s="65"/>
      <c r="B165" s="176" t="s">
        <v>14</v>
      </c>
      <c r="C165" s="362">
        <v>70</v>
      </c>
      <c r="D165" s="65">
        <v>70</v>
      </c>
      <c r="E165" s="66"/>
      <c r="F165" s="66"/>
      <c r="G165" s="178"/>
      <c r="H165" s="65"/>
      <c r="I165" s="177" t="s">
        <v>188</v>
      </c>
      <c r="J165" s="65"/>
      <c r="K165" s="177">
        <v>0</v>
      </c>
      <c r="L165" s="65"/>
    </row>
    <row r="166" spans="1:12" ht="12.75">
      <c r="A166" s="65"/>
      <c r="B166" s="176" t="s">
        <v>208</v>
      </c>
      <c r="C166" s="362">
        <v>0.18</v>
      </c>
      <c r="D166" s="65"/>
      <c r="E166" s="66"/>
      <c r="F166" s="66"/>
      <c r="G166" s="178"/>
      <c r="H166" s="65"/>
      <c r="I166" s="177" t="s">
        <v>190</v>
      </c>
      <c r="J166" s="65">
        <v>4132</v>
      </c>
      <c r="K166" s="236">
        <v>7500</v>
      </c>
      <c r="L166" s="65"/>
    </row>
    <row r="167" spans="1:12" ht="12.75">
      <c r="A167" s="65"/>
      <c r="B167" s="180" t="s">
        <v>210</v>
      </c>
      <c r="C167" s="369">
        <v>2.5</v>
      </c>
      <c r="D167" s="65"/>
      <c r="E167" s="66"/>
      <c r="F167" s="66"/>
      <c r="G167" s="178"/>
      <c r="H167" s="65"/>
      <c r="I167" s="177" t="s">
        <v>192</v>
      </c>
      <c r="J167" s="211" t="s">
        <v>193</v>
      </c>
      <c r="K167" s="179">
        <v>0</v>
      </c>
      <c r="L167" s="65" t="s">
        <v>460</v>
      </c>
    </row>
    <row r="168" spans="1:12" ht="12.75">
      <c r="A168" s="65"/>
      <c r="B168" s="176" t="s">
        <v>18</v>
      </c>
      <c r="C168" s="362">
        <v>30</v>
      </c>
      <c r="D168" s="65"/>
      <c r="E168" s="66"/>
      <c r="F168" s="66"/>
      <c r="G168" s="178"/>
      <c r="H168" s="65"/>
      <c r="I168" s="177" t="s">
        <v>195</v>
      </c>
      <c r="J168" s="65">
        <v>3405</v>
      </c>
      <c r="K168" s="177">
        <v>0</v>
      </c>
      <c r="L168" s="65"/>
    </row>
    <row r="169" spans="1:12" ht="12.75">
      <c r="A169" s="65"/>
      <c r="B169" s="176" t="s">
        <v>214</v>
      </c>
      <c r="C169" s="176">
        <v>0</v>
      </c>
      <c r="D169" s="65"/>
      <c r="E169" s="66"/>
      <c r="F169" s="66"/>
      <c r="G169" s="178"/>
      <c r="H169" s="378" t="s">
        <v>486</v>
      </c>
      <c r="I169" s="177" t="s">
        <v>485</v>
      </c>
      <c r="J169" s="65">
        <v>9829</v>
      </c>
      <c r="K169" s="381">
        <v>0</v>
      </c>
      <c r="L169" s="65"/>
    </row>
    <row r="170" spans="1:12" ht="12.75">
      <c r="A170" s="65"/>
      <c r="B170" s="176" t="s">
        <v>216</v>
      </c>
      <c r="C170" s="362">
        <v>10.9</v>
      </c>
      <c r="D170" s="235"/>
      <c r="E170" s="66"/>
      <c r="F170" s="66"/>
      <c r="G170" s="178"/>
      <c r="H170" s="65"/>
      <c r="I170" s="177" t="s">
        <v>197</v>
      </c>
      <c r="J170" s="65">
        <v>6353</v>
      </c>
      <c r="K170" s="391">
        <v>3574</v>
      </c>
      <c r="L170" s="65"/>
    </row>
    <row r="171" spans="1:12" ht="12.75">
      <c r="A171" s="65"/>
      <c r="B171" s="176" t="s">
        <v>218</v>
      </c>
      <c r="C171" s="362">
        <v>0.63</v>
      </c>
      <c r="D171" s="65"/>
      <c r="E171" s="66"/>
      <c r="F171" s="66"/>
      <c r="G171" s="178"/>
      <c r="H171" s="66"/>
      <c r="I171" s="177" t="s">
        <v>199</v>
      </c>
      <c r="J171" s="65">
        <v>6899</v>
      </c>
      <c r="K171" s="236">
        <v>19</v>
      </c>
      <c r="L171" s="65"/>
    </row>
    <row r="172" spans="1:12" ht="12.75">
      <c r="A172" s="65"/>
      <c r="B172" s="176" t="s">
        <v>220</v>
      </c>
      <c r="C172" s="362">
        <v>0.47499999999999998</v>
      </c>
      <c r="D172" s="65"/>
      <c r="E172" s="66"/>
      <c r="F172" s="66"/>
      <c r="G172" s="178"/>
      <c r="H172" s="65"/>
      <c r="I172" s="177" t="s">
        <v>357</v>
      </c>
      <c r="J172" s="258" t="s">
        <v>358</v>
      </c>
      <c r="K172" s="391">
        <v>20</v>
      </c>
      <c r="L172" s="65"/>
    </row>
    <row r="173" spans="1:12" ht="12.75">
      <c r="A173" s="65"/>
      <c r="B173" s="176" t="s">
        <v>222</v>
      </c>
      <c r="C173" s="362">
        <v>0.85</v>
      </c>
      <c r="D173" s="65"/>
      <c r="E173" s="66"/>
      <c r="F173" s="66"/>
      <c r="G173" s="178"/>
      <c r="H173" s="65"/>
      <c r="I173" s="177" t="s">
        <v>202</v>
      </c>
      <c r="J173" s="65">
        <v>7491</v>
      </c>
      <c r="K173" s="391">
        <v>1000</v>
      </c>
      <c r="L173" s="65"/>
    </row>
    <row r="174" spans="1:12" ht="12.75">
      <c r="A174" s="65"/>
      <c r="B174" s="176" t="s">
        <v>88</v>
      </c>
      <c r="C174" s="176">
        <v>0</v>
      </c>
      <c r="D174" s="65"/>
      <c r="E174" s="66"/>
      <c r="F174" s="66"/>
      <c r="G174" s="178"/>
      <c r="H174" s="65"/>
      <c r="I174" s="177" t="s">
        <v>359</v>
      </c>
      <c r="J174" s="65">
        <v>6173</v>
      </c>
      <c r="K174" s="179">
        <v>0</v>
      </c>
      <c r="L174" s="65"/>
    </row>
    <row r="175" spans="1:12" ht="12.75">
      <c r="A175" s="65"/>
      <c r="B175" s="176" t="s">
        <v>488</v>
      </c>
      <c r="C175" s="362">
        <v>15</v>
      </c>
      <c r="D175" s="65"/>
      <c r="E175" s="66"/>
      <c r="F175" s="66"/>
      <c r="G175" s="178"/>
      <c r="H175" s="65"/>
      <c r="I175" s="177" t="s">
        <v>204</v>
      </c>
      <c r="J175" s="65">
        <v>6210</v>
      </c>
      <c r="K175" s="179">
        <v>0</v>
      </c>
      <c r="L175" s="65" t="s">
        <v>460</v>
      </c>
    </row>
    <row r="176" spans="1:12" ht="12.75">
      <c r="A176" s="65"/>
      <c r="B176" s="176" t="s">
        <v>418</v>
      </c>
      <c r="C176" s="362">
        <v>4.4999999999999998E-2</v>
      </c>
      <c r="D176" s="65"/>
      <c r="E176" s="66"/>
      <c r="F176" s="66"/>
      <c r="G176" s="178"/>
      <c r="H176" s="65"/>
      <c r="I176" s="177" t="s">
        <v>205</v>
      </c>
      <c r="J176" s="65">
        <v>5097</v>
      </c>
      <c r="K176" s="236">
        <v>300</v>
      </c>
      <c r="L176" s="65"/>
    </row>
    <row r="177" spans="1:12" ht="12.75">
      <c r="A177" s="65"/>
      <c r="B177" s="176" t="s">
        <v>227</v>
      </c>
      <c r="C177" s="362">
        <v>1</v>
      </c>
      <c r="D177" s="65"/>
      <c r="E177" s="66"/>
      <c r="F177" s="66"/>
      <c r="G177" s="178"/>
      <c r="H177" s="65"/>
      <c r="I177" s="177" t="s">
        <v>206</v>
      </c>
      <c r="J177" s="212" t="s">
        <v>382</v>
      </c>
      <c r="K177" s="179">
        <v>0</v>
      </c>
      <c r="L177" s="65" t="s">
        <v>460</v>
      </c>
    </row>
    <row r="178" spans="1:12" ht="12.75">
      <c r="A178" s="65"/>
      <c r="B178" s="176" t="s">
        <v>229</v>
      </c>
      <c r="C178" s="362">
        <v>1.5</v>
      </c>
      <c r="D178" s="65"/>
      <c r="E178" s="66"/>
      <c r="F178" s="66"/>
      <c r="G178" s="178"/>
      <c r="H178" s="65"/>
      <c r="I178" s="177" t="s">
        <v>509</v>
      </c>
      <c r="J178" s="258" t="s">
        <v>358</v>
      </c>
      <c r="K178" s="391">
        <v>800</v>
      </c>
      <c r="L178" s="65"/>
    </row>
    <row r="179" spans="1:12" ht="12.75">
      <c r="A179" s="65"/>
      <c r="B179" s="176" t="s">
        <v>231</v>
      </c>
      <c r="C179" s="362">
        <v>1.7</v>
      </c>
      <c r="D179" s="65"/>
      <c r="E179" s="66"/>
      <c r="F179" s="66"/>
      <c r="G179" s="178"/>
      <c r="H179" s="65"/>
      <c r="I179" s="177" t="s">
        <v>476</v>
      </c>
      <c r="J179" s="258" t="s">
        <v>477</v>
      </c>
      <c r="K179" s="179">
        <v>48</v>
      </c>
      <c r="L179" s="65"/>
    </row>
    <row r="180" spans="1:12" ht="12.75">
      <c r="A180" s="65"/>
      <c r="B180" s="176" t="s">
        <v>233</v>
      </c>
      <c r="C180" s="362">
        <v>15</v>
      </c>
      <c r="D180" s="177"/>
      <c r="E180" s="66"/>
      <c r="F180" s="66"/>
      <c r="G180" s="178"/>
      <c r="H180" s="65"/>
      <c r="I180" s="177" t="s">
        <v>86</v>
      </c>
      <c r="J180" s="379" t="s">
        <v>490</v>
      </c>
      <c r="K180" s="236">
        <v>5000</v>
      </c>
      <c r="L180" s="65"/>
    </row>
    <row r="181" spans="1:12" ht="12.75">
      <c r="A181" s="65"/>
      <c r="B181" s="176" t="s">
        <v>235</v>
      </c>
      <c r="C181" s="362">
        <v>6</v>
      </c>
      <c r="D181" s="65"/>
      <c r="E181" s="66"/>
      <c r="F181" s="66"/>
      <c r="G181" s="178"/>
      <c r="H181" s="65"/>
      <c r="I181" s="177" t="s">
        <v>219</v>
      </c>
      <c r="J181" s="65">
        <v>6614</v>
      </c>
      <c r="K181" s="179">
        <v>0</v>
      </c>
      <c r="L181" s="65"/>
    </row>
    <row r="182" spans="1:12" ht="12.75">
      <c r="A182" s="65"/>
      <c r="B182" s="176" t="s">
        <v>237</v>
      </c>
      <c r="C182" s="362">
        <v>10</v>
      </c>
      <c r="D182" s="65"/>
      <c r="E182" s="66"/>
      <c r="F182" s="66"/>
      <c r="G182" s="178"/>
      <c r="H182" s="65"/>
      <c r="I182" s="177" t="s">
        <v>213</v>
      </c>
      <c r="J182" s="65">
        <v>5310</v>
      </c>
      <c r="K182" s="179">
        <v>0</v>
      </c>
      <c r="L182" s="65" t="s">
        <v>460</v>
      </c>
    </row>
    <row r="183" spans="1:12" ht="12.75">
      <c r="A183" s="65"/>
      <c r="B183" s="176" t="s">
        <v>239</v>
      </c>
      <c r="C183" s="362">
        <v>0.05</v>
      </c>
      <c r="D183" s="65"/>
      <c r="E183" s="66"/>
      <c r="F183" s="66"/>
      <c r="G183" s="178"/>
      <c r="H183" s="65"/>
      <c r="I183" s="177" t="s">
        <v>221</v>
      </c>
      <c r="J183" s="65">
        <v>6542</v>
      </c>
      <c r="K183" s="391">
        <v>415</v>
      </c>
      <c r="L183" s="65"/>
    </row>
    <row r="184" spans="1:12" ht="12.75">
      <c r="A184" s="65"/>
      <c r="B184" s="176" t="s">
        <v>241</v>
      </c>
      <c r="C184" s="362">
        <v>0.47499999999999998</v>
      </c>
      <c r="D184" s="65"/>
      <c r="E184" s="66"/>
      <c r="F184" s="66"/>
      <c r="G184" s="178"/>
      <c r="H184" s="65"/>
      <c r="I184" s="177" t="s">
        <v>333</v>
      </c>
      <c r="J184" s="212" t="s">
        <v>383</v>
      </c>
      <c r="K184" s="179">
        <v>0</v>
      </c>
      <c r="L184" s="65" t="s">
        <v>460</v>
      </c>
    </row>
    <row r="185" spans="1:12" ht="12.75">
      <c r="A185" s="65"/>
      <c r="B185" s="176" t="s">
        <v>243</v>
      </c>
      <c r="C185" s="362">
        <v>0.20499999999999999</v>
      </c>
      <c r="D185" s="65"/>
      <c r="E185" s="66"/>
      <c r="F185" s="66"/>
      <c r="G185" s="178"/>
      <c r="H185" s="65"/>
      <c r="I185" s="177" t="s">
        <v>333</v>
      </c>
      <c r="J185" s="65">
        <v>6534</v>
      </c>
      <c r="K185" s="179">
        <v>0</v>
      </c>
      <c r="L185" s="65" t="s">
        <v>460</v>
      </c>
    </row>
    <row r="186" spans="1:12" ht="12.75">
      <c r="A186" s="65"/>
      <c r="B186" s="176" t="s">
        <v>267</v>
      </c>
      <c r="C186" s="176">
        <v>0</v>
      </c>
      <c r="D186" s="65"/>
      <c r="E186" s="66"/>
      <c r="F186" s="66"/>
      <c r="G186" s="178"/>
      <c r="H186" s="65"/>
      <c r="I186" s="177" t="s">
        <v>223</v>
      </c>
      <c r="J186" s="65">
        <v>5310</v>
      </c>
      <c r="K186" s="179">
        <v>0</v>
      </c>
      <c r="L186" s="65" t="s">
        <v>460</v>
      </c>
    </row>
    <row r="187" spans="1:12" ht="12.75">
      <c r="A187" s="65"/>
      <c r="B187" s="176" t="s">
        <v>92</v>
      </c>
      <c r="C187" s="362">
        <v>5</v>
      </c>
      <c r="D187" s="65"/>
      <c r="E187" s="66"/>
      <c r="F187" s="66"/>
      <c r="G187" s="178"/>
      <c r="H187" s="65"/>
      <c r="I187" s="177" t="s">
        <v>224</v>
      </c>
      <c r="J187" s="65">
        <v>5310</v>
      </c>
      <c r="K187" s="179">
        <v>0</v>
      </c>
      <c r="L187" s="65" t="s">
        <v>460</v>
      </c>
    </row>
    <row r="188" spans="1:12" ht="12.75">
      <c r="A188" s="65"/>
      <c r="B188" s="176" t="s">
        <v>86</v>
      </c>
      <c r="C188" s="176">
        <v>0</v>
      </c>
      <c r="D188" s="65"/>
      <c r="E188" s="66"/>
      <c r="F188" s="66"/>
      <c r="G188" s="178"/>
      <c r="H188" s="65"/>
      <c r="I188" s="177" t="s">
        <v>232</v>
      </c>
      <c r="J188" s="65"/>
      <c r="K188" s="177">
        <v>0</v>
      </c>
      <c r="L188" s="65"/>
    </row>
    <row r="189" spans="1:12" ht="12.75">
      <c r="A189" s="65"/>
      <c r="B189" s="66" t="s">
        <v>268</v>
      </c>
      <c r="C189" s="66">
        <v>0</v>
      </c>
      <c r="D189" s="65"/>
      <c r="E189" s="66"/>
      <c r="F189" s="66"/>
      <c r="G189" s="178"/>
      <c r="H189" s="65"/>
      <c r="I189" s="177" t="s">
        <v>230</v>
      </c>
      <c r="J189" s="65"/>
      <c r="K189" s="177">
        <v>0</v>
      </c>
      <c r="L189" s="65"/>
    </row>
    <row r="190" spans="1:12" ht="12.75">
      <c r="A190" s="65"/>
      <c r="B190" s="66" t="s">
        <v>248</v>
      </c>
      <c r="C190" s="66">
        <v>0</v>
      </c>
      <c r="D190" s="65"/>
      <c r="E190" s="66"/>
      <c r="F190" s="66"/>
      <c r="G190" s="178"/>
      <c r="H190" s="65"/>
      <c r="I190" s="177" t="s">
        <v>234</v>
      </c>
      <c r="J190" s="65"/>
      <c r="K190" s="177">
        <v>0</v>
      </c>
      <c r="L190" s="65"/>
    </row>
    <row r="191" spans="1:12" ht="12.75">
      <c r="A191" s="65"/>
      <c r="B191" s="66" t="s">
        <v>270</v>
      </c>
      <c r="C191" s="66">
        <v>0</v>
      </c>
      <c r="D191" s="65"/>
      <c r="E191" s="66"/>
      <c r="F191" s="66"/>
      <c r="G191" s="178"/>
      <c r="H191" s="65"/>
      <c r="I191" s="177" t="s">
        <v>226</v>
      </c>
      <c r="J191" s="65"/>
      <c r="K191" s="177">
        <v>0</v>
      </c>
      <c r="L191" s="65"/>
    </row>
    <row r="192" spans="1:12" ht="12.75">
      <c r="A192" s="65"/>
      <c r="B192" s="176" t="s">
        <v>246</v>
      </c>
      <c r="C192" s="362">
        <v>0.47499999999999998</v>
      </c>
      <c r="D192" s="65"/>
      <c r="E192" s="66"/>
      <c r="F192" s="66"/>
      <c r="G192" s="178"/>
      <c r="H192" s="66" t="s">
        <v>446</v>
      </c>
      <c r="I192" s="177" t="s">
        <v>228</v>
      </c>
      <c r="J192" s="65"/>
      <c r="K192" s="177">
        <v>0</v>
      </c>
      <c r="L192" s="65"/>
    </row>
    <row r="193" spans="1:12" ht="12.75">
      <c r="A193" s="65"/>
      <c r="B193" s="176" t="s">
        <v>251</v>
      </c>
      <c r="C193" s="362">
        <v>20</v>
      </c>
      <c r="D193" s="65"/>
      <c r="E193" s="66"/>
      <c r="F193" s="66"/>
      <c r="G193" s="178"/>
      <c r="H193" s="65"/>
      <c r="I193" s="177" t="s">
        <v>238</v>
      </c>
      <c r="J193" s="65">
        <v>6722</v>
      </c>
      <c r="K193" s="236">
        <v>54</v>
      </c>
      <c r="L193" s="65"/>
    </row>
    <row r="194" spans="1:12" ht="12.75">
      <c r="A194" s="65"/>
      <c r="B194" s="176" t="s">
        <v>160</v>
      </c>
      <c r="C194" s="362">
        <v>3.1</v>
      </c>
      <c r="D194" s="65"/>
      <c r="E194" s="66"/>
      <c r="F194" s="66"/>
      <c r="G194" s="178"/>
      <c r="H194" s="65"/>
      <c r="I194" s="177" t="s">
        <v>236</v>
      </c>
      <c r="J194" s="65">
        <v>7211</v>
      </c>
      <c r="K194" s="179">
        <v>0</v>
      </c>
      <c r="L194" s="65"/>
    </row>
    <row r="195" spans="1:12" ht="12.75">
      <c r="A195" s="65"/>
      <c r="B195" s="176" t="s">
        <v>253</v>
      </c>
      <c r="C195" s="362">
        <v>1.65</v>
      </c>
      <c r="D195" s="65"/>
      <c r="E195" s="66"/>
      <c r="F195" s="66"/>
      <c r="G195" s="178"/>
      <c r="H195" s="65"/>
      <c r="I195" s="366" t="s">
        <v>508</v>
      </c>
      <c r="J195" s="367">
        <v>308</v>
      </c>
      <c r="K195" s="391">
        <v>282</v>
      </c>
      <c r="L195" s="65"/>
    </row>
    <row r="196" spans="1:12" ht="12.75">
      <c r="A196" s="65"/>
      <c r="B196" s="66" t="s">
        <v>84</v>
      </c>
      <c r="C196" s="210">
        <v>4.5</v>
      </c>
      <c r="D196" s="65"/>
      <c r="E196" s="66"/>
      <c r="F196" s="66"/>
      <c r="G196" s="178"/>
      <c r="H196" s="66" t="s">
        <v>446</v>
      </c>
      <c r="I196" s="177" t="s">
        <v>242</v>
      </c>
      <c r="J196" s="65">
        <v>4063</v>
      </c>
      <c r="K196" s="179">
        <v>0</v>
      </c>
      <c r="L196" s="65" t="s">
        <v>460</v>
      </c>
    </row>
    <row r="197" spans="1:12" ht="12.75">
      <c r="A197" s="65"/>
      <c r="B197" s="176" t="s">
        <v>256</v>
      </c>
      <c r="C197" s="362">
        <v>4.3</v>
      </c>
      <c r="D197" s="65"/>
      <c r="E197" s="66"/>
      <c r="F197" s="66"/>
      <c r="G197" s="178"/>
      <c r="H197" s="66" t="s">
        <v>446</v>
      </c>
      <c r="I197" s="177" t="s">
        <v>94</v>
      </c>
      <c r="J197" s="65">
        <v>9643</v>
      </c>
      <c r="K197" s="236">
        <v>2591</v>
      </c>
      <c r="L197" s="65"/>
    </row>
    <row r="198" spans="1:12" ht="12.75">
      <c r="A198" s="65"/>
      <c r="B198" s="176" t="s">
        <v>491</v>
      </c>
      <c r="C198" s="362">
        <v>1.7</v>
      </c>
      <c r="D198" s="65"/>
      <c r="E198" s="66"/>
      <c r="F198" s="66"/>
      <c r="G198" s="178"/>
      <c r="H198" s="65"/>
      <c r="I198" s="177" t="s">
        <v>52</v>
      </c>
      <c r="J198" s="65" t="s">
        <v>385</v>
      </c>
      <c r="K198" s="236">
        <v>7000</v>
      </c>
      <c r="L198" s="65"/>
    </row>
    <row r="199" spans="1:12" ht="12.75">
      <c r="A199" s="65"/>
      <c r="B199" s="176" t="s">
        <v>257</v>
      </c>
      <c r="C199" s="362">
        <v>0.08</v>
      </c>
      <c r="D199" s="65"/>
      <c r="E199" s="66"/>
      <c r="F199" s="66"/>
      <c r="G199" s="178"/>
      <c r="H199" s="65"/>
      <c r="I199" s="177" t="s">
        <v>362</v>
      </c>
      <c r="J199" s="65">
        <v>9643</v>
      </c>
      <c r="K199" s="179">
        <v>0</v>
      </c>
      <c r="L199" s="65" t="s">
        <v>460</v>
      </c>
    </row>
    <row r="200" spans="1:12" ht="12.75">
      <c r="A200" s="65"/>
      <c r="B200" s="176" t="s">
        <v>258</v>
      </c>
      <c r="C200" s="362">
        <v>40</v>
      </c>
      <c r="D200" s="65"/>
      <c r="E200" s="66"/>
      <c r="F200" s="180"/>
      <c r="G200" s="178"/>
      <c r="H200" s="65"/>
      <c r="I200" s="177" t="s">
        <v>244</v>
      </c>
      <c r="J200" s="65">
        <v>6788</v>
      </c>
      <c r="K200" s="179">
        <v>0</v>
      </c>
      <c r="L200" s="65" t="s">
        <v>460</v>
      </c>
    </row>
    <row r="201" spans="1:12" ht="12.75">
      <c r="A201" s="65"/>
      <c r="B201" s="176" t="s">
        <v>26</v>
      </c>
      <c r="C201" s="362">
        <v>15</v>
      </c>
      <c r="D201" s="65"/>
      <c r="E201" s="66"/>
      <c r="F201" s="66"/>
      <c r="G201" s="178"/>
      <c r="H201" s="65"/>
      <c r="I201" s="177" t="s">
        <v>510</v>
      </c>
      <c r="J201" s="65">
        <v>6315</v>
      </c>
      <c r="K201" s="234">
        <v>348</v>
      </c>
      <c r="L201" s="65"/>
    </row>
    <row r="202" spans="1:12" ht="12.75">
      <c r="A202" s="65"/>
      <c r="B202" s="176" t="s">
        <v>261</v>
      </c>
      <c r="C202" s="362">
        <v>0.33</v>
      </c>
      <c r="D202" s="65"/>
      <c r="E202" s="66"/>
      <c r="F202" s="66"/>
      <c r="G202" s="178"/>
      <c r="H202" s="65"/>
      <c r="I202" s="366" t="s">
        <v>245</v>
      </c>
      <c r="J202" s="367">
        <v>6683</v>
      </c>
      <c r="K202" s="236">
        <v>2500</v>
      </c>
      <c r="L202" s="65"/>
    </row>
    <row r="203" spans="1:12" ht="12.75">
      <c r="A203" s="65"/>
      <c r="B203" s="176" t="s">
        <v>152</v>
      </c>
      <c r="C203" s="176">
        <v>0</v>
      </c>
      <c r="D203" s="65"/>
      <c r="E203" s="66"/>
      <c r="F203" s="66"/>
      <c r="G203" s="178"/>
      <c r="H203" s="65"/>
      <c r="I203" s="177" t="s">
        <v>360</v>
      </c>
      <c r="J203" s="65">
        <v>2185</v>
      </c>
      <c r="K203" s="236">
        <v>55</v>
      </c>
      <c r="L203" s="65"/>
    </row>
    <row r="204" spans="1:12" ht="12.75">
      <c r="A204" s="65"/>
      <c r="B204" s="176" t="s">
        <v>262</v>
      </c>
      <c r="C204" s="362">
        <v>0.7</v>
      </c>
      <c r="D204" s="65"/>
      <c r="E204" s="66"/>
      <c r="F204" s="66"/>
      <c r="G204" s="178"/>
      <c r="H204" s="65"/>
      <c r="I204" s="177" t="s">
        <v>249</v>
      </c>
      <c r="J204" s="212" t="s">
        <v>384</v>
      </c>
      <c r="K204" s="391">
        <v>8000</v>
      </c>
      <c r="L204" s="65"/>
    </row>
    <row r="205" spans="1:12" ht="12.75">
      <c r="A205" s="65"/>
      <c r="B205" s="176" t="s">
        <v>263</v>
      </c>
      <c r="C205" s="362">
        <v>60</v>
      </c>
      <c r="D205" s="65"/>
      <c r="E205" s="66"/>
      <c r="F205" s="66"/>
      <c r="G205" s="178"/>
      <c r="H205" s="65"/>
      <c r="I205" s="177" t="s">
        <v>252</v>
      </c>
      <c r="J205" s="65">
        <v>4132</v>
      </c>
      <c r="K205" s="391">
        <v>12</v>
      </c>
      <c r="L205" s="65"/>
    </row>
    <row r="206" spans="1:12" ht="12.75">
      <c r="A206" s="65"/>
      <c r="B206" s="176" t="s">
        <v>264</v>
      </c>
      <c r="C206" s="362">
        <v>0.3</v>
      </c>
      <c r="D206" s="65"/>
      <c r="E206" s="66"/>
      <c r="F206" s="66"/>
      <c r="G206" s="178"/>
      <c r="H206" s="65"/>
      <c r="I206" s="177" t="s">
        <v>254</v>
      </c>
      <c r="J206" s="65">
        <v>2540</v>
      </c>
      <c r="K206" s="236">
        <v>11</v>
      </c>
      <c r="L206" s="65"/>
    </row>
    <row r="207" spans="1:12" ht="12.75">
      <c r="A207" s="65"/>
      <c r="B207" s="176" t="s">
        <v>322</v>
      </c>
      <c r="C207" s="176">
        <v>0</v>
      </c>
      <c r="D207" s="65"/>
      <c r="E207" s="66"/>
      <c r="F207" s="66"/>
      <c r="G207" s="178"/>
      <c r="H207" s="65"/>
      <c r="I207" s="177" t="s">
        <v>255</v>
      </c>
      <c r="J207" s="65">
        <v>9643</v>
      </c>
      <c r="K207" s="179">
        <v>14</v>
      </c>
      <c r="L207" s="65"/>
    </row>
    <row r="208" spans="1:12" ht="12.75">
      <c r="A208" s="65"/>
      <c r="B208" s="176" t="s">
        <v>265</v>
      </c>
      <c r="C208" s="176">
        <v>0</v>
      </c>
      <c r="D208" s="65"/>
      <c r="E208" s="66"/>
      <c r="F208" s="66"/>
      <c r="G208" s="178"/>
      <c r="H208" s="65"/>
      <c r="I208" s="177" t="s">
        <v>255</v>
      </c>
      <c r="J208" s="65">
        <v>5801</v>
      </c>
      <c r="K208" s="179">
        <v>0</v>
      </c>
      <c r="L208" s="65" t="s">
        <v>460</v>
      </c>
    </row>
    <row r="209" spans="1:14" ht="12.75">
      <c r="A209" s="65"/>
      <c r="B209" s="176" t="s">
        <v>266</v>
      </c>
      <c r="C209" s="362">
        <v>0.05</v>
      </c>
      <c r="D209" s="65"/>
      <c r="E209" s="66"/>
      <c r="F209" s="66"/>
      <c r="G209" s="178"/>
      <c r="H209" s="65"/>
      <c r="I209" s="177" t="s">
        <v>96</v>
      </c>
      <c r="J209" s="65">
        <v>6589</v>
      </c>
      <c r="K209" s="179">
        <v>0</v>
      </c>
      <c r="L209" s="235" t="s">
        <v>441</v>
      </c>
    </row>
    <row r="210" spans="1:14" ht="12.75">
      <c r="A210" s="65"/>
      <c r="B210" s="176"/>
      <c r="C210" s="176"/>
      <c r="D210" s="65"/>
      <c r="E210" s="66"/>
      <c r="F210" s="66"/>
      <c r="G210" s="178"/>
      <c r="H210" s="65"/>
      <c r="I210" s="177" t="s">
        <v>259</v>
      </c>
      <c r="J210" s="65">
        <v>106</v>
      </c>
      <c r="K210" s="391">
        <v>1068</v>
      </c>
      <c r="L210" s="65"/>
      <c r="M210" s="209">
        <v>34771</v>
      </c>
      <c r="N210" s="12" t="s">
        <v>462</v>
      </c>
    </row>
    <row r="211" spans="1:14" ht="12.75">
      <c r="A211" s="65"/>
      <c r="B211" s="176"/>
      <c r="C211" s="178"/>
      <c r="D211" s="65"/>
      <c r="E211" s="66"/>
      <c r="F211" s="66"/>
      <c r="G211" s="178"/>
      <c r="H211" s="65"/>
      <c r="I211" s="177" t="s">
        <v>260</v>
      </c>
      <c r="J211" s="65">
        <v>6598</v>
      </c>
      <c r="K211" s="179">
        <v>0</v>
      </c>
      <c r="L211" s="65" t="s">
        <v>460</v>
      </c>
    </row>
    <row r="212" spans="1:14" ht="12.75">
      <c r="A212" s="65"/>
      <c r="B212" s="176"/>
      <c r="C212" s="176"/>
      <c r="D212" s="65"/>
      <c r="E212" s="66"/>
      <c r="F212" s="66"/>
      <c r="G212" s="178"/>
      <c r="H212" s="65"/>
      <c r="I212" s="178"/>
      <c r="J212" s="65"/>
      <c r="K212" s="345">
        <f>SUM(K130:K211)</f>
        <v>54297.2</v>
      </c>
    </row>
    <row r="213" spans="1:14" ht="12.75">
      <c r="B213" s="176"/>
      <c r="C213" s="176"/>
      <c r="D213" s="65"/>
      <c r="E213" s="66"/>
      <c r="F213" s="66"/>
      <c r="G213" s="178"/>
      <c r="H213" s="65"/>
      <c r="I213" s="178"/>
      <c r="J213" s="65"/>
      <c r="K213" s="179"/>
      <c r="L213" s="65"/>
    </row>
    <row r="214" spans="1:14" ht="12.75">
      <c r="B214"/>
      <c r="C214" s="182">
        <f>SUM(C130:C213)</f>
        <v>462.18599999999998</v>
      </c>
      <c r="D214" s="65"/>
      <c r="E214" s="66"/>
      <c r="F214" s="66"/>
      <c r="G214" s="178"/>
      <c r="H214" s="65"/>
      <c r="I214" s="177"/>
      <c r="J214" s="65"/>
      <c r="K214" s="177"/>
      <c r="L214" s="65"/>
    </row>
    <row r="215" spans="1:14" ht="12.75">
      <c r="B215"/>
      <c r="C215" s="66"/>
      <c r="D215" s="65"/>
      <c r="E215" s="66"/>
      <c r="F215" s="65"/>
      <c r="G215" s="177"/>
      <c r="H215" s="65"/>
      <c r="I215" s="177"/>
      <c r="J215" s="212"/>
      <c r="L215" s="65"/>
    </row>
    <row r="216" spans="1:14" ht="12.75">
      <c r="B216"/>
      <c r="C216" s="66"/>
      <c r="D216" s="65"/>
      <c r="E216" s="182"/>
      <c r="F216" s="65"/>
      <c r="G216" s="65"/>
      <c r="H216" s="65"/>
      <c r="I216" s="177"/>
      <c r="J216" s="65"/>
      <c r="K216" s="179"/>
      <c r="L216" s="65"/>
    </row>
    <row r="217" spans="1:14" ht="12.75">
      <c r="A217" s="183"/>
      <c r="B217"/>
      <c r="C217" s="66"/>
      <c r="D217" s="65"/>
      <c r="E217" s="65"/>
      <c r="F217" s="65"/>
      <c r="G217" s="65"/>
      <c r="H217" s="65"/>
      <c r="I217" s="177"/>
      <c r="J217" s="65"/>
      <c r="K217" s="177"/>
      <c r="L217" s="65"/>
    </row>
    <row r="218" spans="1:14" ht="12.75">
      <c r="B218" s="175" t="s">
        <v>7</v>
      </c>
      <c r="C218" s="176">
        <v>0</v>
      </c>
      <c r="D218" s="65"/>
      <c r="E218" s="65"/>
      <c r="F218" s="65"/>
      <c r="G218" s="65"/>
      <c r="H218" s="65"/>
      <c r="I218" s="177"/>
      <c r="J218" s="65"/>
      <c r="K218" s="179"/>
      <c r="L218" s="65"/>
    </row>
    <row r="219" spans="1:14" ht="12.75">
      <c r="B219" s="175" t="s">
        <v>6</v>
      </c>
      <c r="C219" s="176">
        <v>0</v>
      </c>
      <c r="D219" s="65"/>
      <c r="E219" s="65"/>
      <c r="F219" s="65"/>
      <c r="G219" s="65"/>
      <c r="H219" s="65"/>
      <c r="I219" s="177"/>
      <c r="J219" s="65"/>
      <c r="K219" s="179"/>
      <c r="L219" s="65"/>
    </row>
    <row r="220" spans="1:14" ht="12.75">
      <c r="B220" s="175" t="s">
        <v>271</v>
      </c>
      <c r="C220" s="176">
        <v>0</v>
      </c>
      <c r="D220" s="65"/>
      <c r="E220" s="65"/>
      <c r="F220" s="65"/>
      <c r="G220" s="65"/>
      <c r="H220" s="65"/>
      <c r="I220" s="177"/>
      <c r="J220" s="65"/>
      <c r="K220" s="179"/>
      <c r="L220" s="65"/>
    </row>
    <row r="221" spans="1:14" ht="12.75">
      <c r="B221" s="175" t="s">
        <v>11</v>
      </c>
      <c r="C221" s="176">
        <v>0</v>
      </c>
      <c r="D221" s="65">
        <v>3</v>
      </c>
      <c r="E221" s="65"/>
      <c r="F221" s="65">
        <v>5</v>
      </c>
      <c r="G221" s="65"/>
      <c r="H221" s="65"/>
      <c r="I221" s="177"/>
      <c r="J221" s="65"/>
      <c r="K221" s="179"/>
      <c r="L221" s="65"/>
    </row>
    <row r="222" spans="1:14" ht="12.75">
      <c r="B222" s="175" t="s">
        <v>187</v>
      </c>
      <c r="C222" s="176">
        <v>0</v>
      </c>
      <c r="D222" s="65" t="s">
        <v>272</v>
      </c>
      <c r="E222" s="65"/>
      <c r="F222" s="65">
        <v>10</v>
      </c>
      <c r="G222" s="65"/>
      <c r="H222" s="65"/>
      <c r="I222" s="66"/>
      <c r="J222" s="65"/>
      <c r="K222" s="179"/>
      <c r="L222" s="65"/>
    </row>
    <row r="223" spans="1:14" ht="12.75">
      <c r="B223" s="175" t="s">
        <v>201</v>
      </c>
      <c r="C223" s="176">
        <v>0</v>
      </c>
      <c r="D223" s="65"/>
      <c r="E223" s="65"/>
      <c r="F223" s="65"/>
      <c r="G223" s="65"/>
      <c r="H223" s="65"/>
      <c r="I223" s="65"/>
      <c r="J223" s="65"/>
    </row>
    <row r="224" spans="1:14" ht="12.75">
      <c r="B224" s="175" t="s">
        <v>16</v>
      </c>
      <c r="C224" s="176">
        <v>0</v>
      </c>
      <c r="D224" s="65" t="s">
        <v>273</v>
      </c>
      <c r="E224" s="65"/>
      <c r="F224" s="65"/>
      <c r="G224" s="65"/>
      <c r="H224" s="65"/>
      <c r="I224" s="65"/>
      <c r="J224" s="65"/>
      <c r="K224" s="65"/>
    </row>
    <row r="225" spans="1:19" ht="12.75">
      <c r="B225" s="175" t="s">
        <v>14</v>
      </c>
      <c r="C225" s="176">
        <v>0</v>
      </c>
      <c r="D225" s="65"/>
      <c r="E225" s="65"/>
      <c r="F225" s="65">
        <v>5</v>
      </c>
      <c r="G225" s="65"/>
      <c r="H225" s="65"/>
      <c r="I225" s="65"/>
      <c r="J225" s="65"/>
      <c r="K225" s="65"/>
    </row>
    <row r="226" spans="1:19" ht="12.75">
      <c r="B226" s="175" t="s">
        <v>18</v>
      </c>
      <c r="C226" s="176">
        <v>0</v>
      </c>
      <c r="D226" s="65"/>
      <c r="E226" s="65"/>
      <c r="F226" s="65">
        <v>15</v>
      </c>
      <c r="G226" s="65"/>
      <c r="H226" s="65"/>
      <c r="I226" s="65"/>
      <c r="J226" s="65"/>
      <c r="K226" s="65"/>
    </row>
    <row r="227" spans="1:19" ht="12.75">
      <c r="A227" s="12" t="s">
        <v>274</v>
      </c>
      <c r="B227" t="s">
        <v>216</v>
      </c>
      <c r="C227" s="66">
        <v>0</v>
      </c>
      <c r="D227" s="65" t="s">
        <v>272</v>
      </c>
      <c r="E227" s="65"/>
      <c r="F227" s="65">
        <v>15</v>
      </c>
      <c r="G227" s="65"/>
      <c r="H227" s="65"/>
      <c r="I227" s="65"/>
      <c r="J227" s="65"/>
      <c r="K227" s="65"/>
    </row>
    <row r="228" spans="1:19" ht="12.75">
      <c r="B228" s="175" t="s">
        <v>233</v>
      </c>
      <c r="C228" s="176">
        <v>0</v>
      </c>
      <c r="D228" s="65" t="s">
        <v>272</v>
      </c>
      <c r="E228" s="65"/>
      <c r="F228" s="65">
        <v>5</v>
      </c>
      <c r="G228" s="65"/>
      <c r="H228" s="65"/>
      <c r="I228" s="65"/>
      <c r="J228" s="65"/>
      <c r="K228" s="65"/>
    </row>
    <row r="229" spans="1:19" ht="12.75">
      <c r="B229" s="175" t="s">
        <v>275</v>
      </c>
      <c r="C229" s="176">
        <v>0</v>
      </c>
      <c r="D229" s="65" t="s">
        <v>272</v>
      </c>
      <c r="E229" s="65"/>
      <c r="F229" s="65"/>
      <c r="G229" s="65"/>
      <c r="H229" s="65"/>
      <c r="I229" s="66"/>
      <c r="J229" s="65"/>
      <c r="K229" s="65"/>
    </row>
    <row r="230" spans="1:19" ht="12.75">
      <c r="B230" t="s">
        <v>258</v>
      </c>
      <c r="C230" s="178">
        <v>0</v>
      </c>
      <c r="D230" s="65"/>
      <c r="E230" s="65"/>
      <c r="F230" s="65">
        <f>SUM(F221:F229)</f>
        <v>55</v>
      </c>
      <c r="G230" s="65"/>
      <c r="H230" s="65"/>
      <c r="I230" s="65"/>
      <c r="J230" s="65"/>
    </row>
    <row r="231" spans="1:19" ht="12.75">
      <c r="B231" t="s">
        <v>26</v>
      </c>
      <c r="C231" s="178">
        <v>0</v>
      </c>
      <c r="D231" s="65" t="s">
        <v>276</v>
      </c>
      <c r="E231" s="65"/>
      <c r="F231" s="65"/>
      <c r="G231" s="65"/>
      <c r="H231" s="65"/>
      <c r="I231" s="65"/>
      <c r="J231" s="65"/>
    </row>
    <row r="232" spans="1:19" ht="12.75">
      <c r="B232" t="s">
        <v>267</v>
      </c>
      <c r="C232" s="178">
        <v>0</v>
      </c>
      <c r="D232" s="65"/>
      <c r="E232" s="65"/>
      <c r="F232" s="65"/>
      <c r="G232" s="65"/>
      <c r="H232" s="65"/>
      <c r="I232" s="65"/>
      <c r="J232" s="65"/>
    </row>
    <row r="233" spans="1:19" ht="12.75">
      <c r="B233" t="s">
        <v>277</v>
      </c>
      <c r="C233" s="178">
        <v>0</v>
      </c>
      <c r="D233" s="65"/>
      <c r="E233" s="65"/>
      <c r="F233" s="65"/>
      <c r="G233" s="65"/>
      <c r="H233" s="65"/>
      <c r="I233" s="65"/>
      <c r="J233" s="65"/>
    </row>
    <row r="234" spans="1:19" ht="12.75">
      <c r="B234" t="s">
        <v>278</v>
      </c>
      <c r="C234" s="184">
        <f>SUM(C218:C233)</f>
        <v>0</v>
      </c>
      <c r="D234" s="65"/>
      <c r="E234" s="65"/>
      <c r="F234" s="65"/>
      <c r="G234" s="65"/>
      <c r="H234" s="65"/>
      <c r="I234" s="65"/>
      <c r="J234" s="65"/>
    </row>
    <row r="235" spans="1:19" ht="12.75">
      <c r="B235" s="45"/>
      <c r="C235" s="45"/>
      <c r="D235" s="65"/>
      <c r="E235" s="65"/>
      <c r="G235" s="65"/>
      <c r="H235" s="65"/>
      <c r="I235" s="65"/>
      <c r="J235" s="65"/>
    </row>
    <row r="236" spans="1:19" ht="12.75">
      <c r="B236"/>
      <c r="C236">
        <f>C214+C234</f>
        <v>462.18599999999998</v>
      </c>
      <c r="D236" s="65"/>
      <c r="H236" s="65"/>
      <c r="I236" s="65"/>
      <c r="J236" s="65"/>
    </row>
    <row r="237" spans="1:19" ht="12.75">
      <c r="B237"/>
      <c r="C237"/>
      <c r="H237" s="65"/>
      <c r="I237" s="65"/>
      <c r="J237" s="65"/>
    </row>
    <row r="238" spans="1:19" ht="12.75">
      <c r="B238"/>
      <c r="C238">
        <f>E216-C236</f>
        <v>-462.18599999999998</v>
      </c>
      <c r="H238" s="65"/>
      <c r="I238" s="65"/>
      <c r="J238" s="65"/>
      <c r="O238" s="186"/>
      <c r="P238" s="186"/>
      <c r="Q238" s="186"/>
      <c r="R238" s="186"/>
      <c r="S238" s="187"/>
    </row>
    <row r="239" spans="1:19" ht="12.75">
      <c r="B239"/>
      <c r="C239"/>
      <c r="G239" s="185" t="s">
        <v>279</v>
      </c>
      <c r="I239" s="65"/>
      <c r="J239" s="65"/>
      <c r="O239" s="190"/>
      <c r="P239" s="190"/>
      <c r="Q239" s="190"/>
      <c r="R239" s="74"/>
      <c r="S239" s="158"/>
    </row>
    <row r="240" spans="1:19" ht="12.75">
      <c r="G240" s="188"/>
      <c r="I240" s="66"/>
      <c r="J240" s="65"/>
      <c r="N240" s="186"/>
      <c r="O240" s="74"/>
      <c r="P240" s="74"/>
      <c r="Q240" s="74"/>
      <c r="R240" s="74"/>
      <c r="S240" s="161"/>
    </row>
    <row r="241" spans="2:19" ht="12.75">
      <c r="G241" s="191"/>
      <c r="H241" s="186"/>
      <c r="I241" s="66"/>
      <c r="J241" s="65"/>
      <c r="M241" s="186"/>
      <c r="N241" s="190"/>
      <c r="O241" s="74"/>
      <c r="P241" s="74"/>
      <c r="Q241" s="74"/>
      <c r="R241" s="74"/>
      <c r="S241" s="161"/>
    </row>
    <row r="242" spans="2:19" ht="12.75">
      <c r="B242"/>
      <c r="C242" s="195"/>
      <c r="G242" s="191"/>
      <c r="H242" s="189" t="s">
        <v>280</v>
      </c>
      <c r="I242" s="186"/>
      <c r="J242" s="186"/>
      <c r="K242" s="186"/>
      <c r="M242" s="190"/>
      <c r="N242" s="74"/>
      <c r="O242" s="74"/>
      <c r="P242" s="74"/>
      <c r="Q242" s="74"/>
      <c r="R242" s="74"/>
      <c r="S242" s="161"/>
    </row>
    <row r="243" spans="2:19" ht="12.75">
      <c r="B243"/>
      <c r="C243" s="195"/>
      <c r="G243" s="191"/>
      <c r="H243" s="74"/>
      <c r="I243" s="192"/>
      <c r="J243" s="193"/>
      <c r="K243" s="190"/>
      <c r="L243" s="186"/>
      <c r="M243" s="74"/>
      <c r="N243" s="74"/>
      <c r="O243" s="74"/>
      <c r="P243" s="74"/>
      <c r="Q243" s="74"/>
      <c r="R243" s="74"/>
      <c r="S243" s="161"/>
    </row>
    <row r="244" spans="2:19" ht="12.75">
      <c r="B244"/>
      <c r="C244" s="195"/>
      <c r="G244" s="191"/>
      <c r="H244" s="74"/>
      <c r="I244" s="68" t="s">
        <v>281</v>
      </c>
      <c r="J244" s="194">
        <v>0</v>
      </c>
      <c r="K244" s="74"/>
      <c r="L244" s="190"/>
      <c r="M244" s="74"/>
      <c r="N244" s="74"/>
      <c r="O244" s="74"/>
      <c r="P244" s="74"/>
      <c r="Q244" s="74"/>
      <c r="R244" s="74"/>
      <c r="S244" s="161"/>
    </row>
    <row r="245" spans="2:19" ht="12.75">
      <c r="B245"/>
      <c r="C245" s="195"/>
      <c r="G245" s="191"/>
      <c r="H245" s="74"/>
      <c r="I245" s="74" t="s">
        <v>282</v>
      </c>
      <c r="J245" s="196">
        <v>0</v>
      </c>
      <c r="K245" s="74"/>
      <c r="L245" s="74"/>
      <c r="M245" s="74"/>
      <c r="N245" s="74"/>
      <c r="O245" s="74"/>
      <c r="P245" s="74"/>
      <c r="Q245" s="74"/>
      <c r="R245" s="74"/>
      <c r="S245" s="161"/>
    </row>
    <row r="246" spans="2:19" ht="12.75">
      <c r="B246"/>
      <c r="C246" s="195"/>
      <c r="G246" s="191"/>
      <c r="H246" s="74"/>
      <c r="I246" s="74" t="s">
        <v>283</v>
      </c>
      <c r="J246" s="196">
        <v>0</v>
      </c>
      <c r="K246" s="74"/>
      <c r="L246" s="74"/>
      <c r="M246" s="74"/>
      <c r="N246" s="74"/>
      <c r="O246" s="74"/>
      <c r="P246" s="74"/>
      <c r="Q246" s="74"/>
      <c r="R246" s="74"/>
      <c r="S246" s="161"/>
    </row>
    <row r="247" spans="2:19" ht="12.75">
      <c r="B247"/>
      <c r="C247" s="195"/>
      <c r="G247" s="191"/>
      <c r="H247" s="74"/>
      <c r="I247" s="74" t="s">
        <v>284</v>
      </c>
      <c r="J247" s="196">
        <v>0</v>
      </c>
      <c r="K247" s="74"/>
      <c r="L247" s="74"/>
      <c r="M247" s="74"/>
      <c r="N247" s="74"/>
      <c r="O247" s="74"/>
      <c r="P247" s="74"/>
      <c r="Q247" s="74"/>
      <c r="R247" s="74"/>
      <c r="S247" s="161"/>
    </row>
    <row r="248" spans="2:19" ht="12.75">
      <c r="B248"/>
      <c r="C248" s="195"/>
      <c r="G248" s="191"/>
      <c r="H248" s="74"/>
      <c r="I248" s="74" t="s">
        <v>285</v>
      </c>
      <c r="J248" s="196">
        <v>0</v>
      </c>
      <c r="K248" s="74"/>
      <c r="L248" s="74"/>
      <c r="M248" s="74"/>
      <c r="N248" s="74"/>
      <c r="O248" s="74"/>
      <c r="P248" s="74"/>
      <c r="Q248" s="74"/>
      <c r="R248" s="74"/>
      <c r="S248" s="161"/>
    </row>
    <row r="249" spans="2:19" ht="12.75">
      <c r="B249"/>
      <c r="C249" s="195"/>
      <c r="G249" s="191"/>
      <c r="H249" s="74"/>
      <c r="I249" s="74" t="s">
        <v>286</v>
      </c>
      <c r="J249" s="196">
        <v>0</v>
      </c>
      <c r="K249" s="74"/>
      <c r="L249" s="74"/>
      <c r="M249" s="74"/>
      <c r="N249" s="74"/>
      <c r="O249" s="74"/>
      <c r="P249" s="74"/>
      <c r="Q249" s="74"/>
      <c r="R249" s="74"/>
      <c r="S249" s="161"/>
    </row>
    <row r="250" spans="2:19" ht="12.75">
      <c r="B250"/>
      <c r="C250" s="195"/>
      <c r="G250" s="191"/>
      <c r="H250" s="74"/>
      <c r="I250" s="74" t="s">
        <v>287</v>
      </c>
      <c r="J250" s="197">
        <v>0</v>
      </c>
      <c r="K250" s="74"/>
      <c r="L250" s="74"/>
      <c r="M250" s="74"/>
      <c r="N250" s="74"/>
      <c r="O250" s="74"/>
      <c r="P250" s="74"/>
      <c r="Q250" s="74"/>
      <c r="R250" s="74"/>
      <c r="S250" s="161"/>
    </row>
    <row r="251" spans="2:19" ht="12.75">
      <c r="B251"/>
      <c r="C251" s="195"/>
      <c r="G251" s="191"/>
      <c r="H251" s="74" t="s">
        <v>288</v>
      </c>
      <c r="I251" s="74"/>
      <c r="J251" s="196">
        <f>SUM(J244:J250)</f>
        <v>0</v>
      </c>
      <c r="K251" s="74"/>
      <c r="L251" s="74"/>
      <c r="M251" s="74"/>
      <c r="N251" s="74"/>
      <c r="O251" s="74"/>
      <c r="P251" s="74"/>
      <c r="Q251" s="74"/>
      <c r="R251" s="74"/>
      <c r="S251" s="161"/>
    </row>
    <row r="252" spans="2:19" ht="12.75">
      <c r="B252"/>
      <c r="C252" s="195"/>
      <c r="G252" s="191"/>
      <c r="H252" s="74"/>
      <c r="I252" s="74"/>
      <c r="J252" s="196"/>
      <c r="K252" s="74"/>
      <c r="L252" s="74"/>
      <c r="M252" s="74"/>
      <c r="N252" s="74"/>
      <c r="O252" s="74"/>
      <c r="P252" s="74"/>
      <c r="Q252" s="74"/>
      <c r="R252" s="74"/>
      <c r="S252" s="161"/>
    </row>
    <row r="253" spans="2:19" ht="12.75">
      <c r="B253"/>
      <c r="C253" s="195"/>
      <c r="G253" s="191"/>
      <c r="H253" s="74"/>
      <c r="I253" s="74" t="s">
        <v>289</v>
      </c>
      <c r="J253" s="196">
        <v>0</v>
      </c>
      <c r="K253" s="74"/>
      <c r="L253" s="74"/>
      <c r="M253" s="74"/>
      <c r="N253" s="74"/>
      <c r="O253" s="74"/>
      <c r="P253" s="74"/>
      <c r="Q253" s="74"/>
      <c r="R253" s="74"/>
      <c r="S253" s="161"/>
    </row>
    <row r="254" spans="2:19" ht="12.75">
      <c r="B254"/>
      <c r="C254" s="195"/>
      <c r="G254" s="191"/>
      <c r="H254" s="74"/>
      <c r="I254" s="74" t="s">
        <v>290</v>
      </c>
      <c r="J254" s="196">
        <v>0</v>
      </c>
      <c r="K254" s="74"/>
      <c r="L254" s="74"/>
      <c r="M254" s="74"/>
      <c r="N254" s="74"/>
      <c r="O254" s="74"/>
      <c r="P254" s="74"/>
      <c r="Q254" s="74"/>
      <c r="R254" s="74"/>
      <c r="S254" s="161"/>
    </row>
    <row r="255" spans="2:19" ht="12.75">
      <c r="B255"/>
      <c r="C255" s="195"/>
      <c r="G255" s="191"/>
      <c r="H255" s="74"/>
      <c r="I255" s="74" t="s">
        <v>291</v>
      </c>
      <c r="J255" s="196">
        <v>0</v>
      </c>
      <c r="K255" s="74"/>
      <c r="L255" s="74"/>
      <c r="M255" s="74"/>
      <c r="N255" s="74"/>
      <c r="O255" s="74"/>
      <c r="P255" s="74"/>
      <c r="Q255" s="74"/>
      <c r="R255" s="74"/>
      <c r="S255" s="161"/>
    </row>
    <row r="256" spans="2:19" ht="12.75">
      <c r="B256"/>
      <c r="C256" s="195"/>
      <c r="G256" s="191"/>
      <c r="H256" s="74"/>
      <c r="I256" s="74" t="s">
        <v>292</v>
      </c>
      <c r="J256" s="196">
        <v>0</v>
      </c>
      <c r="K256" s="74"/>
      <c r="L256" s="74"/>
      <c r="M256" s="74"/>
      <c r="N256" s="74"/>
      <c r="O256" s="74"/>
      <c r="P256" s="74"/>
      <c r="Q256" s="74"/>
      <c r="R256" s="74"/>
      <c r="S256" s="161"/>
    </row>
    <row r="257" spans="2:19" ht="12.75">
      <c r="B257" s="45"/>
      <c r="C257" s="198"/>
      <c r="G257" s="191"/>
      <c r="H257" s="74"/>
      <c r="I257" s="74" t="s">
        <v>293</v>
      </c>
      <c r="J257" s="196">
        <v>0</v>
      </c>
      <c r="K257" s="74"/>
      <c r="L257" s="74"/>
      <c r="M257" s="74"/>
      <c r="N257" s="74"/>
      <c r="O257" s="74"/>
      <c r="P257" s="74"/>
      <c r="Q257" s="74"/>
      <c r="R257" s="74"/>
      <c r="S257" s="161"/>
    </row>
    <row r="258" spans="2:19" ht="12.75">
      <c r="B258"/>
      <c r="C258" s="195"/>
      <c r="G258" s="191"/>
      <c r="H258" s="74"/>
      <c r="I258" s="74" t="s">
        <v>294</v>
      </c>
      <c r="J258" s="196">
        <v>0</v>
      </c>
      <c r="K258" s="74"/>
      <c r="L258" s="74"/>
      <c r="M258" s="74"/>
      <c r="N258" s="74"/>
      <c r="O258" s="74"/>
      <c r="P258" s="74"/>
      <c r="Q258" s="74"/>
      <c r="R258" s="74"/>
      <c r="S258" s="161"/>
    </row>
    <row r="259" spans="2:19" ht="12.75">
      <c r="B259"/>
      <c r="C259" s="195"/>
      <c r="G259" s="191"/>
      <c r="H259" s="74"/>
      <c r="I259" s="74" t="s">
        <v>295</v>
      </c>
      <c r="J259" s="196">
        <v>0</v>
      </c>
      <c r="K259" s="74"/>
      <c r="L259" s="74"/>
      <c r="M259" s="74"/>
      <c r="N259" s="74"/>
      <c r="O259" s="74"/>
      <c r="P259" s="74"/>
      <c r="Q259" s="74"/>
      <c r="R259" s="74"/>
      <c r="S259" s="161"/>
    </row>
    <row r="260" spans="2:19" ht="12.75">
      <c r="B260"/>
      <c r="C260" s="195"/>
      <c r="G260" s="191"/>
      <c r="H260" s="74"/>
      <c r="I260" s="74" t="s">
        <v>296</v>
      </c>
      <c r="J260" s="196">
        <v>0</v>
      </c>
      <c r="K260" s="74"/>
      <c r="L260" s="74"/>
      <c r="M260" s="74"/>
      <c r="N260" s="74"/>
      <c r="O260" s="74"/>
      <c r="P260" s="74"/>
      <c r="Q260" s="74"/>
      <c r="R260" s="74"/>
      <c r="S260" s="161"/>
    </row>
    <row r="261" spans="2:19" ht="12.75">
      <c r="B261"/>
      <c r="C261" s="195"/>
      <c r="G261" s="191"/>
      <c r="H261" s="74"/>
      <c r="I261" s="74" t="s">
        <v>297</v>
      </c>
      <c r="J261" s="197">
        <v>0</v>
      </c>
      <c r="K261" s="74"/>
      <c r="L261" s="74"/>
      <c r="M261" s="74"/>
      <c r="N261" s="74"/>
      <c r="O261" s="74"/>
      <c r="P261" s="74"/>
      <c r="Q261" s="74" t="s">
        <v>299</v>
      </c>
      <c r="R261" s="74"/>
      <c r="S261" s="161"/>
    </row>
    <row r="262" spans="2:19" ht="12.75">
      <c r="B262"/>
      <c r="C262" s="195"/>
      <c r="G262" s="191"/>
      <c r="H262" s="74"/>
      <c r="I262" s="74"/>
      <c r="J262" s="196">
        <f>SUM(J251:J261)</f>
        <v>0</v>
      </c>
      <c r="K262" s="74"/>
      <c r="L262" s="74"/>
      <c r="M262" s="74"/>
      <c r="N262" s="74"/>
      <c r="O262" s="74"/>
      <c r="P262" s="196">
        <v>-31732</v>
      </c>
      <c r="Q262" s="74"/>
      <c r="R262" s="74"/>
      <c r="S262" s="161"/>
    </row>
    <row r="263" spans="2:19" ht="12.75">
      <c r="B263"/>
      <c r="C263" s="195"/>
      <c r="G263" s="191"/>
      <c r="H263" s="74" t="s">
        <v>298</v>
      </c>
      <c r="I263" s="74"/>
      <c r="J263" s="196"/>
      <c r="K263" s="74"/>
      <c r="L263" s="74"/>
      <c r="M263" s="74"/>
      <c r="N263" s="74"/>
      <c r="O263" s="74"/>
      <c r="P263" s="196"/>
      <c r="Q263" s="74"/>
      <c r="R263" s="74"/>
      <c r="S263" s="161"/>
    </row>
    <row r="264" spans="2:19" ht="12.75">
      <c r="B264"/>
      <c r="C264" s="195"/>
      <c r="G264" s="191"/>
      <c r="H264" s="74"/>
      <c r="I264" s="74"/>
      <c r="J264" s="196"/>
      <c r="K264" s="74"/>
      <c r="L264" s="74"/>
      <c r="M264" s="74"/>
      <c r="N264" s="74"/>
      <c r="O264" s="74"/>
      <c r="P264" s="196"/>
      <c r="Q264" s="74" t="s">
        <v>38</v>
      </c>
      <c r="R264" s="74"/>
      <c r="S264" s="161"/>
    </row>
    <row r="265" spans="2:19" ht="12.75">
      <c r="B265"/>
      <c r="C265" s="195"/>
      <c r="G265" s="191"/>
      <c r="H265" s="74"/>
      <c r="I265" s="74" t="s">
        <v>300</v>
      </c>
      <c r="J265" s="199">
        <v>-862</v>
      </c>
      <c r="K265" s="74"/>
      <c r="L265" s="74"/>
      <c r="M265" s="74"/>
      <c r="N265" s="74"/>
      <c r="O265" s="74"/>
      <c r="P265" s="196">
        <f>K274</f>
        <v>-4368</v>
      </c>
      <c r="Q265" s="74" t="s">
        <v>304</v>
      </c>
      <c r="R265" s="74"/>
      <c r="S265" s="161"/>
    </row>
    <row r="266" spans="2:19" ht="12.75">
      <c r="B266"/>
      <c r="C266" s="195"/>
      <c r="G266" s="191"/>
      <c r="H266" s="74"/>
      <c r="I266" s="200" t="s">
        <v>300</v>
      </c>
      <c r="J266" s="201">
        <v>-1</v>
      </c>
      <c r="K266" s="74"/>
      <c r="L266" s="74"/>
      <c r="M266" s="74"/>
      <c r="N266" s="74" t="s">
        <v>302</v>
      </c>
      <c r="O266" s="74"/>
      <c r="P266" s="197">
        <v>-2500</v>
      </c>
      <c r="Q266" s="74"/>
      <c r="R266" s="74"/>
      <c r="S266" s="161"/>
    </row>
    <row r="267" spans="2:19" ht="12.75">
      <c r="B267"/>
      <c r="C267" s="195"/>
      <c r="G267" s="191"/>
      <c r="H267" s="74"/>
      <c r="I267" s="200" t="s">
        <v>301</v>
      </c>
      <c r="J267" s="201">
        <v>-1</v>
      </c>
      <c r="K267" s="74"/>
      <c r="L267" s="74"/>
      <c r="M267" s="74"/>
      <c r="N267" s="74"/>
      <c r="O267" s="196"/>
      <c r="P267" s="74"/>
      <c r="Q267" s="74" t="s">
        <v>308</v>
      </c>
      <c r="R267" s="74"/>
      <c r="S267" s="161"/>
    </row>
    <row r="268" spans="2:19" ht="12.75">
      <c r="B268"/>
      <c r="C268"/>
      <c r="G268" s="191"/>
      <c r="H268" s="74"/>
      <c r="I268" s="137" t="s">
        <v>303</v>
      </c>
      <c r="J268" s="202">
        <v>-1500</v>
      </c>
      <c r="K268" s="74"/>
      <c r="L268" s="74"/>
      <c r="M268" s="74"/>
      <c r="N268" s="74" t="s">
        <v>306</v>
      </c>
      <c r="O268" s="74"/>
      <c r="P268" s="196">
        <f>SUM(P262:P266)</f>
        <v>-38600</v>
      </c>
      <c r="Q268" s="74"/>
      <c r="R268" s="74"/>
      <c r="S268" s="161"/>
    </row>
    <row r="269" spans="2:19" ht="12.75">
      <c r="B269"/>
      <c r="C269"/>
      <c r="G269" s="191"/>
      <c r="H269" s="74"/>
      <c r="I269" s="200" t="s">
        <v>305</v>
      </c>
      <c r="J269" s="201">
        <v>-1</v>
      </c>
      <c r="K269" s="74"/>
      <c r="L269" s="74"/>
      <c r="M269" s="196">
        <v>525707</v>
      </c>
      <c r="N269" s="74"/>
      <c r="O269" s="74"/>
      <c r="P269" s="74"/>
      <c r="Q269" s="74"/>
      <c r="R269" s="74"/>
      <c r="S269" s="161"/>
    </row>
    <row r="270" spans="2:19" ht="12.75">
      <c r="B270"/>
      <c r="C270"/>
      <c r="G270" s="191"/>
      <c r="H270" s="74"/>
      <c r="I270" s="200" t="s">
        <v>307</v>
      </c>
      <c r="J270" s="201">
        <v>-1</v>
      </c>
      <c r="K270" s="74"/>
      <c r="L270" s="74"/>
      <c r="M270" s="196"/>
      <c r="N270" s="74"/>
      <c r="O270" s="74"/>
      <c r="P270" s="203">
        <f>P268+M274</f>
        <v>-6867</v>
      </c>
      <c r="Q270" s="74"/>
      <c r="R270" s="74"/>
      <c r="S270" s="204">
        <f>22000+P270</f>
        <v>15133</v>
      </c>
    </row>
    <row r="271" spans="2:19" ht="12.75">
      <c r="B271"/>
      <c r="C271"/>
      <c r="G271" s="191"/>
      <c r="H271" s="74"/>
      <c r="I271" s="137" t="s">
        <v>309</v>
      </c>
      <c r="J271" s="202">
        <v>-1000</v>
      </c>
      <c r="K271" s="74"/>
      <c r="L271" s="74"/>
      <c r="M271" s="196"/>
      <c r="N271" s="74"/>
      <c r="O271" s="74"/>
      <c r="P271" s="74"/>
      <c r="Q271" s="74"/>
      <c r="R271" s="74"/>
      <c r="S271" s="161"/>
    </row>
    <row r="272" spans="2:19" ht="12.75">
      <c r="B272"/>
      <c r="C272"/>
      <c r="G272" s="191"/>
      <c r="H272" s="74"/>
      <c r="I272" s="200" t="s">
        <v>310</v>
      </c>
      <c r="J272" s="201">
        <v>-1</v>
      </c>
      <c r="K272" s="74"/>
      <c r="L272" s="74"/>
      <c r="M272" s="196">
        <v>493974</v>
      </c>
      <c r="N272" s="74"/>
      <c r="O272" s="74"/>
      <c r="P272" s="74"/>
      <c r="Q272" s="74"/>
      <c r="R272" s="74"/>
      <c r="S272" s="161"/>
    </row>
    <row r="273" spans="2:19" ht="12.75">
      <c r="B273" s="45"/>
      <c r="C273" s="45"/>
      <c r="G273" s="191"/>
      <c r="H273" s="74"/>
      <c r="I273" s="137" t="s">
        <v>311</v>
      </c>
      <c r="J273" s="202">
        <v>-1000</v>
      </c>
      <c r="K273" s="74"/>
      <c r="L273" s="74"/>
      <c r="M273" s="196"/>
      <c r="N273" s="74"/>
      <c r="O273" s="74"/>
      <c r="P273" s="74"/>
      <c r="Q273" s="74"/>
      <c r="R273" s="74"/>
      <c r="S273" s="161"/>
    </row>
    <row r="274" spans="2:19" ht="12.75">
      <c r="B274"/>
      <c r="C274"/>
      <c r="G274" s="191"/>
      <c r="H274" s="74"/>
      <c r="I274" s="200" t="s">
        <v>102</v>
      </c>
      <c r="J274" s="201">
        <v>-1</v>
      </c>
      <c r="K274" s="203">
        <f>SUM(J265:J274)</f>
        <v>-4368</v>
      </c>
      <c r="L274" s="74"/>
      <c r="M274" s="196">
        <f>M269-M272</f>
        <v>31733</v>
      </c>
      <c r="N274" s="74"/>
      <c r="O274" s="74"/>
      <c r="P274" s="74"/>
      <c r="Q274" s="74"/>
      <c r="R274" s="74"/>
      <c r="S274" s="161"/>
    </row>
    <row r="275" spans="2:19" ht="12.75">
      <c r="B275"/>
      <c r="C275"/>
      <c r="G275" s="191"/>
      <c r="H275" s="74"/>
      <c r="I275" s="74" t="s">
        <v>312</v>
      </c>
      <c r="J275" s="197">
        <f>-M274-K274</f>
        <v>-27365</v>
      </c>
      <c r="K275" s="203"/>
      <c r="L275" s="74"/>
      <c r="M275" s="74"/>
      <c r="N275" s="74"/>
      <c r="O275" s="74"/>
      <c r="P275" s="74"/>
      <c r="Q275" s="74"/>
      <c r="R275" s="74"/>
      <c r="S275" s="161"/>
    </row>
    <row r="276" spans="2:19" ht="12.75">
      <c r="B276"/>
      <c r="C276"/>
      <c r="G276" s="191"/>
      <c r="H276" s="74" t="s">
        <v>313</v>
      </c>
      <c r="I276" s="74"/>
      <c r="J276" s="196">
        <f>SUM(J262:J275)</f>
        <v>-31733</v>
      </c>
      <c r="K276" s="74"/>
      <c r="L276" s="74"/>
      <c r="M276" s="74"/>
      <c r="N276" s="74"/>
      <c r="O276" s="74"/>
      <c r="P276" s="74"/>
      <c r="Q276" s="74"/>
      <c r="R276" s="74"/>
      <c r="S276" s="161"/>
    </row>
    <row r="277" spans="2:19" ht="12.75">
      <c r="B277"/>
      <c r="C277"/>
      <c r="G277" s="191"/>
      <c r="H277" s="74"/>
      <c r="I277" s="74"/>
      <c r="J277" s="196"/>
      <c r="K277" s="74"/>
      <c r="L277" s="74"/>
      <c r="M277" s="203">
        <f>M274+K274</f>
        <v>27365</v>
      </c>
      <c r="N277" s="74"/>
      <c r="O277" s="207"/>
      <c r="P277" s="207"/>
      <c r="Q277" s="207"/>
      <c r="R277" s="207"/>
      <c r="S277" s="153"/>
    </row>
    <row r="278" spans="2:19" ht="12.75">
      <c r="B278"/>
      <c r="C278"/>
      <c r="G278" s="206"/>
      <c r="H278" s="74"/>
      <c r="I278" s="74" t="s">
        <v>314</v>
      </c>
      <c r="J278" s="196">
        <v>3915</v>
      </c>
      <c r="K278" s="74"/>
      <c r="L278" s="74"/>
      <c r="M278" s="203"/>
      <c r="N278" s="74"/>
      <c r="S278" s="153"/>
    </row>
    <row r="279" spans="2:19" ht="12.75">
      <c r="B279" s="45"/>
      <c r="C279" s="45"/>
      <c r="H279" s="205" t="s">
        <v>315</v>
      </c>
      <c r="I279" s="74"/>
      <c r="J279" s="196"/>
      <c r="K279" s="74"/>
      <c r="L279" s="74"/>
      <c r="M279" s="203"/>
      <c r="N279" s="207"/>
    </row>
    <row r="280" spans="2:19" ht="13.5" thickBot="1">
      <c r="B280"/>
      <c r="C280"/>
      <c r="H280" s="207"/>
      <c r="I280" s="74"/>
      <c r="J280" s="208">
        <f>SUM(J276:J279)</f>
        <v>-27818</v>
      </c>
      <c r="K280" s="74"/>
      <c r="L280" s="74"/>
      <c r="M280" s="207"/>
    </row>
    <row r="281" spans="2:19" ht="13.5" thickTop="1">
      <c r="B281" s="66"/>
      <c r="C281" s="66"/>
      <c r="I281" s="207"/>
      <c r="J281" s="197"/>
      <c r="K281" s="207"/>
      <c r="L281" s="74"/>
      <c r="M281" s="74"/>
    </row>
    <row r="282" spans="2:19" ht="12.75">
      <c r="B282"/>
      <c r="C282"/>
      <c r="J282" s="209"/>
      <c r="L282" s="207"/>
      <c r="M282" s="74"/>
    </row>
    <row r="283" spans="2:19" ht="12.75">
      <c r="B283"/>
      <c r="C283"/>
      <c r="J283" s="209"/>
      <c r="L283" s="74"/>
      <c r="M283" s="74"/>
    </row>
    <row r="284" spans="2:19" ht="12.75">
      <c r="B284"/>
      <c r="C284"/>
      <c r="J284" s="209">
        <f>551878-11621</f>
        <v>540257</v>
      </c>
      <c r="L284" s="74"/>
      <c r="M284" s="74"/>
    </row>
    <row r="285" spans="2:19" ht="12.75">
      <c r="B285"/>
      <c r="C285"/>
      <c r="J285" s="209"/>
      <c r="L285" s="74"/>
    </row>
    <row r="286" spans="2:19" ht="12.75">
      <c r="B286"/>
      <c r="C286"/>
      <c r="J286" s="209"/>
      <c r="L286" s="74"/>
    </row>
    <row r="287" spans="2:19" ht="12.75">
      <c r="B287"/>
      <c r="C287"/>
      <c r="J287" s="209"/>
      <c r="L287" s="74"/>
    </row>
    <row r="288" spans="2:19" ht="12.75">
      <c r="B288"/>
      <c r="C288"/>
      <c r="J288" s="209"/>
    </row>
    <row r="289" spans="2:10" ht="12.75">
      <c r="B289"/>
      <c r="C289"/>
      <c r="J289" s="209"/>
    </row>
    <row r="290" spans="2:10" ht="12.75">
      <c r="B290"/>
      <c r="C290"/>
      <c r="J290" s="209"/>
    </row>
    <row r="291" spans="2:10" ht="12.75">
      <c r="B291"/>
      <c r="C291"/>
      <c r="J291" s="209"/>
    </row>
    <row r="292" spans="2:10" ht="12.75">
      <c r="B292"/>
      <c r="C292"/>
      <c r="J292" s="209"/>
    </row>
    <row r="293" spans="2:10" ht="12.75">
      <c r="B293"/>
      <c r="C293"/>
      <c r="J293" s="209"/>
    </row>
    <row r="294" spans="2:10" ht="12.75">
      <c r="B294"/>
      <c r="C294"/>
      <c r="J294" s="209"/>
    </row>
    <row r="295" spans="2:10" ht="12.75">
      <c r="B295"/>
      <c r="C295"/>
      <c r="J295" s="209"/>
    </row>
    <row r="296" spans="2:10" ht="12.75">
      <c r="B296"/>
      <c r="C296"/>
      <c r="J296" s="209"/>
    </row>
    <row r="297" spans="2:10" ht="12.75">
      <c r="B297"/>
      <c r="C297"/>
      <c r="J297" s="209"/>
    </row>
    <row r="298" spans="2:10" ht="12.75">
      <c r="B298"/>
      <c r="C298"/>
      <c r="J298" s="209"/>
    </row>
    <row r="299" spans="2:10" ht="12.75">
      <c r="B299" s="210"/>
      <c r="C299" s="210"/>
      <c r="J299" s="209"/>
    </row>
    <row r="300" spans="2:10" ht="12.75">
      <c r="B300" s="210"/>
      <c r="C300" s="210"/>
      <c r="J300" s="209"/>
    </row>
    <row r="301" spans="2:10" ht="12.75">
      <c r="B301"/>
      <c r="C301"/>
      <c r="J301" s="209"/>
    </row>
    <row r="302" spans="2:10" ht="12.75">
      <c r="B302"/>
      <c r="C302"/>
      <c r="J302" s="209"/>
    </row>
    <row r="303" spans="2:10">
      <c r="J303" s="209"/>
    </row>
    <row r="304" spans="2:10">
      <c r="J304" s="209"/>
    </row>
    <row r="305" spans="10:10">
      <c r="J305" s="209"/>
    </row>
    <row r="306" spans="10:10">
      <c r="J306" s="209"/>
    </row>
    <row r="307" spans="10:10">
      <c r="J307" s="209"/>
    </row>
    <row r="308" spans="10:10">
      <c r="J308" s="209"/>
    </row>
    <row r="309" spans="10:10">
      <c r="J309" s="209"/>
    </row>
    <row r="310" spans="10:10">
      <c r="J310" s="209"/>
    </row>
    <row r="311" spans="10:10">
      <c r="J311" s="209"/>
    </row>
    <row r="312" spans="10:10">
      <c r="J312" s="209"/>
    </row>
    <row r="313" spans="10:10">
      <c r="J313" s="209"/>
    </row>
    <row r="314" spans="10:10">
      <c r="J314" s="209"/>
    </row>
    <row r="315" spans="10:10">
      <c r="J315" s="209"/>
    </row>
    <row r="316" spans="10:10">
      <c r="J316" s="209"/>
    </row>
    <row r="317" spans="10:10">
      <c r="J317" s="209"/>
    </row>
    <row r="318" spans="10:10">
      <c r="J318" s="209"/>
    </row>
    <row r="319" spans="10:10">
      <c r="J319" s="209"/>
    </row>
    <row r="320" spans="10:10">
      <c r="J320" s="209"/>
    </row>
    <row r="321" spans="10:10">
      <c r="J321" s="209"/>
    </row>
    <row r="322" spans="10:10">
      <c r="J322" s="209"/>
    </row>
    <row r="323" spans="10:10">
      <c r="J323" s="209"/>
    </row>
    <row r="324" spans="10:10">
      <c r="J324" s="209"/>
    </row>
    <row r="325" spans="10:10">
      <c r="J325" s="209"/>
    </row>
    <row r="326" spans="10:10">
      <c r="J326" s="209"/>
    </row>
    <row r="327" spans="10:10">
      <c r="J327" s="209"/>
    </row>
    <row r="328" spans="10:10">
      <c r="J328" s="209"/>
    </row>
    <row r="329" spans="10:10">
      <c r="J329" s="209"/>
    </row>
    <row r="330" spans="10:10">
      <c r="J330" s="209"/>
    </row>
    <row r="331" spans="10:10">
      <c r="J331" s="209"/>
    </row>
    <row r="332" spans="10:10">
      <c r="J332" s="209"/>
    </row>
    <row r="333" spans="10:10">
      <c r="J333" s="209"/>
    </row>
    <row r="334" spans="10:10">
      <c r="J334" s="209"/>
    </row>
    <row r="335" spans="10:10">
      <c r="J335" s="209"/>
    </row>
    <row r="336" spans="10:10">
      <c r="J336" s="209"/>
    </row>
    <row r="337" spans="10:10">
      <c r="J337" s="209"/>
    </row>
    <row r="338" spans="10:10">
      <c r="J338" s="209"/>
    </row>
    <row r="339" spans="10:10">
      <c r="J339" s="209"/>
    </row>
    <row r="340" spans="10:10">
      <c r="J340" s="209"/>
    </row>
    <row r="341" spans="10:10">
      <c r="J341" s="209"/>
    </row>
    <row r="342" spans="10:10">
      <c r="J342" s="209"/>
    </row>
    <row r="343" spans="10:10">
      <c r="J343" s="209"/>
    </row>
    <row r="344" spans="10:10">
      <c r="J344" s="209"/>
    </row>
    <row r="345" spans="10:10">
      <c r="J345" s="209"/>
    </row>
    <row r="346" spans="10:10">
      <c r="J346" s="209"/>
    </row>
    <row r="347" spans="10:10">
      <c r="J347" s="209"/>
    </row>
    <row r="348" spans="10:10">
      <c r="J348" s="209"/>
    </row>
    <row r="349" spans="10:10">
      <c r="J349" s="209"/>
    </row>
    <row r="350" spans="10:10">
      <c r="J350" s="209"/>
    </row>
    <row r="351" spans="10:10">
      <c r="J351" s="209"/>
    </row>
    <row r="352" spans="10:10">
      <c r="J352" s="209"/>
    </row>
    <row r="353" spans="10:10">
      <c r="J353" s="209"/>
    </row>
    <row r="354" spans="10:10">
      <c r="J354" s="209"/>
    </row>
    <row r="355" spans="10:10">
      <c r="J355" s="209"/>
    </row>
    <row r="356" spans="10:10">
      <c r="J356" s="209"/>
    </row>
    <row r="357" spans="10:10">
      <c r="J357" s="209"/>
    </row>
    <row r="358" spans="10:10">
      <c r="J358" s="209"/>
    </row>
    <row r="359" spans="10:10">
      <c r="J359" s="209"/>
    </row>
    <row r="360" spans="10:10">
      <c r="J360" s="209"/>
    </row>
    <row r="361" spans="10:10">
      <c r="J361" s="209"/>
    </row>
    <row r="362" spans="10:10">
      <c r="J362" s="209"/>
    </row>
    <row r="363" spans="10:10">
      <c r="J363" s="209"/>
    </row>
    <row r="364" spans="10:10">
      <c r="J364" s="209"/>
    </row>
    <row r="365" spans="10:10">
      <c r="J365" s="209"/>
    </row>
    <row r="366" spans="10:10">
      <c r="J366" s="209"/>
    </row>
    <row r="367" spans="10:10">
      <c r="J367" s="209"/>
    </row>
    <row r="368" spans="10:10">
      <c r="J368" s="209"/>
    </row>
    <row r="369" spans="10:10">
      <c r="J369" s="209"/>
    </row>
    <row r="370" spans="10:10">
      <c r="J370" s="209"/>
    </row>
    <row r="371" spans="10:10">
      <c r="J371" s="209"/>
    </row>
    <row r="372" spans="10:10">
      <c r="J372" s="209"/>
    </row>
    <row r="373" spans="10:10">
      <c r="J373" s="209"/>
    </row>
    <row r="374" spans="10:10">
      <c r="J374" s="209"/>
    </row>
    <row r="375" spans="10:10">
      <c r="J375" s="209"/>
    </row>
    <row r="376" spans="10:10">
      <c r="J376" s="209"/>
    </row>
    <row r="377" spans="10:10">
      <c r="J377" s="209"/>
    </row>
    <row r="378" spans="10:10">
      <c r="J378" s="209"/>
    </row>
    <row r="379" spans="10:10">
      <c r="J379" s="209"/>
    </row>
    <row r="380" spans="10:10">
      <c r="J380" s="209"/>
    </row>
    <row r="381" spans="10:10">
      <c r="J381" s="209"/>
    </row>
    <row r="382" spans="10:10">
      <c r="J382" s="209"/>
    </row>
    <row r="383" spans="10:10">
      <c r="J383" s="209"/>
    </row>
    <row r="384" spans="10:10">
      <c r="J384" s="209"/>
    </row>
  </sheetData>
  <mergeCells count="6">
    <mergeCell ref="A129:C129"/>
    <mergeCell ref="K6:L6"/>
    <mergeCell ref="I31:J31"/>
    <mergeCell ref="I36:J36"/>
    <mergeCell ref="I43:J43"/>
    <mergeCell ref="A31:D31"/>
  </mergeCells>
  <printOptions horizontalCentered="1" verticalCentered="1"/>
  <pageMargins left="0.25" right="0.25" top="0.75" bottom="0.25" header="0" footer="0.25"/>
  <pageSetup scale="60" orientation="portrait" horizontalDpi="4294967292" r:id="rId1"/>
  <headerFooter alignWithMargins="0">
    <oddFooter>&amp;L&amp;8Tx Desk Logistics - Daren Farmer&amp;R&amp;8&amp;D
&amp;T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J396"/>
  <sheetViews>
    <sheetView showGridLines="0" tabSelected="1" topLeftCell="A105" zoomScale="80" workbookViewId="0">
      <selection activeCell="A136" sqref="A136"/>
    </sheetView>
  </sheetViews>
  <sheetFormatPr defaultRowHeight="12"/>
  <cols>
    <col min="1" max="2" width="12.140625" style="12" customWidth="1"/>
    <col min="3" max="3" width="11.28515625" style="12" customWidth="1"/>
    <col min="4" max="4" width="11.85546875" style="12" customWidth="1"/>
    <col min="5" max="5" width="11.5703125" style="12" customWidth="1"/>
    <col min="6" max="6" width="11.7109375" style="12" customWidth="1"/>
    <col min="7" max="7" width="11.85546875" style="12" customWidth="1"/>
    <col min="8" max="8" width="11.7109375" style="12" customWidth="1"/>
    <col min="9" max="9" width="11.85546875" style="12" customWidth="1"/>
    <col min="10" max="10" width="8.85546875" style="12" customWidth="1"/>
    <col min="11" max="11" width="11.85546875" style="12" customWidth="1"/>
    <col min="12" max="12" width="9.140625" style="12"/>
    <col min="13" max="13" width="11" style="12" bestFit="1" customWidth="1"/>
    <col min="14" max="14" width="9.140625" style="12"/>
    <col min="15" max="15" width="5.5703125" style="12" customWidth="1"/>
    <col min="16" max="16384" width="9.140625" style="12"/>
  </cols>
  <sheetData>
    <row r="1" spans="1:16" s="7" customFormat="1" ht="16.5" thickBot="1">
      <c r="A1" s="1" t="s">
        <v>374</v>
      </c>
      <c r="B1" s="2"/>
      <c r="C1" s="3"/>
      <c r="D1" s="4"/>
      <c r="E1" s="2"/>
      <c r="F1" s="2"/>
      <c r="G1" s="2"/>
      <c r="H1" s="5"/>
      <c r="I1" s="6"/>
    </row>
    <row r="2" spans="1:16" ht="12.75">
      <c r="A2" s="8"/>
      <c r="B2" s="9"/>
      <c r="C2" s="9"/>
      <c r="D2" s="10"/>
      <c r="E2" s="10"/>
      <c r="F2" s="10"/>
      <c r="G2" s="9"/>
      <c r="H2" s="11"/>
    </row>
    <row r="3" spans="1:16" ht="13.5" thickBot="1">
      <c r="A3" s="13"/>
      <c r="B3" s="14"/>
      <c r="C3" s="15"/>
      <c r="D3" s="10"/>
      <c r="E3" s="15"/>
      <c r="F3" s="15"/>
      <c r="G3" s="15"/>
      <c r="H3" s="11"/>
    </row>
    <row r="4" spans="1:16" ht="12.75">
      <c r="A4" s="16"/>
      <c r="B4" s="9"/>
      <c r="C4" s="9"/>
      <c r="D4" s="17" t="s">
        <v>512</v>
      </c>
      <c r="E4" s="18"/>
      <c r="F4" s="18"/>
      <c r="G4" s="19"/>
      <c r="H4" s="20"/>
      <c r="L4"/>
    </row>
    <row r="5" spans="1:16" ht="13.5" thickBot="1">
      <c r="A5" s="21"/>
      <c r="B5" s="22"/>
      <c r="C5" s="22"/>
      <c r="D5" s="233" t="s">
        <v>328</v>
      </c>
      <c r="E5" s="23" t="s">
        <v>479</v>
      </c>
      <c r="F5" s="23" t="str">
        <f>D4</f>
        <v>June</v>
      </c>
      <c r="G5" s="24" t="str">
        <f>+F5</f>
        <v>June</v>
      </c>
      <c r="H5" s="25" t="str">
        <f>+F5</f>
        <v>June</v>
      </c>
      <c r="L5"/>
    </row>
    <row r="6" spans="1:16" ht="13.5" thickBot="1">
      <c r="A6" s="21"/>
      <c r="B6" s="22"/>
      <c r="C6" s="22"/>
      <c r="D6" s="26" t="s">
        <v>1</v>
      </c>
      <c r="E6" s="309" t="s">
        <v>328</v>
      </c>
      <c r="F6" s="27">
        <v>99</v>
      </c>
      <c r="G6" s="28" t="s">
        <v>2</v>
      </c>
      <c r="H6" s="29" t="s">
        <v>3</v>
      </c>
      <c r="I6" s="30"/>
      <c r="K6" s="424" t="s">
        <v>4</v>
      </c>
      <c r="L6" s="425"/>
    </row>
    <row r="7" spans="1:16" ht="12.75">
      <c r="A7" s="31" t="s">
        <v>5</v>
      </c>
      <c r="B7" s="22"/>
      <c r="D7" s="32">
        <f>C226+C246</f>
        <v>429.91199999999998</v>
      </c>
      <c r="E7" s="219">
        <f>(18555.692*0.75)/21-E11-E12</f>
        <v>462.36052380952378</v>
      </c>
      <c r="F7" s="32">
        <v>560.5</v>
      </c>
      <c r="G7" s="220">
        <f>D7*1.1</f>
        <v>472.90320000000003</v>
      </c>
      <c r="H7" s="221">
        <f>D7*0.9</f>
        <v>386.92079999999999</v>
      </c>
      <c r="I7" s="33"/>
      <c r="K7" s="34" t="s">
        <v>6</v>
      </c>
      <c r="L7" s="35">
        <f>C149</f>
        <v>13</v>
      </c>
      <c r="N7"/>
      <c r="O7"/>
    </row>
    <row r="8" spans="1:16" ht="12.75">
      <c r="A8" s="31" t="s">
        <v>511</v>
      </c>
      <c r="B8" s="22"/>
      <c r="C8" s="36"/>
      <c r="D8" s="396">
        <f>73+85</f>
        <v>158</v>
      </c>
      <c r="E8" s="219">
        <f>(1484.225/21)+(1954.867/21)</f>
        <v>163.76628571428569</v>
      </c>
      <c r="F8" s="37">
        <v>125.2</v>
      </c>
      <c r="G8" s="222">
        <f>73+105</f>
        <v>178</v>
      </c>
      <c r="H8" s="221">
        <f>65.7+60</f>
        <v>125.7</v>
      </c>
      <c r="I8" s="30"/>
      <c r="K8" s="38" t="s">
        <v>7</v>
      </c>
      <c r="L8" s="39">
        <f>C150+C230</f>
        <v>0</v>
      </c>
      <c r="N8"/>
      <c r="O8"/>
    </row>
    <row r="9" spans="1:16" ht="12.75">
      <c r="A9" s="31" t="s">
        <v>8</v>
      </c>
      <c r="B9" s="22"/>
      <c r="C9" s="10"/>
      <c r="D9" s="396">
        <f>25+10</f>
        <v>35</v>
      </c>
      <c r="E9" s="219">
        <f>31.475+10</f>
        <v>41.475000000000001</v>
      </c>
      <c r="F9" s="37">
        <v>30.1</v>
      </c>
      <c r="G9" s="222">
        <v>60</v>
      </c>
      <c r="H9" s="221">
        <v>20</v>
      </c>
      <c r="I9" s="30"/>
      <c r="K9" s="38" t="s">
        <v>9</v>
      </c>
      <c r="L9" s="263">
        <f>C155+C232</f>
        <v>20</v>
      </c>
      <c r="N9"/>
      <c r="O9"/>
    </row>
    <row r="10" spans="1:16" ht="12.75">
      <c r="A10" s="31" t="s">
        <v>10</v>
      </c>
      <c r="B10" s="22"/>
      <c r="C10" s="22"/>
      <c r="D10" s="396">
        <f>31+10</f>
        <v>41</v>
      </c>
      <c r="E10" s="219">
        <f>(88.576/21)+(505.701/21)+(70.139/21)+10</f>
        <v>41.638857142857141</v>
      </c>
      <c r="F10" s="37">
        <v>99.9</v>
      </c>
      <c r="G10" s="222">
        <v>0</v>
      </c>
      <c r="H10" s="221">
        <v>0</v>
      </c>
      <c r="I10" s="40"/>
      <c r="K10" s="38" t="s">
        <v>11</v>
      </c>
      <c r="L10" s="39">
        <f>C157+C233</f>
        <v>5</v>
      </c>
      <c r="N10"/>
      <c r="O10"/>
    </row>
    <row r="11" spans="1:16" ht="12.75">
      <c r="A11" s="31" t="s">
        <v>330</v>
      </c>
      <c r="B11" s="22"/>
      <c r="C11" s="22"/>
      <c r="D11" s="396">
        <f>100+5+0.4</f>
        <v>105.4</v>
      </c>
      <c r="E11" s="219">
        <f>+(2136.132+109.248+0.4)/21</f>
        <v>106.94190476190477</v>
      </c>
      <c r="F11" s="37">
        <v>89.7</v>
      </c>
      <c r="G11" s="222">
        <v>145</v>
      </c>
      <c r="H11" s="221">
        <v>90</v>
      </c>
      <c r="I11" s="30"/>
      <c r="K11" s="38" t="s">
        <v>12</v>
      </c>
      <c r="L11" s="39">
        <f>C165+C234</f>
        <v>0.6</v>
      </c>
      <c r="N11"/>
      <c r="O11"/>
    </row>
    <row r="12" spans="1:16" ht="12.75">
      <c r="A12" s="31" t="s">
        <v>13</v>
      </c>
      <c r="B12" s="22"/>
      <c r="C12" s="22"/>
      <c r="D12" s="396">
        <v>95</v>
      </c>
      <c r="E12" s="219">
        <f>+(1050+15.085+0.943+840+73.945)/21-(18.555/21)</f>
        <v>93.400857142857134</v>
      </c>
      <c r="F12" s="37">
        <v>134.6</v>
      </c>
      <c r="G12" s="222">
        <f>90*1.05</f>
        <v>94.5</v>
      </c>
      <c r="H12" s="221">
        <f>90*0.95</f>
        <v>85.5</v>
      </c>
      <c r="I12" s="30"/>
      <c r="K12" s="38" t="s">
        <v>14</v>
      </c>
      <c r="L12" s="39">
        <f>C177+C237</f>
        <v>2.5</v>
      </c>
      <c r="N12"/>
      <c r="O12"/>
    </row>
    <row r="13" spans="1:16" ht="12.75">
      <c r="A13" s="31" t="s">
        <v>15</v>
      </c>
      <c r="B13" s="393" t="s">
        <v>524</v>
      </c>
      <c r="C13" s="22"/>
      <c r="D13" s="37">
        <f>65+40</f>
        <v>105</v>
      </c>
      <c r="E13" s="219">
        <v>105.754</v>
      </c>
      <c r="F13" s="37">
        <f>3680.677/30</f>
        <v>122.68923333333333</v>
      </c>
      <c r="G13" s="222">
        <v>180</v>
      </c>
      <c r="H13" s="221">
        <v>0</v>
      </c>
      <c r="I13" s="30"/>
      <c r="J13"/>
      <c r="K13" s="38" t="s">
        <v>16</v>
      </c>
      <c r="L13" s="39">
        <f>C176+C236</f>
        <v>0.18</v>
      </c>
      <c r="N13"/>
      <c r="O13"/>
    </row>
    <row r="14" spans="1:16" ht="12.75">
      <c r="A14" s="31" t="s">
        <v>17</v>
      </c>
      <c r="B14" s="22"/>
      <c r="C14" s="22"/>
      <c r="D14" s="37">
        <f>B103</f>
        <v>5.617</v>
      </c>
      <c r="E14" s="219">
        <f>May!D14</f>
        <v>10.016999999999999</v>
      </c>
      <c r="F14" s="37">
        <v>4.5</v>
      </c>
      <c r="G14" s="222">
        <f>D14*1.05</f>
        <v>5.89785</v>
      </c>
      <c r="H14" s="221">
        <f>D14*0.95</f>
        <v>5.3361499999999999</v>
      </c>
      <c r="I14" s="30"/>
      <c r="K14" s="38" t="s">
        <v>18</v>
      </c>
      <c r="L14" s="39">
        <f>C180+C238</f>
        <v>10.9</v>
      </c>
      <c r="N14"/>
      <c r="O14"/>
    </row>
    <row r="15" spans="1:16" ht="12.75">
      <c r="A15" s="31" t="s">
        <v>373</v>
      </c>
      <c r="B15" s="22"/>
      <c r="C15" s="368" t="s">
        <v>518</v>
      </c>
      <c r="D15" s="37">
        <f>SUM(D16:D18)</f>
        <v>170.393</v>
      </c>
      <c r="E15" s="219">
        <f>SUM(E16:E18)</f>
        <v>175.62</v>
      </c>
      <c r="F15" s="37">
        <f>SUM(F16:F18)</f>
        <v>122</v>
      </c>
      <c r="G15" s="222">
        <v>1174</v>
      </c>
      <c r="H15" s="221">
        <v>0</v>
      </c>
      <c r="I15" s="30"/>
      <c r="K15" s="38" t="s">
        <v>20</v>
      </c>
      <c r="L15" s="39">
        <f>C192+C240</f>
        <v>10</v>
      </c>
      <c r="N15"/>
      <c r="O15"/>
    </row>
    <row r="16" spans="1:16" ht="12.75">
      <c r="A16" s="31" t="s">
        <v>368</v>
      </c>
      <c r="B16" s="41"/>
      <c r="C16" s="22">
        <v>56.7</v>
      </c>
      <c r="D16" s="213">
        <v>108.252</v>
      </c>
      <c r="E16" s="219">
        <v>112.404</v>
      </c>
      <c r="F16" s="37">
        <v>60</v>
      </c>
      <c r="G16" s="222"/>
      <c r="H16" s="221"/>
      <c r="I16" s="30"/>
      <c r="K16" s="38" t="s">
        <v>22</v>
      </c>
      <c r="L16" s="39">
        <f>C146</f>
        <v>0</v>
      </c>
      <c r="N16"/>
      <c r="O16"/>
      <c r="P16"/>
    </row>
    <row r="17" spans="1:36" ht="12.75">
      <c r="A17" s="31" t="s">
        <v>369</v>
      </c>
      <c r="B17" s="41"/>
      <c r="C17" s="22">
        <v>2.2000000000000002</v>
      </c>
      <c r="D17" s="213">
        <v>3</v>
      </c>
      <c r="E17" s="219">
        <v>4.5</v>
      </c>
      <c r="F17" s="37">
        <v>3</v>
      </c>
      <c r="G17" s="222"/>
      <c r="H17" s="221"/>
      <c r="I17" s="30"/>
      <c r="K17" s="38" t="s">
        <v>24</v>
      </c>
      <c r="L17" s="39">
        <f>C211+C242</f>
        <v>40</v>
      </c>
      <c r="N17"/>
      <c r="O17"/>
      <c r="P17"/>
    </row>
    <row r="18" spans="1:36" ht="12.75">
      <c r="A18" s="31" t="s">
        <v>370</v>
      </c>
      <c r="B18" s="41"/>
      <c r="C18" s="22">
        <v>45.3</v>
      </c>
      <c r="D18" s="213">
        <v>59.140999999999998</v>
      </c>
      <c r="E18" s="219">
        <v>58.716000000000001</v>
      </c>
      <c r="F18" s="37">
        <v>59</v>
      </c>
      <c r="G18" s="222"/>
      <c r="H18" s="221"/>
      <c r="I18" s="30"/>
      <c r="K18" s="38" t="s">
        <v>26</v>
      </c>
      <c r="L18" s="39">
        <f>C212</f>
        <v>14.5</v>
      </c>
      <c r="N18"/>
      <c r="O18"/>
      <c r="P18"/>
    </row>
    <row r="19" spans="1:36" ht="13.5" thickBot="1">
      <c r="A19" s="31" t="s">
        <v>21</v>
      </c>
      <c r="B19" s="36"/>
      <c r="C19" s="36"/>
      <c r="D19" s="37">
        <f>F104-B103</f>
        <v>531.65000000000009</v>
      </c>
      <c r="E19" s="219">
        <f>'Mar prebid'!D19</f>
        <v>220.48099999999999</v>
      </c>
      <c r="F19" s="37">
        <v>0</v>
      </c>
      <c r="G19" s="222">
        <v>0</v>
      </c>
      <c r="H19" s="221">
        <v>0</v>
      </c>
      <c r="I19" s="42"/>
      <c r="K19" s="47" t="s">
        <v>28</v>
      </c>
      <c r="L19" s="48">
        <f>C217+C245</f>
        <v>60</v>
      </c>
      <c r="N19"/>
      <c r="O19"/>
    </row>
    <row r="20" spans="1:36" ht="12.75">
      <c r="A20" s="31" t="s">
        <v>23</v>
      </c>
      <c r="B20" s="22"/>
      <c r="C20" s="22"/>
      <c r="D20" s="43">
        <f>SUM(D7:D19)-D15</f>
        <v>1676.972</v>
      </c>
      <c r="E20" s="43">
        <f>SUM(E7:E19)-E15</f>
        <v>1421.4554285714285</v>
      </c>
      <c r="F20" s="43">
        <f>SUM(F7:F19)-F15</f>
        <v>1289.1892333333333</v>
      </c>
      <c r="G20" s="44">
        <f>SUM(G7:G19)</f>
        <v>2310.30105</v>
      </c>
      <c r="H20" s="231">
        <f>SUM(H7:H19)</f>
        <v>713.45695000000001</v>
      </c>
      <c r="I20" s="33"/>
      <c r="L20"/>
      <c r="N20"/>
      <c r="O20" s="45"/>
    </row>
    <row r="21" spans="1:36" ht="12.75">
      <c r="A21" s="31" t="s">
        <v>25</v>
      </c>
      <c r="B21" s="22"/>
      <c r="C21" s="22"/>
      <c r="D21" s="46">
        <f>D32</f>
        <v>0</v>
      </c>
      <c r="E21" s="224">
        <v>-64.516129032258064</v>
      </c>
      <c r="F21" s="225">
        <v>0</v>
      </c>
      <c r="G21" s="226">
        <v>0</v>
      </c>
      <c r="H21" s="227">
        <v>0</v>
      </c>
      <c r="I21" s="30"/>
      <c r="L21"/>
      <c r="N21" s="45"/>
      <c r="O21"/>
    </row>
    <row r="22" spans="1:36" ht="12.75">
      <c r="A22" s="31" t="s">
        <v>475</v>
      </c>
      <c r="B22" s="22"/>
      <c r="C22" s="22"/>
      <c r="D22" s="396">
        <v>2.5</v>
      </c>
      <c r="E22" s="37">
        <v>2.5</v>
      </c>
      <c r="F22" s="37">
        <v>2.5</v>
      </c>
      <c r="G22" s="228">
        <v>0</v>
      </c>
      <c r="H22" s="227">
        <v>0</v>
      </c>
      <c r="I22" s="30"/>
      <c r="L22"/>
      <c r="N22"/>
    </row>
    <row r="23" spans="1:36" ht="12.75">
      <c r="A23" s="49"/>
      <c r="B23" s="22"/>
      <c r="C23" s="50" t="s">
        <v>29</v>
      </c>
      <c r="D23" s="314">
        <f>D22+D21+D20</f>
        <v>1679.472</v>
      </c>
      <c r="E23" s="44">
        <f>E22+E21+E20</f>
        <v>1359.4392995391704</v>
      </c>
      <c r="F23" s="44">
        <f>F22+F21+F20</f>
        <v>1291.6892333333333</v>
      </c>
      <c r="G23" s="44">
        <f>G22+G21+G20</f>
        <v>2310.30105</v>
      </c>
      <c r="H23" s="232">
        <f>H22+H21+H20</f>
        <v>713.45695000000001</v>
      </c>
      <c r="I23" s="30"/>
      <c r="L23"/>
    </row>
    <row r="24" spans="1:36" ht="12.75">
      <c r="A24" s="31" t="s">
        <v>30</v>
      </c>
      <c r="B24" s="22"/>
      <c r="C24" s="22"/>
      <c r="D24" s="46">
        <f>D44</f>
        <v>1472.413</v>
      </c>
      <c r="E24" s="312">
        <f>'Mar prebid'!D24</f>
        <v>1494.069</v>
      </c>
      <c r="F24" s="312">
        <v>1660</v>
      </c>
      <c r="G24" s="313">
        <f>D24</f>
        <v>1472.413</v>
      </c>
      <c r="H24" s="311">
        <f>D24</f>
        <v>1472.413</v>
      </c>
      <c r="I24" s="30"/>
      <c r="L24"/>
    </row>
    <row r="25" spans="1:36" ht="13.5" thickBot="1">
      <c r="A25" s="315" t="s">
        <v>334</v>
      </c>
      <c r="B25" s="22"/>
      <c r="C25" s="22"/>
      <c r="D25" s="225">
        <v>106.06</v>
      </c>
      <c r="E25" s="37">
        <v>111.2</v>
      </c>
      <c r="F25" s="37"/>
      <c r="G25" s="225"/>
      <c r="H25" s="227"/>
      <c r="I25" s="30"/>
      <c r="L25"/>
    </row>
    <row r="26" spans="1:36" ht="13.5" thickBot="1">
      <c r="A26" s="51"/>
      <c r="B26" s="52"/>
      <c r="C26" s="53" t="s">
        <v>31</v>
      </c>
      <c r="D26" s="54">
        <f>D24+D25-D23</f>
        <v>-100.99900000000002</v>
      </c>
      <c r="E26" s="54">
        <f>E24-E23+E25</f>
        <v>245.82970046082954</v>
      </c>
      <c r="F26" s="54">
        <f>F24-F23</f>
        <v>368.31076666666672</v>
      </c>
      <c r="G26" s="54">
        <f>+G23-G24</f>
        <v>837.88805000000002</v>
      </c>
      <c r="H26" s="54">
        <f>+(H23-H24)</f>
        <v>-758.95605</v>
      </c>
      <c r="I26" s="33"/>
      <c r="J26" s="83" t="s">
        <v>480</v>
      </c>
      <c r="L26"/>
    </row>
    <row r="27" spans="1:36" ht="4.5" customHeight="1">
      <c r="A27" s="55"/>
      <c r="B27" s="22"/>
      <c r="C27" s="56"/>
      <c r="D27" s="57"/>
      <c r="E27" s="58"/>
      <c r="F27" s="58"/>
      <c r="G27" s="59"/>
      <c r="H27" s="59"/>
      <c r="I27" s="33"/>
      <c r="J27" s="373"/>
      <c r="K27" s="65"/>
      <c r="L27" s="66"/>
    </row>
    <row r="28" spans="1:36" ht="13.5" thickBot="1">
      <c r="A28" s="49"/>
      <c r="C28" s="60" t="s">
        <v>32</v>
      </c>
      <c r="D28" s="238">
        <v>0</v>
      </c>
      <c r="E28" s="58"/>
      <c r="F28" s="58"/>
      <c r="G28" s="58"/>
      <c r="H28" s="58"/>
      <c r="J28" s="374">
        <f>10+88.34-30-20+25</f>
        <v>73.34</v>
      </c>
      <c r="L28"/>
    </row>
    <row r="29" spans="1:36" s="67" customFormat="1" ht="13.5" customHeight="1" thickBot="1">
      <c r="A29" s="61"/>
      <c r="B29" s="62"/>
      <c r="C29" s="63" t="s">
        <v>33</v>
      </c>
      <c r="D29" s="64">
        <f>D26+D28</f>
        <v>-100.99900000000002</v>
      </c>
      <c r="E29" s="58"/>
      <c r="F29" s="58"/>
      <c r="G29" s="58"/>
      <c r="H29" s="58"/>
      <c r="I29" s="33"/>
      <c r="J29" s="65"/>
      <c r="K29" s="12"/>
      <c r="L2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</row>
    <row r="30" spans="1:36" ht="8.25" customHeight="1" thickBot="1">
      <c r="A30" s="68"/>
      <c r="B30" s="69"/>
      <c r="C30" s="70"/>
      <c r="D30" s="71"/>
      <c r="E30" s="10"/>
      <c r="F30" s="10"/>
      <c r="G30" s="72"/>
      <c r="H30" s="73"/>
      <c r="I30" s="74"/>
      <c r="K30"/>
    </row>
    <row r="31" spans="1:36" ht="13.5" thickBot="1">
      <c r="A31" s="429" t="s">
        <v>389</v>
      </c>
      <c r="B31" s="430"/>
      <c r="C31" s="430"/>
      <c r="D31" s="431"/>
      <c r="E31" s="75" t="s">
        <v>35</v>
      </c>
      <c r="F31" s="76"/>
      <c r="G31" s="77"/>
      <c r="H31" s="78"/>
      <c r="I31" s="426" t="s">
        <v>36</v>
      </c>
      <c r="J31" s="427"/>
      <c r="K31" s="96"/>
      <c r="L31" s="96"/>
    </row>
    <row r="32" spans="1:36" ht="13.5" thickBot="1">
      <c r="A32" s="31" t="s">
        <v>37</v>
      </c>
      <c r="B32" s="72"/>
      <c r="C32" s="72"/>
      <c r="D32" s="282">
        <f>B33/30</f>
        <v>0</v>
      </c>
      <c r="E32" s="79" t="s">
        <v>38</v>
      </c>
      <c r="F32" s="80"/>
      <c r="G32" s="81" t="s">
        <v>39</v>
      </c>
      <c r="H32" s="82"/>
      <c r="I32" s="83" t="s">
        <v>40</v>
      </c>
      <c r="J32" s="84" t="s">
        <v>41</v>
      </c>
      <c r="K32" s="99"/>
      <c r="L32" s="99"/>
    </row>
    <row r="33" spans="1:12" ht="13.5" thickBot="1">
      <c r="A33" s="85" t="s">
        <v>42</v>
      </c>
      <c r="B33" s="86">
        <v>0</v>
      </c>
      <c r="C33" s="87" t="s">
        <v>43</v>
      </c>
      <c r="D33" s="88"/>
      <c r="E33" s="283" t="s">
        <v>163</v>
      </c>
      <c r="F33" s="375">
        <v>0.8</v>
      </c>
      <c r="G33" s="90" t="s">
        <v>93</v>
      </c>
      <c r="H33" s="91">
        <v>30</v>
      </c>
      <c r="I33" s="239">
        <f>7.5+20+5+5+10+20+10</f>
        <v>77.5</v>
      </c>
      <c r="J33" s="240">
        <f>5+5+2+5+10+5+5</f>
        <v>37</v>
      </c>
      <c r="K33" s="74"/>
      <c r="L33" s="74"/>
    </row>
    <row r="34" spans="1:12" ht="13.5" thickBot="1">
      <c r="A34" s="85" t="s">
        <v>44</v>
      </c>
      <c r="B34" s="92">
        <v>0</v>
      </c>
      <c r="C34" s="22"/>
      <c r="D34" s="93"/>
      <c r="E34" s="283" t="s">
        <v>14</v>
      </c>
      <c r="F34" s="284">
        <f>10+10</f>
        <v>20</v>
      </c>
      <c r="G34" s="90"/>
      <c r="H34" s="91"/>
      <c r="I34" s="307" t="s">
        <v>45</v>
      </c>
      <c r="J34" s="95">
        <f>+I33-J33</f>
        <v>40.5</v>
      </c>
      <c r="K34"/>
      <c r="L34"/>
    </row>
    <row r="35" spans="1:12" ht="13.5" thickBot="1">
      <c r="A35" s="97"/>
      <c r="B35" s="52"/>
      <c r="C35" s="52"/>
      <c r="D35" s="98"/>
      <c r="E35" s="283" t="s">
        <v>84</v>
      </c>
      <c r="F35" s="392">
        <v>4.5</v>
      </c>
      <c r="G35" s="90"/>
      <c r="H35" s="91"/>
      <c r="I35"/>
      <c r="J35"/>
      <c r="K35"/>
      <c r="L35"/>
    </row>
    <row r="36" spans="1:12" ht="13.5" thickBot="1">
      <c r="A36" s="100"/>
      <c r="B36" s="101"/>
      <c r="C36" s="101"/>
      <c r="D36" s="102"/>
      <c r="E36" s="90"/>
      <c r="F36" s="91"/>
      <c r="G36" s="90"/>
      <c r="H36" s="91"/>
      <c r="I36" s="426" t="s">
        <v>46</v>
      </c>
      <c r="J36" s="428"/>
      <c r="K36" s="112"/>
      <c r="L36"/>
    </row>
    <row r="37" spans="1:12" ht="13.5" thickBot="1">
      <c r="A37" s="103" t="s">
        <v>47</v>
      </c>
      <c r="B37" s="104"/>
      <c r="C37" s="104"/>
      <c r="D37" s="105"/>
      <c r="E37" s="283"/>
      <c r="F37" s="284"/>
      <c r="G37" s="106"/>
      <c r="H37" s="107"/>
      <c r="I37" s="83" t="s">
        <v>48</v>
      </c>
      <c r="J37" s="84" t="s">
        <v>49</v>
      </c>
      <c r="K37" s="112"/>
      <c r="L37"/>
    </row>
    <row r="38" spans="1:12" ht="13.5" thickBot="1">
      <c r="A38" s="31"/>
      <c r="B38" s="22"/>
      <c r="C38" s="22"/>
      <c r="D38" s="108"/>
      <c r="E38" s="365"/>
      <c r="F38" s="284"/>
      <c r="G38" s="106"/>
      <c r="H38" s="107"/>
      <c r="I38" s="305">
        <v>0</v>
      </c>
      <c r="J38" s="241">
        <f>15-30</f>
        <v>-15</v>
      </c>
      <c r="K38" s="112"/>
      <c r="L38"/>
    </row>
    <row r="39" spans="1:12" ht="13.5" thickBot="1">
      <c r="A39" s="31" t="s">
        <v>50</v>
      </c>
      <c r="B39" s="22"/>
      <c r="C39" s="22"/>
      <c r="D39" s="110">
        <f>K224/1000</f>
        <v>53.018999999999998</v>
      </c>
      <c r="E39" s="89"/>
      <c r="F39" s="218"/>
      <c r="G39" s="106"/>
      <c r="H39" s="107"/>
      <c r="I39" s="111" t="s">
        <v>51</v>
      </c>
      <c r="J39" s="84" t="s">
        <v>52</v>
      </c>
      <c r="K39"/>
      <c r="L39"/>
    </row>
    <row r="40" spans="1:12" ht="13.5" thickBot="1">
      <c r="A40" s="31" t="s">
        <v>53</v>
      </c>
      <c r="B40" s="22"/>
      <c r="C40" s="22"/>
      <c r="D40" s="108">
        <f>L104</f>
        <v>663.81999999999994</v>
      </c>
      <c r="E40" s="89"/>
      <c r="F40" s="218"/>
      <c r="G40" s="113"/>
      <c r="H40" s="114"/>
      <c r="I40" s="242">
        <f>20+20+10+20+10+5</f>
        <v>85</v>
      </c>
      <c r="J40" s="306">
        <v>0</v>
      </c>
      <c r="K40"/>
      <c r="L40"/>
    </row>
    <row r="41" spans="1:12" ht="13.5" thickBot="1">
      <c r="A41" s="31" t="s">
        <v>54</v>
      </c>
      <c r="B41" s="22"/>
      <c r="C41" s="22"/>
      <c r="D41" s="402">
        <v>40</v>
      </c>
      <c r="E41" s="89"/>
      <c r="F41" s="218"/>
      <c r="G41" s="113"/>
      <c r="H41" s="114"/>
      <c r="I41" s="308" t="s">
        <v>55</v>
      </c>
      <c r="J41" s="95">
        <f>J34+I38+J38+I40+J40</f>
        <v>110.5</v>
      </c>
      <c r="K41"/>
      <c r="L41"/>
    </row>
    <row r="42" spans="1:12" ht="13.5" thickBot="1">
      <c r="A42" s="31" t="s">
        <v>56</v>
      </c>
      <c r="B42" s="22"/>
      <c r="C42" s="22"/>
      <c r="D42" s="117">
        <f>713.151-51.927+42.8-16.882+20-5.175+16.78-0.084-0.139-1-1.5-0.25-0.2</f>
        <v>715.57399999999996</v>
      </c>
      <c r="E42" s="89"/>
      <c r="F42" s="218"/>
      <c r="G42" s="10"/>
      <c r="H42" s="11"/>
      <c r="K42"/>
      <c r="L42"/>
    </row>
    <row r="43" spans="1:12" ht="13.5" thickBot="1">
      <c r="A43" s="31"/>
      <c r="B43" s="22"/>
      <c r="C43" s="22"/>
      <c r="D43" s="108"/>
      <c r="E43" s="89"/>
      <c r="F43" s="218"/>
      <c r="G43" s="10"/>
      <c r="H43" s="11"/>
      <c r="I43" s="426" t="s">
        <v>57</v>
      </c>
      <c r="J43" s="427"/>
      <c r="K43"/>
      <c r="L43"/>
    </row>
    <row r="44" spans="1:12" ht="13.5" thickBot="1">
      <c r="A44" s="51"/>
      <c r="B44" s="118" t="s">
        <v>58</v>
      </c>
      <c r="C44" s="119" t="str">
        <f>+F5</f>
        <v>June</v>
      </c>
      <c r="D44" s="120">
        <f>SUM(D39:D42)</f>
        <v>1472.413</v>
      </c>
      <c r="E44" s="121" t="s">
        <v>59</v>
      </c>
      <c r="F44" s="122">
        <f>SUM(F33:F42)</f>
        <v>25.3</v>
      </c>
      <c r="G44" s="121" t="s">
        <v>59</v>
      </c>
      <c r="H44" s="123">
        <f>SUM(H33:H43)</f>
        <v>30</v>
      </c>
      <c r="I44"/>
      <c r="J44" s="346">
        <v>15</v>
      </c>
      <c r="K44"/>
      <c r="L44"/>
    </row>
    <row r="45" spans="1:12" ht="12.75" thickBot="1"/>
    <row r="46" spans="1:12" ht="12.75" thickBot="1">
      <c r="A46" s="124" t="s">
        <v>60</v>
      </c>
      <c r="B46" s="125"/>
      <c r="C46" s="125"/>
      <c r="D46" s="125"/>
      <c r="E46" s="126"/>
      <c r="F46" s="127"/>
      <c r="G46" s="124" t="s">
        <v>61</v>
      </c>
      <c r="H46" s="125"/>
      <c r="I46" s="125"/>
      <c r="J46" s="125"/>
      <c r="K46" s="125"/>
      <c r="L46" s="128"/>
    </row>
    <row r="47" spans="1:12">
      <c r="A47" s="129" t="s">
        <v>63</v>
      </c>
      <c r="B47" s="130"/>
      <c r="C47" s="131" t="s">
        <v>64</v>
      </c>
      <c r="D47" s="130"/>
      <c r="E47" s="131" t="s">
        <v>65</v>
      </c>
      <c r="F47" s="132"/>
      <c r="G47" s="133"/>
      <c r="H47" s="130"/>
      <c r="I47" s="131" t="s">
        <v>64</v>
      </c>
      <c r="J47" s="130"/>
      <c r="K47" s="131" t="s">
        <v>65</v>
      </c>
      <c r="L47" s="132"/>
    </row>
    <row r="48" spans="1:12">
      <c r="A48" s="134" t="s">
        <v>69</v>
      </c>
      <c r="B48" s="135">
        <v>9.6000000000000002E-2</v>
      </c>
      <c r="C48" s="136" t="s">
        <v>181</v>
      </c>
      <c r="D48" s="395">
        <v>9</v>
      </c>
      <c r="E48" s="136" t="s">
        <v>471</v>
      </c>
      <c r="F48" s="395">
        <v>10</v>
      </c>
      <c r="G48" s="138"/>
      <c r="H48" s="139"/>
      <c r="I48" s="136" t="s">
        <v>68</v>
      </c>
      <c r="J48" s="399">
        <v>40</v>
      </c>
      <c r="K48" s="408" t="s">
        <v>75</v>
      </c>
      <c r="L48" s="418">
        <v>5</v>
      </c>
    </row>
    <row r="49" spans="1:12">
      <c r="A49" s="134" t="s">
        <v>72</v>
      </c>
      <c r="B49" s="395">
        <v>4.8000000000000001E-2</v>
      </c>
      <c r="C49" s="136" t="s">
        <v>493</v>
      </c>
      <c r="D49" s="395">
        <v>20</v>
      </c>
      <c r="E49" s="136" t="s">
        <v>504</v>
      </c>
      <c r="F49" s="250">
        <v>20</v>
      </c>
      <c r="G49" s="138"/>
      <c r="H49" s="139"/>
      <c r="I49" s="141" t="s">
        <v>68</v>
      </c>
      <c r="J49" s="395">
        <v>5.5</v>
      </c>
      <c r="K49" s="136" t="s">
        <v>412</v>
      </c>
      <c r="L49" s="250">
        <v>14.522</v>
      </c>
    </row>
    <row r="50" spans="1:12">
      <c r="A50" s="134" t="s">
        <v>79</v>
      </c>
      <c r="B50" s="395">
        <v>4.8000000000000001E-2</v>
      </c>
      <c r="C50" s="136" t="s">
        <v>455</v>
      </c>
      <c r="D50" s="395">
        <v>15</v>
      </c>
      <c r="E50" s="136" t="s">
        <v>532</v>
      </c>
      <c r="F50" s="250">
        <v>5</v>
      </c>
      <c r="G50" s="138"/>
      <c r="H50" s="139"/>
      <c r="I50" s="141" t="s">
        <v>71</v>
      </c>
      <c r="J50" s="400">
        <v>20</v>
      </c>
      <c r="K50" s="136" t="s">
        <v>433</v>
      </c>
      <c r="L50" s="250">
        <v>20</v>
      </c>
    </row>
    <row r="51" spans="1:12">
      <c r="A51" s="134" t="s">
        <v>85</v>
      </c>
      <c r="B51" s="397">
        <f>3+1.225+1.2</f>
        <v>5.4249999999999998</v>
      </c>
      <c r="C51" s="136" t="s">
        <v>14</v>
      </c>
      <c r="D51" s="395">
        <v>10</v>
      </c>
      <c r="E51" s="136" t="s">
        <v>532</v>
      </c>
      <c r="F51" s="250">
        <v>5</v>
      </c>
      <c r="G51" s="138"/>
      <c r="H51" s="139"/>
      <c r="I51" s="141" t="s">
        <v>71</v>
      </c>
      <c r="J51" s="395">
        <v>20</v>
      </c>
      <c r="K51" s="136" t="s">
        <v>311</v>
      </c>
      <c r="L51" s="250">
        <v>15</v>
      </c>
    </row>
    <row r="52" spans="1:12">
      <c r="A52" s="134"/>
      <c r="B52" s="135"/>
      <c r="C52" s="136" t="s">
        <v>531</v>
      </c>
      <c r="D52" s="395">
        <v>15</v>
      </c>
      <c r="E52" s="136"/>
      <c r="F52" s="250"/>
      <c r="G52" s="138"/>
      <c r="H52" s="139"/>
      <c r="I52" s="141" t="s">
        <v>75</v>
      </c>
      <c r="J52" s="395">
        <v>20</v>
      </c>
      <c r="K52" s="136" t="s">
        <v>537</v>
      </c>
      <c r="L52" s="250">
        <v>5</v>
      </c>
    </row>
    <row r="53" spans="1:12">
      <c r="A53" s="134"/>
      <c r="B53" s="135"/>
      <c r="C53" s="136" t="s">
        <v>513</v>
      </c>
      <c r="D53" s="395">
        <v>5</v>
      </c>
      <c r="E53" s="136" t="s">
        <v>394</v>
      </c>
      <c r="F53" s="250">
        <v>14</v>
      </c>
      <c r="G53" s="138"/>
      <c r="H53" s="139"/>
      <c r="I53" s="141" t="s">
        <v>75</v>
      </c>
      <c r="J53" s="395">
        <v>5</v>
      </c>
      <c r="K53" s="136" t="s">
        <v>537</v>
      </c>
      <c r="L53" s="250">
        <v>5</v>
      </c>
    </row>
    <row r="54" spans="1:12">
      <c r="A54" s="134"/>
      <c r="B54" s="135"/>
      <c r="C54" s="136" t="s">
        <v>470</v>
      </c>
      <c r="D54" s="395">
        <v>5</v>
      </c>
      <c r="E54" s="136" t="s">
        <v>345</v>
      </c>
      <c r="F54" s="250">
        <v>5</v>
      </c>
      <c r="G54" s="138"/>
      <c r="H54" s="139"/>
      <c r="I54" s="141" t="s">
        <v>75</v>
      </c>
      <c r="J54" s="395">
        <v>5</v>
      </c>
      <c r="K54" s="136" t="s">
        <v>537</v>
      </c>
      <c r="L54" s="250">
        <v>5</v>
      </c>
    </row>
    <row r="55" spans="1:12">
      <c r="A55" s="134"/>
      <c r="B55" s="135"/>
      <c r="C55" s="136" t="s">
        <v>503</v>
      </c>
      <c r="D55" s="395">
        <v>11</v>
      </c>
      <c r="E55" s="136" t="s">
        <v>436</v>
      </c>
      <c r="F55" s="250">
        <v>10</v>
      </c>
      <c r="G55" s="138"/>
      <c r="H55" s="139"/>
      <c r="I55" s="141" t="s">
        <v>519</v>
      </c>
      <c r="J55" s="395">
        <v>52.287999999999997</v>
      </c>
      <c r="K55" s="136" t="s">
        <v>149</v>
      </c>
      <c r="L55" s="250">
        <v>10</v>
      </c>
    </row>
    <row r="56" spans="1:12">
      <c r="A56" s="138"/>
      <c r="B56" s="139"/>
      <c r="C56" s="136" t="s">
        <v>89</v>
      </c>
      <c r="D56" s="395">
        <v>2</v>
      </c>
      <c r="E56" s="136" t="s">
        <v>537</v>
      </c>
      <c r="F56" s="250">
        <v>5</v>
      </c>
      <c r="G56" s="138"/>
      <c r="H56" s="139"/>
      <c r="I56" s="141" t="s">
        <v>82</v>
      </c>
      <c r="J56" s="395">
        <v>3.45</v>
      </c>
      <c r="K56" s="136"/>
      <c r="L56" s="140"/>
    </row>
    <row r="57" spans="1:12">
      <c r="A57" s="138"/>
      <c r="B57" s="139"/>
      <c r="C57" s="406"/>
      <c r="D57" s="405"/>
      <c r="E57" s="136" t="s">
        <v>501</v>
      </c>
      <c r="F57" s="395">
        <v>20</v>
      </c>
      <c r="G57" s="138"/>
      <c r="H57" s="139"/>
      <c r="I57" s="141" t="s">
        <v>450</v>
      </c>
      <c r="J57" s="395">
        <v>10</v>
      </c>
      <c r="K57" s="136" t="s">
        <v>81</v>
      </c>
      <c r="L57" s="250">
        <v>30</v>
      </c>
    </row>
    <row r="58" spans="1:12">
      <c r="A58" s="138"/>
      <c r="B58" s="139"/>
      <c r="C58" s="408"/>
      <c r="D58" s="370"/>
      <c r="E58" s="136" t="s">
        <v>437</v>
      </c>
      <c r="F58" s="395">
        <v>10</v>
      </c>
      <c r="G58" s="138"/>
      <c r="H58" s="139"/>
      <c r="I58" s="141" t="s">
        <v>459</v>
      </c>
      <c r="J58" s="401">
        <v>10</v>
      </c>
      <c r="K58" s="136" t="s">
        <v>434</v>
      </c>
      <c r="L58" s="250">
        <v>56</v>
      </c>
    </row>
    <row r="59" spans="1:12">
      <c r="A59" s="143"/>
      <c r="B59" s="144"/>
      <c r="C59" s="136"/>
      <c r="D59" s="135"/>
      <c r="E59" s="136" t="s">
        <v>81</v>
      </c>
      <c r="F59" s="395">
        <v>30</v>
      </c>
      <c r="G59" s="138"/>
      <c r="H59" s="139"/>
      <c r="I59" s="136" t="s">
        <v>426</v>
      </c>
      <c r="J59" s="135">
        <v>15</v>
      </c>
      <c r="K59" s="136" t="s">
        <v>523</v>
      </c>
      <c r="L59" s="250">
        <v>20</v>
      </c>
    </row>
    <row r="60" spans="1:12">
      <c r="A60" s="143"/>
      <c r="B60" s="144"/>
      <c r="C60" s="136"/>
      <c r="D60" s="135"/>
      <c r="E60" s="136" t="s">
        <v>81</v>
      </c>
      <c r="F60" s="398">
        <v>10</v>
      </c>
      <c r="G60" s="138"/>
      <c r="H60" s="139"/>
      <c r="I60" s="136" t="s">
        <v>470</v>
      </c>
      <c r="J60" s="395">
        <v>5</v>
      </c>
      <c r="K60" s="136" t="s">
        <v>86</v>
      </c>
      <c r="L60" s="250">
        <v>10</v>
      </c>
    </row>
    <row r="61" spans="1:12">
      <c r="A61" s="143"/>
      <c r="B61" s="144"/>
      <c r="C61" s="136"/>
      <c r="D61" s="135"/>
      <c r="E61" s="136" t="s">
        <v>326</v>
      </c>
      <c r="F61" s="398">
        <v>15</v>
      </c>
      <c r="G61" s="138"/>
      <c r="H61" s="139"/>
      <c r="I61" s="136" t="s">
        <v>514</v>
      </c>
      <c r="J61" s="395">
        <v>10</v>
      </c>
      <c r="K61" s="136" t="s">
        <v>335</v>
      </c>
      <c r="L61" s="250">
        <v>15</v>
      </c>
    </row>
    <row r="62" spans="1:12">
      <c r="A62" s="143"/>
      <c r="B62" s="144"/>
      <c r="C62" s="136"/>
      <c r="D62" s="135"/>
      <c r="E62" s="136" t="s">
        <v>470</v>
      </c>
      <c r="F62" s="398">
        <v>5</v>
      </c>
      <c r="G62" s="138"/>
      <c r="H62" s="139"/>
      <c r="I62" s="136" t="s">
        <v>91</v>
      </c>
      <c r="J62" s="395">
        <v>2</v>
      </c>
      <c r="K62" s="136" t="s">
        <v>350</v>
      </c>
      <c r="L62" s="250">
        <v>10</v>
      </c>
    </row>
    <row r="63" spans="1:12">
      <c r="A63" s="143"/>
      <c r="B63" s="144"/>
      <c r="C63" s="136"/>
      <c r="D63" s="135"/>
      <c r="E63" s="136" t="s">
        <v>470</v>
      </c>
      <c r="F63" s="398">
        <v>5</v>
      </c>
      <c r="G63" s="138"/>
      <c r="H63" s="139"/>
      <c r="I63" s="136" t="s">
        <v>94</v>
      </c>
      <c r="J63" s="395">
        <v>10</v>
      </c>
      <c r="K63" s="136" t="s">
        <v>93</v>
      </c>
      <c r="L63" s="250">
        <v>10</v>
      </c>
    </row>
    <row r="64" spans="1:12" s="409" customFormat="1">
      <c r="A64" s="404"/>
      <c r="B64" s="405"/>
      <c r="C64" s="136"/>
      <c r="D64" s="135"/>
      <c r="E64" s="136" t="s">
        <v>86</v>
      </c>
      <c r="F64" s="398">
        <v>2</v>
      </c>
      <c r="G64" s="404"/>
      <c r="H64" s="405"/>
      <c r="I64" s="136" t="s">
        <v>95</v>
      </c>
      <c r="J64" s="395">
        <v>20</v>
      </c>
      <c r="K64" s="136" t="s">
        <v>522</v>
      </c>
      <c r="L64" s="250">
        <v>5</v>
      </c>
    </row>
    <row r="65" spans="1:12">
      <c r="A65" s="143"/>
      <c r="B65" s="144"/>
      <c r="C65" s="136"/>
      <c r="D65" s="135"/>
      <c r="E65" s="136" t="s">
        <v>536</v>
      </c>
      <c r="F65" s="398">
        <v>18</v>
      </c>
      <c r="G65" s="138"/>
      <c r="H65" s="139"/>
      <c r="I65" s="408"/>
      <c r="J65" s="370"/>
      <c r="K65" s="136" t="s">
        <v>336</v>
      </c>
      <c r="L65" s="250">
        <v>10</v>
      </c>
    </row>
    <row r="66" spans="1:12">
      <c r="A66" s="143"/>
      <c r="B66" s="144"/>
      <c r="C66" s="136"/>
      <c r="D66" s="135"/>
      <c r="E66" s="136" t="s">
        <v>499</v>
      </c>
      <c r="F66" s="398">
        <v>4</v>
      </c>
      <c r="G66" s="138"/>
      <c r="H66" s="139"/>
      <c r="I66" s="406"/>
      <c r="J66" s="405"/>
      <c r="K66" s="136" t="s">
        <v>336</v>
      </c>
      <c r="L66" s="250">
        <v>4</v>
      </c>
    </row>
    <row r="67" spans="1:12">
      <c r="A67" s="143"/>
      <c r="B67" s="144"/>
      <c r="C67" s="136"/>
      <c r="D67" s="135"/>
      <c r="E67" s="136" t="s">
        <v>85</v>
      </c>
      <c r="F67" s="398">
        <v>13</v>
      </c>
      <c r="G67" s="138"/>
      <c r="H67" s="139"/>
      <c r="I67" s="136"/>
      <c r="J67" s="135"/>
      <c r="K67" s="136" t="s">
        <v>254</v>
      </c>
      <c r="L67" s="250">
        <v>0.31</v>
      </c>
    </row>
    <row r="68" spans="1:12">
      <c r="A68" s="143"/>
      <c r="B68" s="144"/>
      <c r="C68" s="136"/>
      <c r="D68" s="135"/>
      <c r="E68" s="136" t="s">
        <v>468</v>
      </c>
      <c r="F68" s="398">
        <v>20</v>
      </c>
      <c r="G68" s="138"/>
      <c r="H68" s="139"/>
      <c r="I68" s="136"/>
      <c r="J68" s="135"/>
      <c r="K68" s="136" t="s">
        <v>521</v>
      </c>
      <c r="L68" s="250">
        <v>8.6999999999999993</v>
      </c>
    </row>
    <row r="69" spans="1:12">
      <c r="A69" s="143"/>
      <c r="B69" s="144"/>
      <c r="C69" s="136"/>
      <c r="D69" s="135"/>
      <c r="E69" s="136" t="s">
        <v>336</v>
      </c>
      <c r="F69" s="398">
        <v>2</v>
      </c>
      <c r="G69" s="138"/>
      <c r="H69" s="139"/>
      <c r="I69" s="136"/>
      <c r="J69" s="135"/>
      <c r="K69" s="136" t="s">
        <v>95</v>
      </c>
      <c r="L69" s="250">
        <v>10</v>
      </c>
    </row>
    <row r="70" spans="1:12">
      <c r="A70" s="143"/>
      <c r="B70" s="144"/>
      <c r="C70" s="136"/>
      <c r="D70" s="135"/>
      <c r="E70" s="136" t="s">
        <v>336</v>
      </c>
      <c r="F70" s="398">
        <v>5.7</v>
      </c>
      <c r="G70" s="138"/>
      <c r="H70" s="139"/>
      <c r="I70" s="136"/>
      <c r="J70" s="135"/>
      <c r="K70" s="136" t="s">
        <v>95</v>
      </c>
      <c r="L70" s="250">
        <v>7</v>
      </c>
    </row>
    <row r="71" spans="1:12">
      <c r="A71" s="143"/>
      <c r="B71" s="144"/>
      <c r="C71" s="136"/>
      <c r="D71" s="135"/>
      <c r="E71" s="136" t="s">
        <v>336</v>
      </c>
      <c r="F71" s="137">
        <v>2.7</v>
      </c>
      <c r="G71" s="138"/>
      <c r="H71" s="139"/>
      <c r="I71" s="136"/>
      <c r="J71" s="135"/>
      <c r="K71" s="136"/>
      <c r="L71" s="140"/>
    </row>
    <row r="72" spans="1:12">
      <c r="A72" s="143"/>
      <c r="B72" s="144"/>
      <c r="C72" s="136"/>
      <c r="D72" s="135"/>
      <c r="E72" s="408" t="s">
        <v>83</v>
      </c>
      <c r="F72" s="419">
        <v>0.25</v>
      </c>
      <c r="G72" s="138"/>
      <c r="H72" s="139"/>
      <c r="I72" s="136"/>
      <c r="J72" s="135"/>
      <c r="K72" s="136"/>
      <c r="L72" s="140"/>
    </row>
    <row r="73" spans="1:12">
      <c r="A73" s="143"/>
      <c r="B73" s="144"/>
      <c r="C73" s="136"/>
      <c r="D73" s="135"/>
      <c r="E73" s="408" t="s">
        <v>100</v>
      </c>
      <c r="F73" s="410">
        <v>10</v>
      </c>
      <c r="G73" s="138"/>
      <c r="H73" s="139"/>
      <c r="I73" s="136"/>
      <c r="J73" s="135"/>
      <c r="K73" s="136"/>
      <c r="L73" s="140"/>
    </row>
    <row r="74" spans="1:12">
      <c r="A74" s="143"/>
      <c r="B74" s="144"/>
      <c r="C74" s="136"/>
      <c r="D74" s="135"/>
      <c r="E74" s="408" t="s">
        <v>541</v>
      </c>
      <c r="F74" s="410">
        <v>5</v>
      </c>
      <c r="G74" s="138"/>
      <c r="H74" s="139"/>
      <c r="I74" s="136"/>
      <c r="J74" s="135"/>
      <c r="K74" s="136"/>
      <c r="L74" s="140"/>
    </row>
    <row r="75" spans="1:12">
      <c r="A75" s="143"/>
      <c r="B75" s="144"/>
      <c r="C75" s="136"/>
      <c r="D75" s="135"/>
      <c r="E75" s="406"/>
      <c r="F75" s="411"/>
      <c r="G75" s="138"/>
      <c r="H75" s="139"/>
      <c r="I75" s="136"/>
      <c r="J75" s="135"/>
      <c r="K75" s="136"/>
      <c r="L75" s="140"/>
    </row>
    <row r="76" spans="1:12">
      <c r="A76" s="143"/>
      <c r="B76" s="144"/>
      <c r="C76" s="146" t="s">
        <v>98</v>
      </c>
      <c r="D76" s="147"/>
      <c r="E76" s="148"/>
      <c r="F76" s="149"/>
      <c r="G76" s="138"/>
      <c r="H76" s="139"/>
      <c r="I76" s="146" t="s">
        <v>98</v>
      </c>
      <c r="J76" s="150"/>
      <c r="K76" s="216"/>
      <c r="L76" s="217"/>
    </row>
    <row r="77" spans="1:12">
      <c r="A77" s="143"/>
      <c r="B77" s="144"/>
      <c r="C77" s="136" t="s">
        <v>99</v>
      </c>
      <c r="D77" s="395">
        <v>18</v>
      </c>
      <c r="E77" s="137" t="s">
        <v>533</v>
      </c>
      <c r="F77" s="398">
        <v>15</v>
      </c>
      <c r="G77" s="151"/>
      <c r="H77" s="139"/>
      <c r="I77" s="136" t="s">
        <v>100</v>
      </c>
      <c r="J77" s="395">
        <v>8</v>
      </c>
      <c r="K77" s="364" t="s">
        <v>529</v>
      </c>
      <c r="L77" s="250">
        <v>15</v>
      </c>
    </row>
    <row r="78" spans="1:12">
      <c r="A78" s="143"/>
      <c r="B78" s="144"/>
      <c r="C78" s="136" t="s">
        <v>435</v>
      </c>
      <c r="D78" s="395">
        <v>5</v>
      </c>
      <c r="E78" s="137" t="s">
        <v>525</v>
      </c>
      <c r="F78" s="398">
        <v>5</v>
      </c>
      <c r="G78" s="138"/>
      <c r="H78" s="139"/>
      <c r="I78" s="136" t="s">
        <v>412</v>
      </c>
      <c r="J78" s="395">
        <v>10</v>
      </c>
      <c r="K78" s="136" t="s">
        <v>525</v>
      </c>
      <c r="L78" s="250">
        <v>5</v>
      </c>
    </row>
    <row r="79" spans="1:12">
      <c r="A79" s="143"/>
      <c r="B79" s="144"/>
      <c r="C79" s="136" t="s">
        <v>437</v>
      </c>
      <c r="D79" s="395">
        <v>5</v>
      </c>
      <c r="E79" s="136" t="s">
        <v>525</v>
      </c>
      <c r="F79" s="250">
        <v>5</v>
      </c>
      <c r="G79" s="134"/>
      <c r="H79" s="135"/>
      <c r="I79" s="136"/>
      <c r="J79" s="135"/>
      <c r="K79" s="136" t="s">
        <v>525</v>
      </c>
      <c r="L79" s="250">
        <v>5</v>
      </c>
    </row>
    <row r="80" spans="1:12">
      <c r="A80" s="143"/>
      <c r="B80" s="144"/>
      <c r="C80" s="136" t="s">
        <v>517</v>
      </c>
      <c r="D80" s="395">
        <v>35</v>
      </c>
      <c r="E80" s="136" t="s">
        <v>525</v>
      </c>
      <c r="F80" s="250">
        <v>5</v>
      </c>
      <c r="G80" s="134"/>
      <c r="H80" s="135"/>
      <c r="I80" s="136"/>
      <c r="J80" s="135"/>
      <c r="K80" s="136" t="s">
        <v>525</v>
      </c>
      <c r="L80" s="250">
        <v>5</v>
      </c>
    </row>
    <row r="81" spans="1:12" s="394" customFormat="1">
      <c r="A81" s="404"/>
      <c r="B81" s="405"/>
      <c r="C81" s="214"/>
      <c r="D81" s="135"/>
      <c r="E81" s="136" t="s">
        <v>525</v>
      </c>
      <c r="F81" s="398">
        <v>5</v>
      </c>
      <c r="G81" s="134"/>
      <c r="H81" s="135"/>
      <c r="I81" s="214"/>
      <c r="J81" s="135"/>
      <c r="K81" s="364" t="s">
        <v>324</v>
      </c>
      <c r="L81" s="250">
        <v>10</v>
      </c>
    </row>
    <row r="82" spans="1:12">
      <c r="A82" s="143"/>
      <c r="B82" s="144"/>
      <c r="C82" s="136"/>
      <c r="D82" s="135"/>
      <c r="E82" s="136" t="s">
        <v>525</v>
      </c>
      <c r="F82" s="250">
        <v>5</v>
      </c>
      <c r="G82" s="134"/>
      <c r="H82" s="135"/>
      <c r="I82" s="136"/>
      <c r="J82" s="135"/>
      <c r="K82" s="136" t="s">
        <v>324</v>
      </c>
      <c r="L82" s="250">
        <v>10</v>
      </c>
    </row>
    <row r="83" spans="1:12">
      <c r="A83" s="143"/>
      <c r="B83" s="144"/>
      <c r="C83" s="136"/>
      <c r="D83" s="135"/>
      <c r="E83" s="136" t="s">
        <v>525</v>
      </c>
      <c r="F83" s="250">
        <v>5</v>
      </c>
      <c r="G83" s="134"/>
      <c r="H83" s="135"/>
      <c r="I83" s="136"/>
      <c r="J83" s="135"/>
      <c r="K83" s="364" t="s">
        <v>100</v>
      </c>
      <c r="L83" s="250">
        <v>15</v>
      </c>
    </row>
    <row r="84" spans="1:12">
      <c r="A84" s="143"/>
      <c r="B84" s="144"/>
      <c r="C84" s="136"/>
      <c r="D84" s="135"/>
      <c r="E84" s="136" t="s">
        <v>525</v>
      </c>
      <c r="F84" s="250">
        <v>5</v>
      </c>
      <c r="G84" s="134"/>
      <c r="H84" s="135"/>
      <c r="I84" s="136"/>
      <c r="J84" s="135"/>
      <c r="K84" s="364" t="s">
        <v>149</v>
      </c>
      <c r="L84" s="250">
        <v>20.65</v>
      </c>
    </row>
    <row r="85" spans="1:12">
      <c r="A85" s="143"/>
      <c r="B85" s="144"/>
      <c r="C85" s="136"/>
      <c r="D85" s="135"/>
      <c r="E85" s="136" t="s">
        <v>525</v>
      </c>
      <c r="F85" s="250">
        <v>5</v>
      </c>
      <c r="G85" s="134"/>
      <c r="H85" s="135"/>
      <c r="I85" s="136"/>
      <c r="J85" s="135"/>
      <c r="K85" s="214" t="s">
        <v>335</v>
      </c>
      <c r="L85" s="140">
        <v>10</v>
      </c>
    </row>
    <row r="86" spans="1:12">
      <c r="A86" s="143"/>
      <c r="B86" s="144"/>
      <c r="C86" s="136"/>
      <c r="D86" s="135"/>
      <c r="E86" s="136" t="s">
        <v>525</v>
      </c>
      <c r="F86" s="250">
        <v>5</v>
      </c>
      <c r="G86" s="134"/>
      <c r="H86" s="135"/>
      <c r="I86" s="136"/>
      <c r="J86" s="135"/>
      <c r="K86" s="364" t="s">
        <v>527</v>
      </c>
      <c r="L86" s="250">
        <v>5</v>
      </c>
    </row>
    <row r="87" spans="1:12">
      <c r="A87" s="143"/>
      <c r="B87" s="144"/>
      <c r="C87" s="136"/>
      <c r="D87" s="135"/>
      <c r="E87" s="136" t="s">
        <v>525</v>
      </c>
      <c r="F87" s="250">
        <v>5</v>
      </c>
      <c r="G87" s="134"/>
      <c r="H87" s="135"/>
      <c r="I87" s="136"/>
      <c r="J87" s="135"/>
      <c r="K87" s="136" t="s">
        <v>527</v>
      </c>
      <c r="L87" s="250">
        <v>5</v>
      </c>
    </row>
    <row r="88" spans="1:12">
      <c r="A88" s="143"/>
      <c r="B88" s="144"/>
      <c r="C88" s="136"/>
      <c r="D88" s="135"/>
      <c r="E88" s="136" t="s">
        <v>539</v>
      </c>
      <c r="F88" s="250">
        <v>5</v>
      </c>
      <c r="G88" s="134"/>
      <c r="H88" s="135"/>
      <c r="I88" s="136"/>
      <c r="J88" s="135"/>
      <c r="K88" s="136" t="s">
        <v>387</v>
      </c>
      <c r="L88" s="250">
        <v>1.4</v>
      </c>
    </row>
    <row r="89" spans="1:12">
      <c r="A89" s="143"/>
      <c r="B89" s="144"/>
      <c r="C89" s="136"/>
      <c r="D89" s="135"/>
      <c r="E89" s="136" t="s">
        <v>436</v>
      </c>
      <c r="F89" s="250">
        <v>5</v>
      </c>
      <c r="G89" s="134"/>
      <c r="H89" s="135"/>
      <c r="I89" s="136"/>
      <c r="J89" s="135"/>
      <c r="K89" s="136" t="s">
        <v>540</v>
      </c>
      <c r="L89" s="250">
        <v>5</v>
      </c>
    </row>
    <row r="90" spans="1:12">
      <c r="A90" s="143"/>
      <c r="B90" s="144"/>
      <c r="C90" s="136"/>
      <c r="D90" s="135"/>
      <c r="E90" s="136" t="s">
        <v>467</v>
      </c>
      <c r="F90" s="250">
        <v>5</v>
      </c>
      <c r="G90" s="134"/>
      <c r="H90" s="135"/>
      <c r="I90" s="136"/>
      <c r="J90" s="135"/>
      <c r="K90" s="136" t="s">
        <v>538</v>
      </c>
      <c r="L90" s="250">
        <v>5</v>
      </c>
    </row>
    <row r="91" spans="1:12" s="310" customFormat="1">
      <c r="A91" s="407"/>
      <c r="B91" s="370"/>
      <c r="C91" s="214"/>
      <c r="D91" s="135"/>
      <c r="E91" s="136" t="s">
        <v>520</v>
      </c>
      <c r="F91" s="398">
        <v>10</v>
      </c>
      <c r="G91" s="134"/>
      <c r="H91" s="135"/>
      <c r="I91" s="214"/>
      <c r="J91" s="135"/>
      <c r="K91" s="214"/>
      <c r="L91" s="140"/>
    </row>
    <row r="92" spans="1:12">
      <c r="A92" s="143"/>
      <c r="B92" s="144"/>
      <c r="C92" s="136"/>
      <c r="D92" s="135"/>
      <c r="E92" s="136" t="s">
        <v>526</v>
      </c>
      <c r="F92" s="250">
        <v>5</v>
      </c>
      <c r="G92" s="134"/>
      <c r="H92" s="135"/>
      <c r="I92" s="136"/>
      <c r="J92" s="135"/>
      <c r="K92" s="136"/>
      <c r="L92" s="140"/>
    </row>
    <row r="93" spans="1:12">
      <c r="A93" s="143"/>
      <c r="B93" s="144"/>
      <c r="C93" s="136"/>
      <c r="D93" s="135"/>
      <c r="E93" s="136" t="s">
        <v>526</v>
      </c>
      <c r="F93" s="250">
        <v>5</v>
      </c>
      <c r="G93" s="134"/>
      <c r="H93" s="135"/>
      <c r="I93" s="136"/>
      <c r="J93" s="135"/>
      <c r="K93" s="136"/>
      <c r="L93" s="140"/>
    </row>
    <row r="94" spans="1:12">
      <c r="A94" s="143"/>
      <c r="B94" s="144"/>
      <c r="C94" s="136"/>
      <c r="D94" s="135"/>
      <c r="E94" s="136" t="s">
        <v>526</v>
      </c>
      <c r="F94" s="250">
        <v>5</v>
      </c>
      <c r="G94" s="134"/>
      <c r="H94" s="135"/>
      <c r="I94" s="136"/>
      <c r="J94" s="135"/>
      <c r="K94" s="136"/>
      <c r="L94" s="140"/>
    </row>
    <row r="95" spans="1:12">
      <c r="A95" s="143"/>
      <c r="B95" s="144"/>
      <c r="C95" s="136"/>
      <c r="D95" s="135"/>
      <c r="E95" s="136" t="s">
        <v>526</v>
      </c>
      <c r="F95" s="250">
        <v>5</v>
      </c>
      <c r="G95" s="134"/>
      <c r="H95" s="135"/>
      <c r="I95" s="136"/>
      <c r="J95" s="135"/>
      <c r="K95" s="136"/>
      <c r="L95" s="140"/>
    </row>
    <row r="96" spans="1:12">
      <c r="A96" s="143"/>
      <c r="B96" s="144"/>
      <c r="C96" s="136"/>
      <c r="D96" s="135"/>
      <c r="E96" s="136" t="s">
        <v>526</v>
      </c>
      <c r="F96" s="250">
        <v>5</v>
      </c>
      <c r="G96" s="134"/>
      <c r="H96" s="135"/>
      <c r="I96" s="136"/>
      <c r="J96" s="135"/>
      <c r="K96" s="364"/>
      <c r="L96" s="140"/>
    </row>
    <row r="97" spans="1:15">
      <c r="A97" s="143"/>
      <c r="B97" s="144"/>
      <c r="C97" s="136"/>
      <c r="D97" s="135"/>
      <c r="E97" s="136" t="s">
        <v>528</v>
      </c>
      <c r="F97" s="250">
        <v>5</v>
      </c>
      <c r="G97" s="134"/>
      <c r="H97" s="135"/>
      <c r="I97" s="136"/>
      <c r="J97" s="135"/>
      <c r="K97" s="364"/>
      <c r="L97" s="140"/>
    </row>
    <row r="98" spans="1:15">
      <c r="A98" s="143"/>
      <c r="B98" s="144"/>
      <c r="C98" s="136"/>
      <c r="D98" s="135"/>
      <c r="E98" s="136" t="s">
        <v>534</v>
      </c>
      <c r="F98" s="250">
        <v>5</v>
      </c>
      <c r="G98" s="134"/>
      <c r="H98" s="135"/>
      <c r="I98" s="136"/>
      <c r="J98" s="135"/>
      <c r="K98" s="364"/>
      <c r="L98" s="140"/>
    </row>
    <row r="99" spans="1:15" ht="12.75">
      <c r="A99" s="143"/>
      <c r="B99" s="144"/>
      <c r="C99" s="136"/>
      <c r="D99" s="135"/>
      <c r="E99" s="412"/>
      <c r="F99" s="413"/>
      <c r="G99" s="134"/>
      <c r="H99" s="135"/>
      <c r="I99" s="136"/>
      <c r="J99" s="135"/>
      <c r="K99" s="364"/>
      <c r="L99" s="140"/>
    </row>
    <row r="100" spans="1:15" ht="12.75">
      <c r="A100" s="143"/>
      <c r="B100" s="144"/>
      <c r="C100" s="136"/>
      <c r="D100" s="135"/>
      <c r="E100" s="412"/>
      <c r="F100" s="413"/>
      <c r="G100" s="134"/>
      <c r="H100" s="135"/>
      <c r="I100" s="136"/>
      <c r="J100" s="135"/>
      <c r="K100" s="364"/>
      <c r="L100" s="140"/>
    </row>
    <row r="101" spans="1:15">
      <c r="A101" s="143"/>
      <c r="B101" s="144"/>
      <c r="C101" s="136"/>
      <c r="D101" s="135"/>
      <c r="E101" s="136"/>
      <c r="F101" s="140"/>
      <c r="G101" s="134"/>
      <c r="H101" s="135"/>
      <c r="I101" s="136"/>
      <c r="J101" s="135"/>
      <c r="K101" s="364"/>
      <c r="L101" s="140"/>
    </row>
    <row r="102" spans="1:15">
      <c r="A102" s="152"/>
      <c r="B102" s="153"/>
      <c r="C102" s="414"/>
      <c r="D102" s="415"/>
      <c r="E102" s="155"/>
      <c r="F102" s="156"/>
      <c r="G102" s="416"/>
      <c r="H102" s="415"/>
      <c r="I102" s="414"/>
      <c r="J102" s="417"/>
      <c r="K102" s="252"/>
      <c r="L102" s="253"/>
    </row>
    <row r="103" spans="1:15">
      <c r="A103" s="157" t="s">
        <v>103</v>
      </c>
      <c r="B103" s="158">
        <f>SUM(B47:B102)</f>
        <v>5.617</v>
      </c>
      <c r="C103" s="159" t="s">
        <v>103</v>
      </c>
      <c r="D103" s="158">
        <f>SUM(D47:D102)</f>
        <v>155</v>
      </c>
      <c r="E103" s="159" t="s">
        <v>103</v>
      </c>
      <c r="F103" s="160">
        <f>SUM(F47:F102)</f>
        <v>376.65</v>
      </c>
      <c r="G103" s="157"/>
      <c r="H103" s="158"/>
      <c r="I103" s="159" t="s">
        <v>103</v>
      </c>
      <c r="J103" s="161">
        <f>SUM(J47:J102)</f>
        <v>271.238</v>
      </c>
      <c r="K103" s="159" t="s">
        <v>103</v>
      </c>
      <c r="L103" s="162">
        <f>SUM(L47:L102)</f>
        <v>392.58199999999994</v>
      </c>
    </row>
    <row r="104" spans="1:15" ht="12.75" thickBot="1">
      <c r="A104" s="163"/>
      <c r="B104" s="164"/>
      <c r="C104" s="165"/>
      <c r="D104" s="164"/>
      <c r="E104" s="166" t="s">
        <v>104</v>
      </c>
      <c r="F104" s="167">
        <f>+B103+F103+D103</f>
        <v>537.26700000000005</v>
      </c>
      <c r="G104" s="163"/>
      <c r="H104" s="164"/>
      <c r="I104" s="165"/>
      <c r="J104" s="164"/>
      <c r="K104" s="166" t="s">
        <v>104</v>
      </c>
      <c r="L104" s="167">
        <f>J103+L103</f>
        <v>663.81999999999994</v>
      </c>
    </row>
    <row r="105" spans="1:15" ht="12.75">
      <c r="G105" s="168"/>
      <c r="H105"/>
    </row>
    <row r="106" spans="1:15" ht="12.75">
      <c r="A106" s="12" t="s">
        <v>484</v>
      </c>
      <c r="H106"/>
    </row>
    <row r="107" spans="1:15" ht="12.75">
      <c r="G107" s="310"/>
      <c r="H107"/>
    </row>
    <row r="108" spans="1:15" ht="12.75" hidden="1">
      <c r="E108"/>
      <c r="G108" s="12" t="s">
        <v>105</v>
      </c>
      <c r="H108"/>
    </row>
    <row r="109" spans="1:15" ht="24" hidden="1">
      <c r="A109" s="169" t="s">
        <v>106</v>
      </c>
      <c r="B109" s="169" t="s">
        <v>107</v>
      </c>
      <c r="C109" s="169" t="s">
        <v>108</v>
      </c>
      <c r="D109" s="169" t="s">
        <v>109</v>
      </c>
      <c r="E109" s="169" t="s">
        <v>110</v>
      </c>
      <c r="F109" s="169" t="s">
        <v>111</v>
      </c>
      <c r="G109" s="12">
        <v>1.65</v>
      </c>
      <c r="H109"/>
    </row>
    <row r="110" spans="1:15" ht="12.75" hidden="1">
      <c r="A110" t="s">
        <v>112</v>
      </c>
      <c r="B110" t="s">
        <v>113</v>
      </c>
      <c r="C110">
        <v>10</v>
      </c>
      <c r="D110">
        <v>95</v>
      </c>
      <c r="E110">
        <v>0.09</v>
      </c>
      <c r="F110">
        <f>+$G$109*(E110/100)</f>
        <v>1.4849999999999998E-3</v>
      </c>
      <c r="G110"/>
      <c r="H110"/>
      <c r="I110"/>
      <c r="J110"/>
      <c r="K110"/>
      <c r="L110"/>
      <c r="M110"/>
      <c r="N110"/>
      <c r="O110"/>
    </row>
    <row r="111" spans="1:15" ht="12.75" hidden="1">
      <c r="A111"/>
      <c r="B111" t="s">
        <v>114</v>
      </c>
      <c r="C111">
        <v>42</v>
      </c>
      <c r="D111">
        <v>65</v>
      </c>
      <c r="E111">
        <v>0.27</v>
      </c>
      <c r="F111">
        <f>+$G$109*(E111/100)</f>
        <v>4.4549999999999998E-3</v>
      </c>
      <c r="G111"/>
      <c r="H111"/>
      <c r="I111"/>
      <c r="J111"/>
      <c r="K111"/>
      <c r="L111"/>
      <c r="M111"/>
      <c r="N111"/>
      <c r="O111"/>
    </row>
    <row r="112" spans="1:15" ht="12.75" hidden="1">
      <c r="A112"/>
      <c r="B112" t="s">
        <v>115</v>
      </c>
      <c r="C112">
        <v>89</v>
      </c>
      <c r="D112">
        <v>43.87</v>
      </c>
      <c r="E112">
        <v>0.39</v>
      </c>
      <c r="F112">
        <f>+$G$109*(E112/100)</f>
        <v>6.4349999999999997E-3</v>
      </c>
      <c r="G112"/>
      <c r="H112"/>
      <c r="I112"/>
      <c r="J112"/>
      <c r="K112"/>
      <c r="L112"/>
      <c r="M112"/>
      <c r="N112"/>
      <c r="O112"/>
    </row>
    <row r="113" spans="1:15" ht="12.75" hidden="1">
      <c r="A113"/>
      <c r="B113" t="s">
        <v>116</v>
      </c>
      <c r="C113">
        <v>2.44</v>
      </c>
      <c r="D113">
        <v>1.05</v>
      </c>
      <c r="E113">
        <v>0.03</v>
      </c>
      <c r="F113">
        <f>+$G$109*(E113/100)</f>
        <v>4.9499999999999989E-4</v>
      </c>
      <c r="G113"/>
      <c r="H113"/>
      <c r="I113"/>
      <c r="J113"/>
      <c r="K113"/>
      <c r="L113"/>
      <c r="M113"/>
      <c r="N113"/>
      <c r="O113"/>
    </row>
    <row r="114" spans="1:15" ht="12.75" hidden="1">
      <c r="A114"/>
      <c r="B114"/>
      <c r="C114"/>
      <c r="D114"/>
      <c r="E114" s="170" t="s">
        <v>104</v>
      </c>
      <c r="F114">
        <f>SUM(F110:F113)</f>
        <v>1.2869999999999999E-2</v>
      </c>
      <c r="G114"/>
      <c r="H114"/>
      <c r="I114"/>
      <c r="J114"/>
      <c r="K114"/>
      <c r="L114"/>
      <c r="M114"/>
      <c r="N114"/>
      <c r="O114"/>
    </row>
    <row r="115" spans="1:15" ht="12.75" hidden="1">
      <c r="A115"/>
      <c r="B115"/>
      <c r="C115"/>
      <c r="D115"/>
      <c r="E115" s="170"/>
      <c r="F115"/>
      <c r="G115"/>
      <c r="H115"/>
      <c r="I115"/>
      <c r="J115"/>
      <c r="K115"/>
      <c r="L115"/>
      <c r="M115"/>
      <c r="N115"/>
      <c r="O115"/>
    </row>
    <row r="116" spans="1:15" ht="12.75" hidden="1">
      <c r="A116" t="s">
        <v>117</v>
      </c>
      <c r="B116" t="s">
        <v>118</v>
      </c>
      <c r="C116" s="171">
        <v>0.27</v>
      </c>
      <c r="D116" s="171">
        <v>96.33</v>
      </c>
      <c r="E116" s="171">
        <v>0.26</v>
      </c>
      <c r="F116" s="171">
        <f>+$G$109*(E116/100)</f>
        <v>4.2899999999999995E-3</v>
      </c>
      <c r="G116"/>
      <c r="H116"/>
      <c r="I116"/>
      <c r="J116"/>
      <c r="K116"/>
      <c r="L116"/>
      <c r="M116"/>
      <c r="N116"/>
      <c r="O116"/>
    </row>
    <row r="117" spans="1:15" ht="12.75" hidden="1">
      <c r="A117"/>
      <c r="B117" t="s">
        <v>119</v>
      </c>
      <c r="C117" s="171">
        <v>0.36</v>
      </c>
      <c r="D117" s="171">
        <v>85.77</v>
      </c>
      <c r="E117" s="171">
        <v>0.31</v>
      </c>
      <c r="F117" s="171">
        <f>+$G$109*(E117/100)</f>
        <v>5.1149999999999998E-3</v>
      </c>
      <c r="G117"/>
      <c r="H117"/>
      <c r="I117"/>
      <c r="J117"/>
      <c r="K117"/>
      <c r="L117"/>
      <c r="M117"/>
      <c r="N117"/>
      <c r="O117"/>
    </row>
    <row r="118" spans="1:15" ht="12.75" hidden="1">
      <c r="A118"/>
      <c r="B118" t="s">
        <v>120</v>
      </c>
      <c r="C118" s="171">
        <v>0.8</v>
      </c>
      <c r="D118" s="171">
        <v>9.94</v>
      </c>
      <c r="E118" s="171">
        <v>0.08</v>
      </c>
      <c r="F118" s="171">
        <f>+$G$109*(E118/100)</f>
        <v>1.32E-3</v>
      </c>
      <c r="G118"/>
      <c r="H118"/>
      <c r="I118"/>
      <c r="J118"/>
      <c r="K118"/>
      <c r="L118"/>
      <c r="M118"/>
      <c r="N118"/>
      <c r="O118"/>
    </row>
    <row r="119" spans="1:15" ht="12.75" hidden="1">
      <c r="A119"/>
      <c r="B119" t="s">
        <v>121</v>
      </c>
      <c r="C119" s="171">
        <v>1.1399999999999999</v>
      </c>
      <c r="D119" s="171">
        <v>6.21</v>
      </c>
      <c r="E119" s="171">
        <v>7.0000000000000007E-2</v>
      </c>
      <c r="F119" s="171">
        <f>+$G$109*(E119/100)</f>
        <v>1.1550000000000002E-3</v>
      </c>
      <c r="G119"/>
      <c r="H119"/>
      <c r="I119"/>
      <c r="J119"/>
      <c r="K119"/>
      <c r="L119"/>
      <c r="M119"/>
      <c r="N119"/>
      <c r="O119"/>
    </row>
    <row r="120" spans="1:15" ht="12.75" hidden="1">
      <c r="A120"/>
      <c r="B120"/>
      <c r="C120" s="171"/>
      <c r="D120" s="171"/>
      <c r="E120" s="172" t="s">
        <v>122</v>
      </c>
      <c r="F120" s="171">
        <f>SUM(F117:F119)</f>
        <v>7.5899999999999995E-3</v>
      </c>
      <c r="G120"/>
      <c r="H120"/>
      <c r="I120"/>
      <c r="J120"/>
      <c r="K120"/>
      <c r="L120"/>
      <c r="M120"/>
      <c r="N120"/>
      <c r="O120"/>
    </row>
    <row r="121" spans="1:15" ht="12.75" hidden="1">
      <c r="A121"/>
      <c r="B121"/>
      <c r="C121" s="171"/>
      <c r="D121" s="171"/>
      <c r="E121" s="172" t="s">
        <v>123</v>
      </c>
      <c r="F121" s="171">
        <f>SUM(F116:F119)</f>
        <v>1.188E-2</v>
      </c>
      <c r="G121"/>
      <c r="H121"/>
      <c r="I121"/>
      <c r="J121"/>
      <c r="K121"/>
      <c r="L121"/>
      <c r="M121"/>
      <c r="N121"/>
      <c r="O121"/>
    </row>
    <row r="122" spans="1:15" ht="12.75" hidden="1">
      <c r="A122"/>
      <c r="B122"/>
      <c r="C122" s="171"/>
      <c r="D122" s="171"/>
      <c r="E122" s="171"/>
      <c r="F122" s="171"/>
      <c r="G122"/>
      <c r="H122"/>
      <c r="I122"/>
      <c r="J122"/>
      <c r="K122"/>
      <c r="L122"/>
      <c r="M122"/>
      <c r="N122"/>
      <c r="O122"/>
    </row>
    <row r="123" spans="1:15" ht="12.75" hidden="1">
      <c r="A123" t="s">
        <v>124</v>
      </c>
      <c r="B123" t="s">
        <v>124</v>
      </c>
      <c r="C123" s="171">
        <v>0.62</v>
      </c>
      <c r="D123" s="171">
        <v>94.29</v>
      </c>
      <c r="E123" s="171">
        <v>0.57999999999999996</v>
      </c>
      <c r="F123" s="171">
        <f>+$G$109*(E123/100)</f>
        <v>9.5699999999999986E-3</v>
      </c>
      <c r="G123"/>
      <c r="H123"/>
      <c r="I123"/>
      <c r="J123"/>
      <c r="K123"/>
      <c r="L123"/>
      <c r="M123"/>
      <c r="N123"/>
      <c r="O123"/>
    </row>
    <row r="124" spans="1:15" ht="12.75" hidden="1">
      <c r="A124"/>
      <c r="B124"/>
      <c r="C124" s="171"/>
      <c r="D124" s="171"/>
      <c r="E124" s="171"/>
      <c r="F124" s="171"/>
      <c r="G124"/>
      <c r="H124"/>
      <c r="I124"/>
      <c r="J124"/>
      <c r="K124"/>
      <c r="L124"/>
      <c r="M124"/>
      <c r="N124"/>
      <c r="O124"/>
    </row>
    <row r="125" spans="1:15" ht="12.75" hidden="1">
      <c r="A125" t="s">
        <v>125</v>
      </c>
      <c r="B125" t="s">
        <v>126</v>
      </c>
      <c r="C125" s="171">
        <v>0.85</v>
      </c>
      <c r="D125" s="171">
        <v>100</v>
      </c>
      <c r="E125" s="171">
        <v>0.85</v>
      </c>
      <c r="F125" s="171">
        <f>+$G$109*(E125/100)</f>
        <v>1.4025000000000001E-2</v>
      </c>
      <c r="G125"/>
      <c r="H125"/>
      <c r="I125"/>
      <c r="J125"/>
      <c r="K125"/>
      <c r="L125"/>
      <c r="M125"/>
      <c r="N125"/>
      <c r="O125"/>
    </row>
    <row r="126" spans="1:15" ht="12.75" hidden="1">
      <c r="A126"/>
      <c r="B126"/>
      <c r="C126" s="171"/>
      <c r="D126" s="171"/>
      <c r="E126" s="171"/>
      <c r="F126" s="171"/>
      <c r="G126"/>
      <c r="H126"/>
      <c r="I126"/>
      <c r="J126"/>
      <c r="K126"/>
      <c r="L126"/>
      <c r="M126"/>
      <c r="N126"/>
      <c r="O126"/>
    </row>
    <row r="127" spans="1:15" ht="12.75" hidden="1">
      <c r="A127" t="s">
        <v>127</v>
      </c>
      <c r="B127" t="s">
        <v>128</v>
      </c>
      <c r="C127" s="171" t="s">
        <v>129</v>
      </c>
      <c r="D127" s="171"/>
      <c r="E127" s="171">
        <v>0.35460000000000003</v>
      </c>
      <c r="F127" s="171">
        <f>+$G$109*(E127/100)</f>
        <v>5.8509E-3</v>
      </c>
      <c r="G127"/>
      <c r="H127"/>
      <c r="I127"/>
      <c r="J127"/>
      <c r="K127"/>
      <c r="L127"/>
      <c r="M127"/>
      <c r="N127"/>
      <c r="O127"/>
    </row>
    <row r="128" spans="1:15" ht="12.75" hidden="1">
      <c r="A128"/>
      <c r="B128" t="s">
        <v>130</v>
      </c>
      <c r="C128" s="171" t="s">
        <v>131</v>
      </c>
      <c r="D128" s="171"/>
      <c r="E128" s="171">
        <v>0.55700000000000005</v>
      </c>
      <c r="F128" s="171">
        <f>+$G$109*(E128/100)</f>
        <v>9.1905000000000008E-3</v>
      </c>
      <c r="G128"/>
      <c r="H128"/>
      <c r="I128"/>
    </row>
    <row r="129" spans="1:15" ht="12.75" hidden="1">
      <c r="A129"/>
      <c r="B129" t="s">
        <v>132</v>
      </c>
      <c r="C129" s="171" t="s">
        <v>133</v>
      </c>
      <c r="D129" s="171"/>
      <c r="E129" s="171">
        <v>0.628</v>
      </c>
      <c r="F129" s="171">
        <f>+$G$109*(E129/100)</f>
        <v>1.0362E-2</v>
      </c>
      <c r="G129"/>
      <c r="H129"/>
      <c r="I129"/>
    </row>
    <row r="130" spans="1:15" ht="12.75" hidden="1">
      <c r="A130"/>
      <c r="B130"/>
      <c r="C130" s="171"/>
      <c r="D130" s="171"/>
      <c r="E130" s="171"/>
      <c r="F130" s="171"/>
      <c r="G130"/>
      <c r="H130"/>
      <c r="I130"/>
    </row>
    <row r="131" spans="1:15" ht="12.75" hidden="1">
      <c r="A131" t="s">
        <v>134</v>
      </c>
      <c r="B131" t="s">
        <v>135</v>
      </c>
      <c r="C131" s="171" t="s">
        <v>136</v>
      </c>
      <c r="D131" s="171"/>
      <c r="E131" s="171">
        <v>0.309</v>
      </c>
      <c r="F131" s="171">
        <f>+$G$109*(E131/100)</f>
        <v>5.0984999999999997E-3</v>
      </c>
      <c r="G131"/>
      <c r="H131"/>
      <c r="I131"/>
    </row>
    <row r="132" spans="1:15" ht="12.75" hidden="1">
      <c r="A132"/>
      <c r="B132"/>
      <c r="C132" s="171"/>
      <c r="D132" s="171"/>
      <c r="E132" s="171"/>
      <c r="F132" s="171"/>
      <c r="G132"/>
      <c r="H132"/>
      <c r="I132"/>
    </row>
    <row r="133" spans="1:15" ht="12.75" hidden="1">
      <c r="A133" t="s">
        <v>137</v>
      </c>
      <c r="B133" t="s">
        <v>138</v>
      </c>
      <c r="C133" s="171" t="s">
        <v>139</v>
      </c>
      <c r="D133" s="171"/>
      <c r="E133" s="171">
        <v>0.37480000000000002</v>
      </c>
      <c r="F133" s="171">
        <f>+$G$109*(E133/100)</f>
        <v>6.1841999999999999E-3</v>
      </c>
      <c r="G133"/>
      <c r="H133"/>
      <c r="I133"/>
    </row>
    <row r="134" spans="1:15" ht="12.75" hidden="1">
      <c r="A134"/>
      <c r="B134"/>
      <c r="C134"/>
      <c r="D134"/>
      <c r="E134"/>
      <c r="F134"/>
      <c r="G134"/>
      <c r="H134"/>
      <c r="I134"/>
    </row>
    <row r="135" spans="1:15" ht="12.75">
      <c r="B135"/>
      <c r="C135"/>
      <c r="D135"/>
      <c r="E135"/>
      <c r="F135"/>
      <c r="G135"/>
      <c r="H135"/>
      <c r="I135"/>
    </row>
    <row r="136" spans="1:15" ht="12.75">
      <c r="A136"/>
      <c r="B136"/>
      <c r="C136"/>
      <c r="D136"/>
      <c r="E136"/>
      <c r="F136"/>
      <c r="G136"/>
      <c r="H136"/>
      <c r="I136"/>
    </row>
    <row r="137" spans="1:15" ht="12.75">
      <c r="A137"/>
      <c r="B137"/>
      <c r="C137"/>
      <c r="D137"/>
      <c r="E137"/>
      <c r="F137"/>
      <c r="G137"/>
      <c r="H137"/>
      <c r="I137"/>
    </row>
    <row r="138" spans="1:15" ht="12.75">
      <c r="A138"/>
      <c r="B138"/>
      <c r="C138"/>
      <c r="D138"/>
      <c r="E138"/>
      <c r="F138"/>
      <c r="G138"/>
      <c r="H138"/>
      <c r="I138"/>
      <c r="N138" s="12" t="s">
        <v>428</v>
      </c>
    </row>
    <row r="139" spans="1:15" ht="12.75">
      <c r="A139" s="421" t="s">
        <v>140</v>
      </c>
      <c r="B139" s="422"/>
      <c r="C139" s="423"/>
      <c r="D139"/>
      <c r="E139" s="173"/>
      <c r="F139"/>
      <c r="G139" s="174"/>
      <c r="H139"/>
      <c r="I139" s="302" t="s">
        <v>47</v>
      </c>
      <c r="J139" s="303"/>
      <c r="K139" s="304"/>
      <c r="N139" s="12" t="s">
        <v>142</v>
      </c>
    </row>
    <row r="140" spans="1:15" ht="12.75">
      <c r="A140" s="178" t="s">
        <v>143</v>
      </c>
      <c r="B140" s="176" t="s">
        <v>144</v>
      </c>
      <c r="C140" s="176">
        <v>0.63</v>
      </c>
      <c r="D140" s="65"/>
      <c r="E140" s="176"/>
      <c r="F140" s="66"/>
      <c r="G140" s="178"/>
      <c r="H140" s="66"/>
      <c r="I140" s="178" t="s">
        <v>516</v>
      </c>
      <c r="J140" s="65">
        <v>5077</v>
      </c>
      <c r="K140" s="420">
        <v>100</v>
      </c>
      <c r="L140" s="65"/>
      <c r="N140" s="12" t="s">
        <v>146</v>
      </c>
      <c r="O140" s="12">
        <v>1024</v>
      </c>
    </row>
    <row r="141" spans="1:15" ht="12.75">
      <c r="A141" s="65"/>
      <c r="B141" s="176" t="s">
        <v>147</v>
      </c>
      <c r="C141" s="176">
        <v>0</v>
      </c>
      <c r="D141" s="65"/>
      <c r="E141" s="66"/>
      <c r="F141" s="66"/>
      <c r="G141" s="178"/>
      <c r="H141" s="66"/>
      <c r="I141" s="178" t="s">
        <v>148</v>
      </c>
      <c r="J141" s="65">
        <v>6688</v>
      </c>
      <c r="K141" s="179">
        <v>14</v>
      </c>
      <c r="L141" s="65"/>
      <c r="N141" s="12" t="s">
        <v>149</v>
      </c>
      <c r="O141" s="377">
        <v>0</v>
      </c>
    </row>
    <row r="142" spans="1:15" ht="12.75">
      <c r="A142" s="65"/>
      <c r="B142" s="176" t="s">
        <v>150</v>
      </c>
      <c r="C142" s="176">
        <v>0.5</v>
      </c>
      <c r="D142" s="65" t="s">
        <v>530</v>
      </c>
      <c r="E142" s="66"/>
      <c r="F142" s="66"/>
      <c r="G142" s="178"/>
      <c r="H142" s="66"/>
      <c r="I142" s="178" t="s">
        <v>68</v>
      </c>
      <c r="J142" s="65">
        <v>6888</v>
      </c>
      <c r="K142" s="179">
        <v>0</v>
      </c>
      <c r="L142" s="65"/>
      <c r="N142" s="12" t="s">
        <v>151</v>
      </c>
      <c r="O142" s="12">
        <v>219</v>
      </c>
    </row>
    <row r="143" spans="1:15" ht="12.75">
      <c r="A143" s="65"/>
      <c r="B143" s="176" t="s">
        <v>152</v>
      </c>
      <c r="C143" s="176">
        <v>10</v>
      </c>
      <c r="D143" s="65">
        <v>2</v>
      </c>
      <c r="E143" s="66"/>
      <c r="F143" s="66"/>
      <c r="G143" s="178"/>
      <c r="H143" s="66" t="s">
        <v>515</v>
      </c>
      <c r="I143" s="178" t="s">
        <v>507</v>
      </c>
      <c r="J143" s="65"/>
      <c r="K143" s="179">
        <v>3957</v>
      </c>
      <c r="L143" s="65"/>
    </row>
    <row r="144" spans="1:15" ht="12.75">
      <c r="A144" s="178" t="s">
        <v>154</v>
      </c>
      <c r="B144" s="176" t="s">
        <v>155</v>
      </c>
      <c r="C144" s="176">
        <v>3.6</v>
      </c>
      <c r="D144" s="65"/>
      <c r="E144" s="66"/>
      <c r="F144" s="66"/>
      <c r="G144" s="178"/>
      <c r="H144" s="66" t="s">
        <v>515</v>
      </c>
      <c r="I144" s="178" t="s">
        <v>507</v>
      </c>
      <c r="J144" s="65"/>
      <c r="K144" s="179">
        <v>5077</v>
      </c>
      <c r="L144" s="65"/>
    </row>
    <row r="145" spans="1:15" ht="12.75">
      <c r="A145" s="178"/>
      <c r="B145" s="176"/>
      <c r="C145" s="176"/>
      <c r="D145" s="65"/>
      <c r="E145" s="66"/>
      <c r="F145" s="66"/>
      <c r="G145" s="178"/>
      <c r="H145" s="66"/>
      <c r="I145" s="178" t="s">
        <v>156</v>
      </c>
      <c r="J145" s="65">
        <v>900338</v>
      </c>
      <c r="K145" s="179">
        <v>640</v>
      </c>
      <c r="L145" s="65"/>
      <c r="N145" s="12" t="s">
        <v>153</v>
      </c>
      <c r="O145" s="403">
        <v>1</v>
      </c>
    </row>
    <row r="146" spans="1:15" ht="12.75">
      <c r="A146" s="65"/>
      <c r="B146" s="176"/>
      <c r="C146" s="178"/>
      <c r="D146" s="65"/>
      <c r="E146" s="66"/>
      <c r="F146" s="66"/>
      <c r="G146" s="178"/>
      <c r="H146" s="66"/>
      <c r="I146" s="178" t="s">
        <v>161</v>
      </c>
      <c r="J146" s="65"/>
      <c r="K146" s="179">
        <v>0</v>
      </c>
      <c r="L146" s="65"/>
      <c r="N146" s="12" t="s">
        <v>157</v>
      </c>
      <c r="O146" s="12">
        <v>90</v>
      </c>
    </row>
    <row r="147" spans="1:15" ht="12.75">
      <c r="A147" s="65"/>
      <c r="B147" s="176"/>
      <c r="C147" s="176"/>
      <c r="D147" s="65"/>
      <c r="E147" s="66"/>
      <c r="F147" s="66"/>
      <c r="G147" s="178"/>
      <c r="H147" s="66"/>
      <c r="I147" s="178" t="s">
        <v>365</v>
      </c>
      <c r="J147" s="65">
        <v>5333</v>
      </c>
      <c r="K147" s="179">
        <v>0</v>
      </c>
      <c r="L147" s="65" t="s">
        <v>366</v>
      </c>
      <c r="N147" s="12" t="s">
        <v>487</v>
      </c>
      <c r="O147" s="367">
        <v>10</v>
      </c>
    </row>
    <row r="148" spans="1:15" ht="12.75">
      <c r="A148" s="178" t="s">
        <v>162</v>
      </c>
      <c r="B148" s="176" t="s">
        <v>163</v>
      </c>
      <c r="C148" s="176">
        <v>0.7</v>
      </c>
      <c r="D148" s="66"/>
      <c r="E148" s="66"/>
      <c r="F148" s="66"/>
      <c r="G148" s="178"/>
      <c r="H148" s="66"/>
      <c r="I148" s="177" t="s">
        <v>168</v>
      </c>
      <c r="J148" s="65">
        <v>6373</v>
      </c>
      <c r="K148" s="179">
        <v>0</v>
      </c>
      <c r="L148" s="65"/>
      <c r="N148" s="12" t="s">
        <v>80</v>
      </c>
      <c r="O148" s="403">
        <v>1000</v>
      </c>
    </row>
    <row r="149" spans="1:15" ht="12.75">
      <c r="A149" s="66"/>
      <c r="B149" s="176" t="s">
        <v>6</v>
      </c>
      <c r="C149" s="176">
        <v>13</v>
      </c>
      <c r="D149" s="66"/>
      <c r="E149" s="66"/>
      <c r="F149" s="66"/>
      <c r="G149" s="178"/>
      <c r="H149" s="66"/>
      <c r="I149" s="177" t="s">
        <v>165</v>
      </c>
      <c r="J149" s="65">
        <v>4286</v>
      </c>
      <c r="K149" s="179">
        <v>0</v>
      </c>
      <c r="L149" s="65"/>
      <c r="N149" s="12" t="s">
        <v>307</v>
      </c>
      <c r="O149" s="377">
        <v>1</v>
      </c>
    </row>
    <row r="150" spans="1:15" ht="12.75">
      <c r="A150" s="66"/>
      <c r="B150" s="176" t="s">
        <v>7</v>
      </c>
      <c r="C150" s="178">
        <v>0</v>
      </c>
      <c r="D150" s="66" t="s">
        <v>65</v>
      </c>
      <c r="E150" s="66"/>
      <c r="F150" s="66"/>
      <c r="G150" s="178"/>
      <c r="H150" s="66"/>
      <c r="I150" s="177" t="s">
        <v>401</v>
      </c>
      <c r="J150" s="65">
        <v>6480</v>
      </c>
      <c r="K150" s="179">
        <v>0</v>
      </c>
      <c r="L150" s="235"/>
      <c r="N150" s="12" t="s">
        <v>102</v>
      </c>
      <c r="O150" s="377">
        <v>1</v>
      </c>
    </row>
    <row r="151" spans="1:15" ht="12.75">
      <c r="A151" s="66"/>
      <c r="B151" s="176" t="s">
        <v>167</v>
      </c>
      <c r="C151" s="176">
        <v>2.5000000000000001E-2</v>
      </c>
      <c r="D151" s="66"/>
      <c r="E151" s="66"/>
      <c r="F151" s="66"/>
      <c r="G151" s="178"/>
      <c r="H151" s="178"/>
      <c r="I151" s="177" t="s">
        <v>342</v>
      </c>
      <c r="J151" s="65">
        <v>6551</v>
      </c>
      <c r="K151" s="179">
        <v>0</v>
      </c>
      <c r="L151" s="65" t="s">
        <v>460</v>
      </c>
    </row>
    <row r="152" spans="1:15" ht="12.75">
      <c r="A152" s="66"/>
      <c r="B152" s="176" t="s">
        <v>169</v>
      </c>
      <c r="C152" s="178">
        <v>0</v>
      </c>
      <c r="D152" s="66"/>
      <c r="E152" s="66"/>
      <c r="F152" s="66"/>
      <c r="G152" s="178"/>
      <c r="H152" s="66"/>
      <c r="I152" s="177" t="s">
        <v>164</v>
      </c>
      <c r="J152" s="65">
        <v>6835</v>
      </c>
      <c r="K152" s="179">
        <v>0</v>
      </c>
      <c r="L152" s="65" t="s">
        <v>460</v>
      </c>
    </row>
    <row r="153" spans="1:15" ht="12.75">
      <c r="A153" s="66"/>
      <c r="B153" s="176" t="s">
        <v>482</v>
      </c>
      <c r="C153" s="176">
        <v>0.02</v>
      </c>
      <c r="D153" s="65"/>
      <c r="E153" s="66"/>
      <c r="F153" s="66"/>
      <c r="G153" s="178"/>
      <c r="H153" s="66"/>
      <c r="I153" s="177" t="s">
        <v>166</v>
      </c>
      <c r="J153" s="65">
        <v>9676</v>
      </c>
      <c r="K153" s="179">
        <v>0</v>
      </c>
      <c r="L153" s="235"/>
    </row>
    <row r="154" spans="1:15" ht="12.75">
      <c r="A154" s="66"/>
      <c r="B154" s="176" t="s">
        <v>171</v>
      </c>
      <c r="C154" s="176">
        <v>8</v>
      </c>
      <c r="D154" s="66"/>
      <c r="E154" s="66"/>
      <c r="F154" s="66"/>
      <c r="G154" s="178"/>
      <c r="H154" s="66"/>
      <c r="I154" s="177" t="s">
        <v>402</v>
      </c>
      <c r="J154" s="65">
        <v>4056</v>
      </c>
      <c r="K154" s="179">
        <v>0</v>
      </c>
      <c r="L154" s="65"/>
    </row>
    <row r="155" spans="1:15" ht="12.75">
      <c r="A155" s="66"/>
      <c r="B155" s="176" t="s">
        <v>173</v>
      </c>
      <c r="C155" s="371">
        <v>20</v>
      </c>
      <c r="D155" s="66"/>
      <c r="E155" s="66"/>
      <c r="F155" s="66"/>
      <c r="G155" s="178"/>
      <c r="H155" s="66"/>
      <c r="I155" s="177" t="s">
        <v>402</v>
      </c>
      <c r="J155" s="65">
        <v>6855</v>
      </c>
      <c r="K155" s="179">
        <v>0</v>
      </c>
      <c r="L155" s="65"/>
    </row>
    <row r="156" spans="1:15" ht="12.75">
      <c r="A156" s="66"/>
      <c r="B156" s="176" t="s">
        <v>175</v>
      </c>
      <c r="C156" s="176">
        <v>3.85</v>
      </c>
      <c r="D156" s="66"/>
      <c r="E156" s="66"/>
      <c r="F156" s="66"/>
      <c r="G156" s="178"/>
      <c r="H156" s="66" t="s">
        <v>515</v>
      </c>
      <c r="I156" s="177" t="s">
        <v>170</v>
      </c>
      <c r="J156" s="65">
        <v>4132</v>
      </c>
      <c r="K156" s="179">
        <v>0</v>
      </c>
      <c r="L156" s="65"/>
    </row>
    <row r="157" spans="1:15" ht="12.75">
      <c r="A157" s="66"/>
      <c r="B157" s="176" t="s">
        <v>11</v>
      </c>
      <c r="C157" s="176">
        <v>5</v>
      </c>
      <c r="D157" s="66"/>
      <c r="E157" s="66"/>
      <c r="F157" s="66"/>
      <c r="G157" s="178"/>
      <c r="H157" s="66"/>
      <c r="I157" s="177" t="s">
        <v>172</v>
      </c>
      <c r="J157" s="65">
        <v>4120</v>
      </c>
      <c r="K157" s="179">
        <v>821</v>
      </c>
      <c r="L157" s="65"/>
    </row>
    <row r="158" spans="1:15" ht="12.75">
      <c r="A158" s="66"/>
      <c r="B158" s="176" t="s">
        <v>11</v>
      </c>
      <c r="C158" s="176">
        <v>0</v>
      </c>
      <c r="D158" s="66"/>
      <c r="E158" s="66"/>
      <c r="F158" s="66"/>
      <c r="G158" s="178"/>
      <c r="H158" s="65"/>
      <c r="I158" s="177" t="s">
        <v>78</v>
      </c>
      <c r="J158" s="65">
        <v>639</v>
      </c>
      <c r="K158" s="179">
        <v>460</v>
      </c>
      <c r="L158" s="65"/>
    </row>
    <row r="159" spans="1:15" ht="12.75">
      <c r="A159" s="66"/>
      <c r="B159" s="176" t="s">
        <v>178</v>
      </c>
      <c r="C159" s="176">
        <v>2.5000000000000001E-2</v>
      </c>
      <c r="D159" s="66"/>
      <c r="E159" s="66"/>
      <c r="F159" s="66"/>
      <c r="G159" s="178"/>
      <c r="H159" s="65"/>
      <c r="I159" s="177" t="s">
        <v>343</v>
      </c>
      <c r="J159" s="65">
        <v>6840</v>
      </c>
      <c r="K159" s="179">
        <v>0</v>
      </c>
      <c r="L159" s="65"/>
    </row>
    <row r="160" spans="1:15" ht="12.75">
      <c r="A160" s="66"/>
      <c r="B160" s="66" t="s">
        <v>178</v>
      </c>
      <c r="C160" s="66">
        <v>0</v>
      </c>
      <c r="D160" s="65"/>
      <c r="E160" s="66"/>
      <c r="F160" s="66"/>
      <c r="G160" s="178"/>
      <c r="H160" s="65"/>
      <c r="I160" s="177" t="s">
        <v>176</v>
      </c>
      <c r="J160" s="65">
        <v>6519</v>
      </c>
      <c r="K160" s="179">
        <v>0</v>
      </c>
      <c r="L160" s="65"/>
    </row>
    <row r="161" spans="1:12" ht="12.75">
      <c r="A161" s="66"/>
      <c r="B161" s="176" t="s">
        <v>70</v>
      </c>
      <c r="C161" s="176">
        <v>4.3</v>
      </c>
      <c r="D161" s="66"/>
      <c r="E161" s="66"/>
      <c r="F161" s="66"/>
      <c r="G161" s="178"/>
      <c r="H161" s="65" t="s">
        <v>515</v>
      </c>
      <c r="I161" s="177" t="s">
        <v>177</v>
      </c>
      <c r="J161" s="65">
        <v>5502</v>
      </c>
      <c r="K161" s="179">
        <v>0</v>
      </c>
      <c r="L161" s="65"/>
    </row>
    <row r="162" spans="1:12" ht="12.75">
      <c r="A162" s="66"/>
      <c r="B162" s="176" t="s">
        <v>498</v>
      </c>
      <c r="C162" s="176">
        <v>5</v>
      </c>
      <c r="D162" s="65"/>
      <c r="E162" s="66"/>
      <c r="F162" s="66"/>
      <c r="G162" s="178"/>
      <c r="H162" s="65"/>
      <c r="I162" s="177" t="s">
        <v>179</v>
      </c>
      <c r="J162" s="65">
        <v>6789</v>
      </c>
      <c r="K162" s="179">
        <v>0</v>
      </c>
      <c r="L162" s="65" t="s">
        <v>460</v>
      </c>
    </row>
    <row r="163" spans="1:12" ht="12.75">
      <c r="A163" s="66"/>
      <c r="B163" s="176" t="s">
        <v>180</v>
      </c>
      <c r="C163" s="176">
        <v>0.05</v>
      </c>
      <c r="D163" s="66"/>
      <c r="E163" s="66"/>
      <c r="F163" s="66"/>
      <c r="G163" s="178"/>
      <c r="H163" s="65"/>
      <c r="I163" s="177" t="s">
        <v>354</v>
      </c>
      <c r="J163" s="65">
        <v>6545</v>
      </c>
      <c r="K163" s="179">
        <v>0</v>
      </c>
      <c r="L163" s="65" t="s">
        <v>460</v>
      </c>
    </row>
    <row r="164" spans="1:12" ht="12.75">
      <c r="A164" s="65"/>
      <c r="B164" s="176" t="s">
        <v>181</v>
      </c>
      <c r="C164" s="176" t="s">
        <v>456</v>
      </c>
      <c r="D164" s="66" t="s">
        <v>445</v>
      </c>
      <c r="E164" s="66"/>
      <c r="F164" s="66"/>
      <c r="G164" s="178"/>
      <c r="H164" s="65" t="s">
        <v>515</v>
      </c>
      <c r="I164" s="177" t="s">
        <v>354</v>
      </c>
      <c r="J164" s="65">
        <v>275</v>
      </c>
      <c r="K164" s="179">
        <v>66</v>
      </c>
      <c r="L164" s="65"/>
    </row>
    <row r="165" spans="1:12" ht="12.75">
      <c r="A165" s="65"/>
      <c r="B165" s="176" t="s">
        <v>183</v>
      </c>
      <c r="C165" s="176">
        <v>0.6</v>
      </c>
      <c r="D165" s="65"/>
      <c r="E165" s="66"/>
      <c r="F165" s="66"/>
      <c r="G165" s="178"/>
      <c r="H165" s="65"/>
      <c r="I165" s="177" t="s">
        <v>355</v>
      </c>
      <c r="J165" s="65">
        <v>9812</v>
      </c>
      <c r="K165" s="179">
        <v>0</v>
      </c>
      <c r="L165" s="65" t="s">
        <v>460</v>
      </c>
    </row>
    <row r="166" spans="1:12" ht="12.75">
      <c r="A166" s="65"/>
      <c r="B166" s="176" t="s">
        <v>187</v>
      </c>
      <c r="C166" s="178">
        <v>0</v>
      </c>
      <c r="D166" s="65"/>
      <c r="E166" s="66"/>
      <c r="F166" s="66"/>
      <c r="G166" s="178"/>
      <c r="H166" s="65"/>
      <c r="I166" s="177" t="s">
        <v>356</v>
      </c>
      <c r="J166" s="65">
        <v>6387</v>
      </c>
      <c r="K166" s="179">
        <v>400</v>
      </c>
      <c r="L166" s="65"/>
    </row>
    <row r="167" spans="1:12" ht="12.75">
      <c r="A167" s="65"/>
      <c r="B167" s="176" t="s">
        <v>189</v>
      </c>
      <c r="C167" s="176">
        <v>6</v>
      </c>
      <c r="D167" s="65"/>
      <c r="E167" s="66"/>
      <c r="F167" s="66"/>
      <c r="G167" s="178"/>
      <c r="H167" s="65"/>
      <c r="I167" s="177" t="s">
        <v>356</v>
      </c>
      <c r="J167" s="65">
        <v>6347</v>
      </c>
      <c r="K167" s="179">
        <v>0</v>
      </c>
      <c r="L167" s="65"/>
    </row>
    <row r="168" spans="1:12" ht="12.75">
      <c r="A168" s="65"/>
      <c r="B168" s="176" t="s">
        <v>191</v>
      </c>
      <c r="C168" s="176">
        <v>0.1</v>
      </c>
      <c r="D168" s="65"/>
      <c r="E168" s="66"/>
      <c r="F168" s="66"/>
      <c r="G168" s="178"/>
      <c r="H168" s="65"/>
      <c r="I168" s="177" t="s">
        <v>356</v>
      </c>
      <c r="J168" s="65">
        <v>5892</v>
      </c>
      <c r="K168" s="179">
        <v>169</v>
      </c>
      <c r="L168" s="65"/>
    </row>
    <row r="169" spans="1:12" ht="12.75">
      <c r="A169" s="65"/>
      <c r="B169" s="176" t="s">
        <v>327</v>
      </c>
      <c r="C169" s="176">
        <v>2</v>
      </c>
      <c r="D169" s="65"/>
      <c r="E169" s="66"/>
      <c r="F169" s="66"/>
      <c r="G169" s="178"/>
      <c r="H169" s="65"/>
      <c r="I169" s="177" t="s">
        <v>356</v>
      </c>
      <c r="J169" s="65">
        <v>6757</v>
      </c>
      <c r="K169" s="179">
        <v>13</v>
      </c>
      <c r="L169" s="65"/>
    </row>
    <row r="170" spans="1:12" ht="12.75">
      <c r="A170" s="65"/>
      <c r="B170" s="176" t="s">
        <v>198</v>
      </c>
      <c r="C170" s="176">
        <v>0</v>
      </c>
      <c r="D170" s="65"/>
      <c r="E170" s="66"/>
      <c r="F170" s="66"/>
      <c r="G170" s="178"/>
      <c r="H170" s="65"/>
      <c r="I170" s="177" t="s">
        <v>182</v>
      </c>
      <c r="J170" s="65">
        <v>6598</v>
      </c>
      <c r="K170" s="179">
        <v>0</v>
      </c>
      <c r="L170" s="65"/>
    </row>
    <row r="171" spans="1:12" ht="12.75">
      <c r="A171" s="65"/>
      <c r="B171" s="176" t="s">
        <v>201</v>
      </c>
      <c r="C171" s="176">
        <v>9</v>
      </c>
      <c r="D171" s="65"/>
      <c r="E171" s="66"/>
      <c r="F171" s="66"/>
      <c r="G171" s="178"/>
      <c r="H171" s="66"/>
      <c r="I171" s="177" t="s">
        <v>184</v>
      </c>
      <c r="J171" s="65">
        <v>6392</v>
      </c>
      <c r="K171" s="179">
        <v>41</v>
      </c>
      <c r="L171" s="65"/>
    </row>
    <row r="172" spans="1:12" ht="12.75">
      <c r="A172" s="65"/>
      <c r="B172" s="176" t="s">
        <v>433</v>
      </c>
      <c r="C172" s="176">
        <v>0.06</v>
      </c>
      <c r="D172" s="65"/>
      <c r="E172" s="66"/>
      <c r="F172" s="66"/>
      <c r="G172" s="178"/>
      <c r="H172" s="66"/>
      <c r="I172" s="178" t="s">
        <v>386</v>
      </c>
      <c r="J172" s="65">
        <v>9643</v>
      </c>
      <c r="K172" s="179">
        <v>1265</v>
      </c>
      <c r="L172" s="65"/>
    </row>
    <row r="173" spans="1:12" ht="12.75">
      <c r="A173" s="65"/>
      <c r="B173" s="176" t="s">
        <v>203</v>
      </c>
      <c r="C173" s="176">
        <v>2.25</v>
      </c>
      <c r="D173" s="65"/>
      <c r="E173" s="66"/>
      <c r="F173" s="66"/>
      <c r="G173" s="178"/>
      <c r="H173" s="65" t="s">
        <v>515</v>
      </c>
      <c r="I173" s="177" t="s">
        <v>297</v>
      </c>
      <c r="J173" s="65">
        <v>440</v>
      </c>
      <c r="K173" s="179">
        <v>444</v>
      </c>
      <c r="L173" s="65"/>
    </row>
    <row r="174" spans="1:12" ht="12.75">
      <c r="A174" s="65"/>
      <c r="B174" s="176" t="s">
        <v>16</v>
      </c>
      <c r="C174" s="176">
        <v>36</v>
      </c>
      <c r="D174" s="65"/>
      <c r="E174" s="66"/>
      <c r="F174" s="66"/>
      <c r="G174" s="178"/>
      <c r="H174" s="66"/>
      <c r="I174" s="177" t="s">
        <v>149</v>
      </c>
      <c r="J174" s="65">
        <v>6173</v>
      </c>
      <c r="K174" s="179">
        <v>535</v>
      </c>
      <c r="L174" s="65"/>
    </row>
    <row r="175" spans="1:12" ht="12.75">
      <c r="A175" s="65"/>
      <c r="B175" s="176" t="s">
        <v>14</v>
      </c>
      <c r="C175" s="176">
        <v>50</v>
      </c>
      <c r="D175" s="65">
        <v>70</v>
      </c>
      <c r="E175" s="66"/>
      <c r="F175" s="66"/>
      <c r="G175" s="178"/>
      <c r="H175" s="65"/>
      <c r="I175" s="177" t="s">
        <v>188</v>
      </c>
      <c r="J175" s="65"/>
      <c r="K175" s="177">
        <v>0</v>
      </c>
      <c r="L175" s="65"/>
    </row>
    <row r="176" spans="1:12" ht="12.75">
      <c r="A176" s="65"/>
      <c r="B176" s="176" t="s">
        <v>208</v>
      </c>
      <c r="C176" s="176">
        <v>0.18</v>
      </c>
      <c r="D176" s="65"/>
      <c r="E176" s="66"/>
      <c r="F176" s="66"/>
      <c r="G176" s="178"/>
      <c r="H176" s="65"/>
      <c r="I176" s="177" t="s">
        <v>190</v>
      </c>
      <c r="J176" s="65">
        <v>4132</v>
      </c>
      <c r="K176" s="179">
        <v>7500</v>
      </c>
      <c r="L176" s="65"/>
    </row>
    <row r="177" spans="1:12" ht="12.75">
      <c r="A177" s="65"/>
      <c r="B177" s="180" t="s">
        <v>210</v>
      </c>
      <c r="C177" s="180">
        <v>2.5</v>
      </c>
      <c r="D177" s="65"/>
      <c r="E177" s="66"/>
      <c r="F177" s="66"/>
      <c r="G177" s="178"/>
      <c r="H177" s="65"/>
      <c r="I177" s="177" t="s">
        <v>192</v>
      </c>
      <c r="J177" s="211" t="s">
        <v>193</v>
      </c>
      <c r="K177" s="179">
        <v>0</v>
      </c>
      <c r="L177" s="65" t="s">
        <v>460</v>
      </c>
    </row>
    <row r="178" spans="1:12" ht="12.75">
      <c r="A178" s="65"/>
      <c r="B178" s="176" t="s">
        <v>18</v>
      </c>
      <c r="C178" s="176">
        <v>30</v>
      </c>
      <c r="D178" s="65"/>
      <c r="E178" s="66"/>
      <c r="F178" s="66"/>
      <c r="G178" s="178"/>
      <c r="H178" s="65"/>
      <c r="I178" s="177" t="s">
        <v>195</v>
      </c>
      <c r="J178" s="65">
        <v>3405</v>
      </c>
      <c r="K178" s="177">
        <v>0</v>
      </c>
      <c r="L178" s="65"/>
    </row>
    <row r="179" spans="1:12" ht="12.75">
      <c r="A179" s="65"/>
      <c r="B179" s="176" t="s">
        <v>214</v>
      </c>
      <c r="C179" s="176">
        <v>0</v>
      </c>
      <c r="D179" s="65"/>
      <c r="E179" s="66"/>
      <c r="F179" s="66"/>
      <c r="G179" s="178"/>
      <c r="H179" s="378" t="s">
        <v>486</v>
      </c>
      <c r="I179" s="177" t="s">
        <v>485</v>
      </c>
      <c r="J179" s="65">
        <v>9829</v>
      </c>
      <c r="K179" s="177">
        <v>0</v>
      </c>
      <c r="L179" s="65"/>
    </row>
    <row r="180" spans="1:12" ht="12.75">
      <c r="A180" s="65"/>
      <c r="B180" s="176" t="s">
        <v>216</v>
      </c>
      <c r="C180" s="176">
        <v>10.9</v>
      </c>
      <c r="D180" s="235"/>
      <c r="E180" s="66"/>
      <c r="F180" s="66"/>
      <c r="G180" s="178"/>
      <c r="H180" s="65" t="s">
        <v>515</v>
      </c>
      <c r="I180" s="177" t="s">
        <v>197</v>
      </c>
      <c r="J180" s="65">
        <v>6353</v>
      </c>
      <c r="K180" s="179">
        <v>3500</v>
      </c>
      <c r="L180" s="65"/>
    </row>
    <row r="181" spans="1:12" ht="12.75">
      <c r="A181" s="65"/>
      <c r="B181" s="176" t="s">
        <v>218</v>
      </c>
      <c r="C181" s="176">
        <v>0.63</v>
      </c>
      <c r="D181" s="65"/>
      <c r="E181" s="66"/>
      <c r="F181" s="66"/>
      <c r="G181" s="178"/>
      <c r="H181" s="66"/>
      <c r="I181" s="177" t="s">
        <v>199</v>
      </c>
      <c r="J181" s="65">
        <v>6899</v>
      </c>
      <c r="K181" s="179">
        <v>1</v>
      </c>
      <c r="L181" s="65"/>
    </row>
    <row r="182" spans="1:12" ht="12.75">
      <c r="A182" s="65"/>
      <c r="B182" s="176" t="s">
        <v>220</v>
      </c>
      <c r="C182" s="176">
        <v>0.47499999999999998</v>
      </c>
      <c r="D182" s="65"/>
      <c r="E182" s="66"/>
      <c r="F182" s="66"/>
      <c r="G182" s="178"/>
      <c r="H182" s="65" t="s">
        <v>515</v>
      </c>
      <c r="I182" s="177" t="s">
        <v>357</v>
      </c>
      <c r="J182" s="258" t="s">
        <v>358</v>
      </c>
      <c r="K182" s="179">
        <v>20</v>
      </c>
      <c r="L182" s="65"/>
    </row>
    <row r="183" spans="1:12" ht="12.75">
      <c r="A183" s="65"/>
      <c r="B183" s="176" t="s">
        <v>222</v>
      </c>
      <c r="C183" s="176">
        <v>0.85</v>
      </c>
      <c r="D183" s="65"/>
      <c r="E183" s="66"/>
      <c r="F183" s="66"/>
      <c r="G183" s="178"/>
      <c r="H183" s="65"/>
      <c r="I183" s="177" t="s">
        <v>202</v>
      </c>
      <c r="J183" s="65">
        <v>7491</v>
      </c>
      <c r="K183" s="179">
        <v>0</v>
      </c>
      <c r="L183" s="65"/>
    </row>
    <row r="184" spans="1:12" ht="12.75">
      <c r="A184" s="65"/>
      <c r="B184" s="176" t="s">
        <v>88</v>
      </c>
      <c r="C184" s="176">
        <v>0</v>
      </c>
      <c r="D184" s="65"/>
      <c r="E184" s="66"/>
      <c r="F184" s="66"/>
      <c r="G184" s="178"/>
      <c r="H184" s="65"/>
      <c r="I184" s="177" t="s">
        <v>359</v>
      </c>
      <c r="J184" s="65">
        <v>6173</v>
      </c>
      <c r="K184" s="179">
        <v>0</v>
      </c>
      <c r="L184" s="65"/>
    </row>
    <row r="185" spans="1:12" ht="12.75">
      <c r="A185" s="65"/>
      <c r="B185" s="176" t="s">
        <v>488</v>
      </c>
      <c r="C185" s="176">
        <v>15</v>
      </c>
      <c r="D185" s="65"/>
      <c r="E185" s="66"/>
      <c r="F185" s="66"/>
      <c r="G185" s="178"/>
      <c r="H185" s="65"/>
      <c r="I185" s="177" t="s">
        <v>204</v>
      </c>
      <c r="J185" s="65">
        <v>6210</v>
      </c>
      <c r="K185" s="179">
        <v>0</v>
      </c>
      <c r="L185" s="65" t="s">
        <v>460</v>
      </c>
    </row>
    <row r="186" spans="1:12" ht="12.75">
      <c r="A186" s="65"/>
      <c r="B186" s="176" t="s">
        <v>418</v>
      </c>
      <c r="C186" s="176">
        <v>4.4999999999999998E-2</v>
      </c>
      <c r="D186" s="65"/>
      <c r="E186" s="66"/>
      <c r="F186" s="66"/>
      <c r="G186" s="178"/>
      <c r="H186" s="65"/>
      <c r="I186" s="177" t="s">
        <v>205</v>
      </c>
      <c r="J186" s="65">
        <v>5097</v>
      </c>
      <c r="K186" s="179">
        <v>300</v>
      </c>
      <c r="L186" s="65"/>
    </row>
    <row r="187" spans="1:12" ht="12.75">
      <c r="A187" s="65"/>
      <c r="B187" s="176" t="s">
        <v>227</v>
      </c>
      <c r="C187" s="176">
        <v>1</v>
      </c>
      <c r="D187" s="65"/>
      <c r="E187" s="66"/>
      <c r="F187" s="66"/>
      <c r="G187" s="178"/>
      <c r="H187" s="65"/>
      <c r="I187" s="177" t="s">
        <v>206</v>
      </c>
      <c r="J187" s="212" t="s">
        <v>382</v>
      </c>
      <c r="K187" s="179">
        <v>0</v>
      </c>
      <c r="L187" s="65" t="s">
        <v>460</v>
      </c>
    </row>
    <row r="188" spans="1:12" ht="12.75">
      <c r="A188" s="65"/>
      <c r="B188" s="176" t="s">
        <v>229</v>
      </c>
      <c r="C188" s="176">
        <v>1.5</v>
      </c>
      <c r="D188" s="65"/>
      <c r="E188" s="66"/>
      <c r="F188" s="66"/>
      <c r="G188" s="178"/>
      <c r="H188" s="65" t="s">
        <v>515</v>
      </c>
      <c r="I188" s="177" t="s">
        <v>509</v>
      </c>
      <c r="J188" s="258" t="s">
        <v>358</v>
      </c>
      <c r="K188" s="179">
        <v>800</v>
      </c>
      <c r="L188" s="65"/>
    </row>
    <row r="189" spans="1:12" ht="12.75">
      <c r="A189" s="65"/>
      <c r="B189" s="176" t="s">
        <v>231</v>
      </c>
      <c r="C189" s="176">
        <v>1.7</v>
      </c>
      <c r="D189" s="65"/>
      <c r="E189" s="66"/>
      <c r="F189" s="66"/>
      <c r="G189" s="178"/>
      <c r="H189" s="65" t="s">
        <v>515</v>
      </c>
      <c r="I189" s="177" t="s">
        <v>476</v>
      </c>
      <c r="J189" s="258" t="s">
        <v>477</v>
      </c>
      <c r="K189" s="179">
        <v>0</v>
      </c>
      <c r="L189" s="65"/>
    </row>
    <row r="190" spans="1:12" ht="12.75">
      <c r="A190" s="65"/>
      <c r="B190" s="176" t="s">
        <v>233</v>
      </c>
      <c r="C190" s="176">
        <v>15</v>
      </c>
      <c r="D190" s="177"/>
      <c r="E190" s="66"/>
      <c r="F190" s="66"/>
      <c r="G190" s="178"/>
      <c r="H190" s="65"/>
      <c r="I190" s="177" t="s">
        <v>86</v>
      </c>
      <c r="J190" s="379" t="s">
        <v>490</v>
      </c>
      <c r="K190" s="179">
        <v>5374</v>
      </c>
      <c r="L190" s="65"/>
    </row>
    <row r="191" spans="1:12" ht="12.75">
      <c r="A191" s="65"/>
      <c r="B191" s="176" t="s">
        <v>235</v>
      </c>
      <c r="C191" s="176">
        <v>6</v>
      </c>
      <c r="D191" s="65"/>
      <c r="E191" s="66"/>
      <c r="F191" s="66"/>
      <c r="G191" s="178"/>
      <c r="H191" s="65"/>
      <c r="I191" s="177" t="s">
        <v>219</v>
      </c>
      <c r="J191" s="65">
        <v>6614</v>
      </c>
      <c r="K191" s="179">
        <v>0</v>
      </c>
      <c r="L191" s="65"/>
    </row>
    <row r="192" spans="1:12" ht="12.75">
      <c r="A192" s="65"/>
      <c r="B192" s="176" t="s">
        <v>237</v>
      </c>
      <c r="C192" s="176">
        <v>10</v>
      </c>
      <c r="D192" s="65"/>
      <c r="E192" s="66"/>
      <c r="F192" s="66"/>
      <c r="G192" s="178"/>
      <c r="H192" s="65"/>
      <c r="I192" s="177" t="s">
        <v>213</v>
      </c>
      <c r="J192" s="65">
        <v>5310</v>
      </c>
      <c r="K192" s="179">
        <v>0</v>
      </c>
      <c r="L192" s="65" t="s">
        <v>460</v>
      </c>
    </row>
    <row r="193" spans="1:12" ht="12.75">
      <c r="A193" s="65"/>
      <c r="B193" s="176" t="s">
        <v>239</v>
      </c>
      <c r="C193" s="176">
        <v>0.05</v>
      </c>
      <c r="D193" s="65"/>
      <c r="E193" s="66"/>
      <c r="F193" s="66"/>
      <c r="G193" s="178"/>
      <c r="H193" s="65"/>
      <c r="I193" s="177" t="s">
        <v>221</v>
      </c>
      <c r="J193" s="65">
        <v>6542</v>
      </c>
      <c r="K193" s="179">
        <v>0</v>
      </c>
      <c r="L193" s="65"/>
    </row>
    <row r="194" spans="1:12" ht="12.75">
      <c r="A194" s="65"/>
      <c r="B194" s="176" t="s">
        <v>241</v>
      </c>
      <c r="C194" s="176">
        <v>0.47499999999999998</v>
      </c>
      <c r="D194" s="65"/>
      <c r="E194" s="66"/>
      <c r="F194" s="66"/>
      <c r="G194" s="178"/>
      <c r="H194" s="65"/>
      <c r="I194" s="177" t="s">
        <v>333</v>
      </c>
      <c r="J194" s="212" t="s">
        <v>383</v>
      </c>
      <c r="K194" s="179">
        <v>0</v>
      </c>
      <c r="L194" s="65" t="s">
        <v>460</v>
      </c>
    </row>
    <row r="195" spans="1:12" ht="12.75">
      <c r="A195" s="65"/>
      <c r="B195" s="176" t="s">
        <v>243</v>
      </c>
      <c r="C195" s="176">
        <v>0.20499999999999999</v>
      </c>
      <c r="D195" s="65"/>
      <c r="E195" s="66"/>
      <c r="F195" s="66"/>
      <c r="G195" s="178"/>
      <c r="H195" s="65"/>
      <c r="I195" s="177" t="s">
        <v>333</v>
      </c>
      <c r="J195" s="65">
        <v>6534</v>
      </c>
      <c r="K195" s="179">
        <v>0</v>
      </c>
      <c r="L195" s="65" t="s">
        <v>460</v>
      </c>
    </row>
    <row r="196" spans="1:12" ht="12.75">
      <c r="A196" s="65"/>
      <c r="B196" s="176" t="s">
        <v>267</v>
      </c>
      <c r="C196" s="176">
        <v>0</v>
      </c>
      <c r="D196" s="65"/>
      <c r="E196" s="66"/>
      <c r="F196" s="66"/>
      <c r="G196" s="178"/>
      <c r="H196" s="65"/>
      <c r="I196" s="177" t="s">
        <v>223</v>
      </c>
      <c r="J196" s="65">
        <v>5310</v>
      </c>
      <c r="K196" s="179">
        <v>0</v>
      </c>
      <c r="L196" s="65" t="s">
        <v>460</v>
      </c>
    </row>
    <row r="197" spans="1:12" ht="12.75">
      <c r="A197" s="65"/>
      <c r="B197" s="176" t="s">
        <v>92</v>
      </c>
      <c r="C197" s="176">
        <v>5</v>
      </c>
      <c r="D197" s="65"/>
      <c r="E197" s="66"/>
      <c r="F197" s="66"/>
      <c r="G197" s="178"/>
      <c r="H197" s="65"/>
      <c r="I197" s="177" t="s">
        <v>224</v>
      </c>
      <c r="J197" s="65">
        <v>5310</v>
      </c>
      <c r="K197" s="179">
        <v>0</v>
      </c>
      <c r="L197" s="65" t="s">
        <v>460</v>
      </c>
    </row>
    <row r="198" spans="1:12" ht="12.75">
      <c r="A198" s="65"/>
      <c r="B198" s="176" t="s">
        <v>86</v>
      </c>
      <c r="C198" s="176">
        <v>0</v>
      </c>
      <c r="D198" s="65"/>
      <c r="E198" s="66"/>
      <c r="F198" s="66"/>
      <c r="G198" s="178"/>
      <c r="H198" s="65"/>
      <c r="I198" s="177" t="s">
        <v>232</v>
      </c>
      <c r="J198" s="65"/>
      <c r="K198" s="177">
        <v>0</v>
      </c>
      <c r="L198" s="65"/>
    </row>
    <row r="199" spans="1:12" ht="12.75">
      <c r="A199" s="65"/>
      <c r="B199" s="66" t="s">
        <v>268</v>
      </c>
      <c r="C199" s="66">
        <v>0</v>
      </c>
      <c r="D199" s="65"/>
      <c r="E199" s="66"/>
      <c r="F199" s="66"/>
      <c r="G199" s="178"/>
      <c r="H199" s="65"/>
      <c r="I199" s="177" t="s">
        <v>230</v>
      </c>
      <c r="J199" s="65"/>
      <c r="K199" s="177">
        <v>0</v>
      </c>
      <c r="L199" s="65"/>
    </row>
    <row r="200" spans="1:12" ht="12.75">
      <c r="A200" s="65"/>
      <c r="B200" s="66" t="s">
        <v>248</v>
      </c>
      <c r="C200" s="66">
        <v>0</v>
      </c>
      <c r="D200" s="65"/>
      <c r="E200" s="66"/>
      <c r="F200" s="66"/>
      <c r="G200" s="178"/>
      <c r="H200" s="65"/>
      <c r="I200" s="177" t="s">
        <v>234</v>
      </c>
      <c r="J200" s="65"/>
      <c r="K200" s="177">
        <v>0</v>
      </c>
      <c r="L200" s="65"/>
    </row>
    <row r="201" spans="1:12" ht="12.75">
      <c r="A201" s="65"/>
      <c r="B201" s="66" t="s">
        <v>270</v>
      </c>
      <c r="C201" s="66">
        <v>0</v>
      </c>
      <c r="D201" s="65"/>
      <c r="E201" s="66"/>
      <c r="F201" s="66"/>
      <c r="G201" s="178"/>
      <c r="H201" s="65"/>
      <c r="I201" s="177" t="s">
        <v>226</v>
      </c>
      <c r="J201" s="65"/>
      <c r="K201" s="177">
        <v>0</v>
      </c>
      <c r="L201" s="65"/>
    </row>
    <row r="202" spans="1:12" ht="12.75">
      <c r="A202" s="65"/>
      <c r="B202" s="176" t="s">
        <v>246</v>
      </c>
      <c r="C202" s="176">
        <v>0.47499999999999998</v>
      </c>
      <c r="D202" s="65"/>
      <c r="E202" s="66"/>
      <c r="F202" s="66"/>
      <c r="G202" s="178"/>
      <c r="H202" s="66"/>
      <c r="I202" s="177" t="s">
        <v>228</v>
      </c>
      <c r="J202" s="65"/>
      <c r="K202" s="177">
        <v>0</v>
      </c>
      <c r="L202" s="65"/>
    </row>
    <row r="203" spans="1:12" ht="12.75">
      <c r="A203" s="65"/>
      <c r="B203" s="176" t="s">
        <v>251</v>
      </c>
      <c r="C203" s="176">
        <v>20</v>
      </c>
      <c r="D203" s="65"/>
      <c r="E203" s="66"/>
      <c r="F203" s="66"/>
      <c r="G203" s="178"/>
      <c r="H203" s="65"/>
      <c r="I203" s="177" t="s">
        <v>238</v>
      </c>
      <c r="J203" s="65">
        <v>6722</v>
      </c>
      <c r="K203" s="179">
        <v>493</v>
      </c>
      <c r="L203" s="65"/>
    </row>
    <row r="204" spans="1:12" ht="12.75">
      <c r="A204" s="65"/>
      <c r="B204" s="176" t="s">
        <v>160</v>
      </c>
      <c r="C204" s="176">
        <v>3.1</v>
      </c>
      <c r="D204" s="65"/>
      <c r="E204" s="66"/>
      <c r="F204" s="66"/>
      <c r="G204" s="178"/>
      <c r="H204" s="65"/>
      <c r="I204" s="177" t="s">
        <v>236</v>
      </c>
      <c r="J204" s="65">
        <v>7211</v>
      </c>
      <c r="K204" s="179">
        <v>0</v>
      </c>
      <c r="L204" s="65"/>
    </row>
    <row r="205" spans="1:12" ht="12.75">
      <c r="A205" s="65"/>
      <c r="B205" s="176" t="s">
        <v>535</v>
      </c>
      <c r="C205" s="176">
        <v>0.39</v>
      </c>
      <c r="D205" s="65"/>
      <c r="E205" s="66"/>
      <c r="F205" s="66"/>
      <c r="G205" s="178"/>
      <c r="H205" s="65"/>
      <c r="I205" s="177"/>
      <c r="J205" s="65"/>
      <c r="K205" s="179"/>
      <c r="L205" s="65"/>
    </row>
    <row r="206" spans="1:12" ht="12.75">
      <c r="A206" s="65"/>
      <c r="B206" s="176" t="s">
        <v>253</v>
      </c>
      <c r="C206" s="176">
        <v>1.65</v>
      </c>
      <c r="D206" s="65"/>
      <c r="E206" s="66"/>
      <c r="F206" s="66"/>
      <c r="G206" s="178"/>
      <c r="H206" s="65" t="s">
        <v>515</v>
      </c>
      <c r="I206" s="177" t="s">
        <v>508</v>
      </c>
      <c r="J206" s="65">
        <v>308</v>
      </c>
      <c r="K206" s="179">
        <v>418</v>
      </c>
      <c r="L206" s="65"/>
    </row>
    <row r="207" spans="1:12" ht="12.75">
      <c r="A207" s="65"/>
      <c r="B207" s="66" t="s">
        <v>84</v>
      </c>
      <c r="C207" s="66">
        <v>0</v>
      </c>
      <c r="D207" s="65"/>
      <c r="E207" s="66"/>
      <c r="F207" s="66"/>
      <c r="G207" s="178"/>
      <c r="H207" s="66"/>
      <c r="I207" s="177" t="s">
        <v>242</v>
      </c>
      <c r="J207" s="65">
        <v>4063</v>
      </c>
      <c r="K207" s="179">
        <v>0</v>
      </c>
      <c r="L207" s="65" t="s">
        <v>460</v>
      </c>
    </row>
    <row r="208" spans="1:12" ht="12.75">
      <c r="A208" s="65"/>
      <c r="B208" s="176" t="s">
        <v>256</v>
      </c>
      <c r="C208" s="176">
        <v>4.3</v>
      </c>
      <c r="D208" s="65"/>
      <c r="E208" s="66"/>
      <c r="F208" s="66"/>
      <c r="G208" s="178"/>
      <c r="H208" s="66"/>
      <c r="I208" s="177" t="s">
        <v>94</v>
      </c>
      <c r="J208" s="65">
        <v>9643</v>
      </c>
      <c r="K208" s="179">
        <v>2677</v>
      </c>
      <c r="L208" s="65"/>
    </row>
    <row r="209" spans="1:14" ht="12.75">
      <c r="A209" s="65"/>
      <c r="B209" s="176" t="s">
        <v>491</v>
      </c>
      <c r="C209" s="176">
        <v>1.7</v>
      </c>
      <c r="D209" s="65"/>
      <c r="E209" s="66"/>
      <c r="F209" s="66"/>
      <c r="G209" s="178"/>
      <c r="H209" s="65"/>
      <c r="I209" s="177" t="s">
        <v>52</v>
      </c>
      <c r="J209" s="65" t="s">
        <v>385</v>
      </c>
      <c r="K209" s="179">
        <v>7000</v>
      </c>
      <c r="L209" s="65"/>
    </row>
    <row r="210" spans="1:14" ht="12.75">
      <c r="A210" s="65"/>
      <c r="B210" s="176" t="s">
        <v>257</v>
      </c>
      <c r="C210" s="176">
        <v>0.08</v>
      </c>
      <c r="D210" s="65"/>
      <c r="E210" s="66"/>
      <c r="F210" s="66"/>
      <c r="G210" s="178"/>
      <c r="H210" s="65"/>
      <c r="I210" s="177" t="s">
        <v>362</v>
      </c>
      <c r="J210" s="65">
        <v>9643</v>
      </c>
      <c r="K210" s="179">
        <v>0</v>
      </c>
      <c r="L210" s="65" t="s">
        <v>460</v>
      </c>
    </row>
    <row r="211" spans="1:14" ht="12.75">
      <c r="A211" s="65"/>
      <c r="B211" s="176" t="s">
        <v>258</v>
      </c>
      <c r="C211" s="176">
        <v>40</v>
      </c>
      <c r="D211" s="65"/>
      <c r="E211" s="66"/>
      <c r="F211" s="180"/>
      <c r="G211" s="178"/>
      <c r="H211" s="65"/>
      <c r="I211" s="177" t="s">
        <v>244</v>
      </c>
      <c r="J211" s="65">
        <v>6788</v>
      </c>
      <c r="K211" s="179">
        <v>0</v>
      </c>
      <c r="L211" s="65" t="s">
        <v>460</v>
      </c>
    </row>
    <row r="212" spans="1:14" ht="12.75">
      <c r="A212" s="65"/>
      <c r="B212" s="176" t="s">
        <v>26</v>
      </c>
      <c r="C212" s="176">
        <v>14.5</v>
      </c>
      <c r="D212" s="65"/>
      <c r="E212" s="66"/>
      <c r="F212" s="66"/>
      <c r="G212" s="178"/>
      <c r="H212" s="65"/>
      <c r="I212" s="177" t="s">
        <v>510</v>
      </c>
      <c r="J212" s="65">
        <v>6315</v>
      </c>
      <c r="K212" s="179">
        <v>348</v>
      </c>
      <c r="L212" s="65"/>
    </row>
    <row r="213" spans="1:14" ht="12.75">
      <c r="A213" s="65"/>
      <c r="B213" s="176" t="s">
        <v>261</v>
      </c>
      <c r="C213" s="176">
        <v>0.33</v>
      </c>
      <c r="D213" s="65"/>
      <c r="E213" s="66"/>
      <c r="F213" s="66"/>
      <c r="G213" s="178"/>
      <c r="H213" s="65"/>
      <c r="I213" s="177" t="s">
        <v>245</v>
      </c>
      <c r="J213" s="65">
        <v>6683</v>
      </c>
      <c r="K213" s="179">
        <v>2500</v>
      </c>
      <c r="L213" s="65"/>
    </row>
    <row r="214" spans="1:14" ht="12.75">
      <c r="A214" s="65"/>
      <c r="B214" s="176" t="s">
        <v>152</v>
      </c>
      <c r="C214" s="176">
        <v>0</v>
      </c>
      <c r="D214" s="65"/>
      <c r="E214" s="66"/>
      <c r="F214" s="66"/>
      <c r="G214" s="178"/>
      <c r="H214" s="65"/>
      <c r="I214" s="177" t="s">
        <v>360</v>
      </c>
      <c r="J214" s="65">
        <v>2185</v>
      </c>
      <c r="K214" s="179">
        <v>49</v>
      </c>
      <c r="L214" s="65"/>
    </row>
    <row r="215" spans="1:14" ht="12.75">
      <c r="A215" s="65"/>
      <c r="B215" s="176"/>
      <c r="C215" s="176"/>
      <c r="D215" s="65"/>
      <c r="E215" s="66"/>
      <c r="F215" s="66"/>
      <c r="G215" s="178"/>
      <c r="H215" s="65"/>
      <c r="I215" s="177" t="s">
        <v>360</v>
      </c>
      <c r="J215" s="65">
        <v>7202</v>
      </c>
      <c r="K215" s="179">
        <v>30</v>
      </c>
      <c r="L215" s="65"/>
    </row>
    <row r="216" spans="1:14" ht="12.75">
      <c r="A216" s="65"/>
      <c r="B216" s="176" t="s">
        <v>262</v>
      </c>
      <c r="C216" s="176">
        <v>0.7</v>
      </c>
      <c r="D216" s="65"/>
      <c r="E216" s="66"/>
      <c r="F216" s="66"/>
      <c r="G216" s="178"/>
      <c r="H216" s="65" t="s">
        <v>515</v>
      </c>
      <c r="I216" s="177" t="s">
        <v>249</v>
      </c>
      <c r="J216" s="212" t="s">
        <v>384</v>
      </c>
      <c r="K216" s="179">
        <v>8000</v>
      </c>
      <c r="L216" s="65"/>
    </row>
    <row r="217" spans="1:14" ht="12.75">
      <c r="A217" s="65"/>
      <c r="B217" s="176" t="s">
        <v>263</v>
      </c>
      <c r="C217" s="176">
        <v>60</v>
      </c>
      <c r="D217" s="65"/>
      <c r="E217" s="66"/>
      <c r="F217" s="66"/>
      <c r="G217" s="178"/>
      <c r="H217" s="65" t="s">
        <v>515</v>
      </c>
      <c r="I217" s="177" t="s">
        <v>252</v>
      </c>
      <c r="J217" s="65">
        <v>4132</v>
      </c>
      <c r="K217" s="179">
        <v>0</v>
      </c>
      <c r="L217" s="65"/>
    </row>
    <row r="218" spans="1:14" ht="12.75">
      <c r="A218" s="65"/>
      <c r="B218" s="176" t="s">
        <v>264</v>
      </c>
      <c r="C218" s="176">
        <v>0.3</v>
      </c>
      <c r="D218" s="65"/>
      <c r="E218" s="66"/>
      <c r="F218" s="66"/>
      <c r="G218" s="178"/>
      <c r="H218" s="65"/>
      <c r="I218" s="177" t="s">
        <v>254</v>
      </c>
      <c r="J218" s="65">
        <v>2540</v>
      </c>
      <c r="K218" s="179">
        <v>7</v>
      </c>
      <c r="L218" s="65"/>
    </row>
    <row r="219" spans="1:14" ht="12.75">
      <c r="A219" s="65"/>
      <c r="B219" s="176" t="s">
        <v>322</v>
      </c>
      <c r="C219" s="176">
        <v>0.11700000000000001</v>
      </c>
      <c r="D219" s="65"/>
      <c r="E219" s="66"/>
      <c r="F219" s="66"/>
      <c r="G219" s="178"/>
      <c r="H219" s="65"/>
      <c r="I219" s="177" t="s">
        <v>255</v>
      </c>
      <c r="J219" s="65">
        <v>9643</v>
      </c>
      <c r="K219" s="179">
        <v>0</v>
      </c>
      <c r="L219" s="65"/>
    </row>
    <row r="220" spans="1:14" ht="12.75">
      <c r="A220" s="65"/>
      <c r="B220" s="176" t="s">
        <v>265</v>
      </c>
      <c r="C220" s="176">
        <v>0</v>
      </c>
      <c r="D220" s="65"/>
      <c r="E220" s="66"/>
      <c r="F220" s="66"/>
      <c r="G220" s="178"/>
      <c r="H220" s="65"/>
      <c r="I220" s="177" t="s">
        <v>255</v>
      </c>
      <c r="J220" s="65">
        <v>5801</v>
      </c>
      <c r="K220" s="179">
        <v>0</v>
      </c>
      <c r="L220" s="65" t="s">
        <v>460</v>
      </c>
    </row>
    <row r="221" spans="1:14" ht="12.75">
      <c r="A221" s="65"/>
      <c r="B221" s="176" t="s">
        <v>266</v>
      </c>
      <c r="C221" s="176">
        <v>0.05</v>
      </c>
      <c r="D221" s="65"/>
      <c r="E221" s="66"/>
      <c r="F221" s="66"/>
      <c r="G221" s="178"/>
      <c r="H221" s="65"/>
      <c r="I221" s="177" t="s">
        <v>96</v>
      </c>
      <c r="J221" s="65">
        <v>6589</v>
      </c>
      <c r="K221" s="179">
        <v>0</v>
      </c>
      <c r="L221" s="235" t="s">
        <v>441</v>
      </c>
    </row>
    <row r="222" spans="1:14" ht="12.75">
      <c r="A222" s="65"/>
      <c r="B222" s="176"/>
      <c r="C222" s="176"/>
      <c r="D222" s="65"/>
      <c r="E222" s="66"/>
      <c r="F222" s="66"/>
      <c r="G222" s="178"/>
      <c r="H222" s="65" t="s">
        <v>515</v>
      </c>
      <c r="I222" s="177" t="s">
        <v>259</v>
      </c>
      <c r="J222" s="65">
        <v>106</v>
      </c>
      <c r="K222" s="179">
        <v>0</v>
      </c>
      <c r="L222" s="65"/>
      <c r="M222" s="209">
        <v>34771</v>
      </c>
      <c r="N222" s="12" t="s">
        <v>462</v>
      </c>
    </row>
    <row r="223" spans="1:14" ht="12.75">
      <c r="A223" s="65"/>
      <c r="B223" s="176"/>
      <c r="C223" s="178"/>
      <c r="D223" s="65"/>
      <c r="E223" s="66"/>
      <c r="F223" s="66"/>
      <c r="G223" s="178"/>
      <c r="H223" s="65"/>
      <c r="I223" s="177" t="s">
        <v>260</v>
      </c>
      <c r="J223" s="65">
        <v>6598</v>
      </c>
      <c r="K223" s="179">
        <v>0</v>
      </c>
      <c r="L223" s="65" t="s">
        <v>460</v>
      </c>
    </row>
    <row r="224" spans="1:14" ht="12.75">
      <c r="A224" s="65"/>
      <c r="B224" s="176"/>
      <c r="C224" s="176"/>
      <c r="D224" s="65"/>
      <c r="E224" s="66"/>
      <c r="F224" s="66"/>
      <c r="G224" s="178"/>
      <c r="H224" s="65"/>
      <c r="I224" s="178"/>
      <c r="J224" s="65"/>
      <c r="K224" s="345">
        <f>SUM(K140:K223)</f>
        <v>53019</v>
      </c>
    </row>
    <row r="225" spans="1:12" ht="12.75">
      <c r="B225" s="176"/>
      <c r="C225" s="176"/>
      <c r="D225" s="65"/>
      <c r="E225" s="66"/>
      <c r="F225" s="66"/>
      <c r="G225" s="178"/>
      <c r="H225" s="65"/>
      <c r="I225" s="178"/>
      <c r="J225" s="65"/>
      <c r="K225" s="179"/>
      <c r="L225" s="65"/>
    </row>
    <row r="226" spans="1:12" ht="12.75">
      <c r="B226"/>
      <c r="C226" s="182">
        <f>SUM(C140:C225)</f>
        <v>429.91199999999998</v>
      </c>
      <c r="D226" s="65"/>
      <c r="E226" s="66"/>
      <c r="F226" s="66"/>
      <c r="G226" s="178"/>
      <c r="H226" s="65"/>
      <c r="I226" s="177"/>
      <c r="J226" s="65"/>
      <c r="K226" s="177"/>
      <c r="L226" s="65"/>
    </row>
    <row r="227" spans="1:12" ht="12.75">
      <c r="B227"/>
      <c r="C227" s="66"/>
      <c r="D227" s="65"/>
      <c r="E227" s="66"/>
      <c r="F227" s="65"/>
      <c r="G227" s="177"/>
      <c r="H227" s="65"/>
      <c r="I227" s="177"/>
      <c r="J227" s="212"/>
      <c r="L227" s="65"/>
    </row>
    <row r="228" spans="1:12" ht="12.75">
      <c r="B228"/>
      <c r="C228" s="66"/>
      <c r="D228" s="65"/>
      <c r="E228" s="182"/>
      <c r="F228" s="65"/>
      <c r="G228" s="65"/>
      <c r="H228" s="65"/>
      <c r="I228" s="177"/>
      <c r="J228" s="65"/>
      <c r="K228" s="179"/>
      <c r="L228" s="65"/>
    </row>
    <row r="229" spans="1:12" ht="12.75">
      <c r="A229" s="183"/>
      <c r="B229"/>
      <c r="C229" s="66"/>
      <c r="D229" s="65"/>
      <c r="E229" s="65"/>
      <c r="F229" s="65"/>
      <c r="G229" s="65"/>
      <c r="H229" s="65"/>
      <c r="I229" s="177"/>
      <c r="J229" s="65"/>
      <c r="K229" s="177"/>
      <c r="L229" s="65"/>
    </row>
    <row r="230" spans="1:12" ht="12.75">
      <c r="B230" s="175" t="s">
        <v>7</v>
      </c>
      <c r="C230" s="176">
        <v>0</v>
      </c>
      <c r="D230" s="65"/>
      <c r="E230" s="65"/>
      <c r="F230" s="65"/>
      <c r="G230" s="65"/>
      <c r="H230" s="65"/>
      <c r="I230" s="177"/>
      <c r="J230" s="65"/>
      <c r="K230" s="179"/>
      <c r="L230" s="65"/>
    </row>
    <row r="231" spans="1:12" ht="12.75">
      <c r="B231" s="175" t="s">
        <v>6</v>
      </c>
      <c r="C231" s="176">
        <v>0</v>
      </c>
      <c r="D231" s="65"/>
      <c r="E231" s="65"/>
      <c r="F231" s="65"/>
      <c r="G231" s="65"/>
      <c r="H231" s="65"/>
      <c r="I231" s="177"/>
      <c r="J231" s="65"/>
      <c r="K231" s="179"/>
      <c r="L231" s="65"/>
    </row>
    <row r="232" spans="1:12" ht="12.75">
      <c r="B232" s="175" t="s">
        <v>271</v>
      </c>
      <c r="C232" s="176">
        <v>0</v>
      </c>
      <c r="D232" s="65"/>
      <c r="E232" s="65"/>
      <c r="F232" s="65"/>
      <c r="G232" s="65"/>
      <c r="H232" s="65"/>
      <c r="I232" s="177"/>
      <c r="J232" s="65"/>
      <c r="K232" s="179"/>
      <c r="L232" s="65"/>
    </row>
    <row r="233" spans="1:12" ht="12.75">
      <c r="B233" s="175" t="s">
        <v>11</v>
      </c>
      <c r="C233" s="176">
        <v>0</v>
      </c>
      <c r="D233" s="65">
        <v>3</v>
      </c>
      <c r="E233" s="65"/>
      <c r="F233" s="65">
        <v>5</v>
      </c>
      <c r="G233" s="65"/>
      <c r="H233" s="65"/>
      <c r="I233" s="177"/>
      <c r="J233" s="65"/>
      <c r="K233" s="179"/>
      <c r="L233" s="65"/>
    </row>
    <row r="234" spans="1:12" ht="12.75">
      <c r="B234" s="175" t="s">
        <v>187</v>
      </c>
      <c r="C234" s="176">
        <v>0</v>
      </c>
      <c r="D234" s="65" t="s">
        <v>272</v>
      </c>
      <c r="E234" s="65"/>
      <c r="F234" s="65">
        <v>10</v>
      </c>
      <c r="G234" s="65"/>
      <c r="H234" s="65"/>
      <c r="I234" s="66"/>
      <c r="J234" s="65"/>
      <c r="K234" s="179"/>
      <c r="L234" s="65"/>
    </row>
    <row r="235" spans="1:12" ht="12.75">
      <c r="B235" s="175" t="s">
        <v>201</v>
      </c>
      <c r="C235" s="176">
        <v>0</v>
      </c>
      <c r="D235" s="65"/>
      <c r="E235" s="65"/>
      <c r="F235" s="65"/>
      <c r="G235" s="65"/>
      <c r="H235" s="65"/>
      <c r="I235" s="65"/>
      <c r="J235" s="65"/>
    </row>
    <row r="236" spans="1:12" ht="12.75">
      <c r="B236" s="175" t="s">
        <v>16</v>
      </c>
      <c r="C236" s="176">
        <v>0</v>
      </c>
      <c r="D236" s="65" t="s">
        <v>273</v>
      </c>
      <c r="E236" s="65"/>
      <c r="F236" s="65"/>
      <c r="G236" s="65"/>
      <c r="H236" s="65"/>
      <c r="I236" s="65"/>
      <c r="J236" s="65"/>
      <c r="K236" s="65"/>
    </row>
    <row r="237" spans="1:12" ht="12.75">
      <c r="B237" s="175" t="s">
        <v>14</v>
      </c>
      <c r="C237" s="176">
        <v>0</v>
      </c>
      <c r="D237" s="65"/>
      <c r="E237" s="65"/>
      <c r="F237" s="65">
        <v>5</v>
      </c>
      <c r="G237" s="65"/>
      <c r="H237" s="65"/>
      <c r="I237" s="65"/>
      <c r="J237" s="65"/>
      <c r="K237" s="65"/>
    </row>
    <row r="238" spans="1:12" ht="12.75">
      <c r="B238" s="175" t="s">
        <v>18</v>
      </c>
      <c r="C238" s="176">
        <v>0</v>
      </c>
      <c r="D238" s="65"/>
      <c r="E238" s="65"/>
      <c r="F238" s="65">
        <v>15</v>
      </c>
      <c r="G238" s="65"/>
      <c r="H238" s="65"/>
      <c r="I238" s="65"/>
      <c r="J238" s="65"/>
      <c r="K238" s="65"/>
    </row>
    <row r="239" spans="1:12" ht="12.75">
      <c r="A239" s="12" t="s">
        <v>274</v>
      </c>
      <c r="B239" t="s">
        <v>216</v>
      </c>
      <c r="C239" s="66">
        <v>0</v>
      </c>
      <c r="D239" s="65" t="s">
        <v>272</v>
      </c>
      <c r="E239" s="65"/>
      <c r="F239" s="65">
        <v>15</v>
      </c>
      <c r="G239" s="65"/>
      <c r="H239" s="65"/>
      <c r="I239" s="65"/>
      <c r="J239" s="65"/>
      <c r="K239" s="65"/>
    </row>
    <row r="240" spans="1:12" ht="12.75">
      <c r="B240" s="175" t="s">
        <v>233</v>
      </c>
      <c r="C240" s="176">
        <v>0</v>
      </c>
      <c r="D240" s="65" t="s">
        <v>272</v>
      </c>
      <c r="E240" s="65"/>
      <c r="F240" s="65">
        <v>5</v>
      </c>
      <c r="G240" s="65"/>
      <c r="H240" s="65"/>
      <c r="I240" s="65"/>
      <c r="J240" s="65"/>
      <c r="K240" s="65"/>
    </row>
    <row r="241" spans="2:19" ht="12.75">
      <c r="B241" s="175" t="s">
        <v>275</v>
      </c>
      <c r="C241" s="176">
        <v>0</v>
      </c>
      <c r="D241" s="65" t="s">
        <v>272</v>
      </c>
      <c r="E241" s="65"/>
      <c r="F241" s="65"/>
      <c r="G241" s="65"/>
      <c r="H241" s="65"/>
      <c r="I241" s="66"/>
      <c r="J241" s="65"/>
      <c r="K241" s="65"/>
    </row>
    <row r="242" spans="2:19" ht="12.75">
      <c r="B242" t="s">
        <v>258</v>
      </c>
      <c r="C242" s="178">
        <v>0</v>
      </c>
      <c r="D242" s="65"/>
      <c r="E242" s="65"/>
      <c r="F242" s="65">
        <f>SUM(F233:F241)</f>
        <v>55</v>
      </c>
      <c r="G242" s="65"/>
      <c r="H242" s="65"/>
      <c r="I242" s="65"/>
      <c r="J242" s="65"/>
    </row>
    <row r="243" spans="2:19" ht="12.75">
      <c r="B243" t="s">
        <v>26</v>
      </c>
      <c r="C243" s="178">
        <v>0</v>
      </c>
      <c r="D243" s="65" t="s">
        <v>276</v>
      </c>
      <c r="E243" s="65"/>
      <c r="F243" s="65"/>
      <c r="G243" s="65"/>
      <c r="H243" s="65"/>
      <c r="I243" s="65"/>
      <c r="J243" s="65"/>
    </row>
    <row r="244" spans="2:19" ht="12.75">
      <c r="B244" t="s">
        <v>267</v>
      </c>
      <c r="C244" s="178">
        <v>0</v>
      </c>
      <c r="D244" s="65"/>
      <c r="E244" s="65"/>
      <c r="F244" s="65"/>
      <c r="G244" s="65"/>
      <c r="H244" s="65"/>
      <c r="I244" s="65"/>
      <c r="J244" s="65"/>
    </row>
    <row r="245" spans="2:19" ht="12.75">
      <c r="B245" t="s">
        <v>277</v>
      </c>
      <c r="C245" s="178">
        <v>0</v>
      </c>
      <c r="D245" s="65"/>
      <c r="E245" s="65"/>
      <c r="F245" s="65"/>
      <c r="G245" s="65"/>
      <c r="H245" s="65"/>
      <c r="I245" s="65"/>
      <c r="J245" s="65"/>
    </row>
    <row r="246" spans="2:19" ht="12.75">
      <c r="B246" t="s">
        <v>278</v>
      </c>
      <c r="C246" s="184">
        <f>SUM(C230:C245)</f>
        <v>0</v>
      </c>
      <c r="D246" s="65"/>
      <c r="E246" s="65"/>
      <c r="F246" s="65"/>
      <c r="G246" s="65"/>
      <c r="H246" s="65"/>
      <c r="I246" s="65"/>
      <c r="J246" s="65"/>
    </row>
    <row r="247" spans="2:19" ht="12.75">
      <c r="B247" s="45"/>
      <c r="C247" s="45"/>
      <c r="D247" s="65"/>
      <c r="E247" s="65"/>
      <c r="G247" s="65"/>
      <c r="H247" s="65"/>
      <c r="I247" s="65"/>
      <c r="J247" s="65"/>
    </row>
    <row r="248" spans="2:19" ht="12.75">
      <c r="B248"/>
      <c r="C248">
        <f>C226+C246</f>
        <v>429.91199999999998</v>
      </c>
      <c r="D248" s="65"/>
      <c r="H248" s="65"/>
      <c r="I248" s="65"/>
      <c r="J248" s="65"/>
    </row>
    <row r="249" spans="2:19" ht="12.75">
      <c r="B249"/>
      <c r="C249"/>
      <c r="H249" s="65"/>
      <c r="I249" s="65"/>
      <c r="J249" s="65"/>
    </row>
    <row r="250" spans="2:19" ht="12.75">
      <c r="B250"/>
      <c r="C250">
        <f>E228-C248</f>
        <v>-429.91199999999998</v>
      </c>
      <c r="H250" s="65"/>
      <c r="I250" s="65"/>
      <c r="J250" s="65"/>
      <c r="O250" s="186"/>
      <c r="P250" s="186"/>
      <c r="Q250" s="186"/>
      <c r="R250" s="186"/>
      <c r="S250" s="187"/>
    </row>
    <row r="251" spans="2:19" ht="12.75">
      <c r="B251"/>
      <c r="C251"/>
      <c r="G251" s="185" t="s">
        <v>279</v>
      </c>
      <c r="I251" s="65"/>
      <c r="J251" s="65"/>
      <c r="O251" s="190"/>
      <c r="P251" s="190"/>
      <c r="Q251" s="190"/>
      <c r="R251" s="74"/>
      <c r="S251" s="158"/>
    </row>
    <row r="252" spans="2:19" ht="12.75">
      <c r="G252" s="188"/>
      <c r="I252" s="66"/>
      <c r="J252" s="65"/>
      <c r="N252" s="186"/>
      <c r="O252" s="74"/>
      <c r="P252" s="74"/>
      <c r="Q252" s="74"/>
      <c r="R252" s="74"/>
      <c r="S252" s="161"/>
    </row>
    <row r="253" spans="2:19" ht="12.75">
      <c r="G253" s="191"/>
      <c r="H253" s="186"/>
      <c r="I253" s="66"/>
      <c r="J253" s="65"/>
      <c r="M253" s="186"/>
      <c r="N253" s="190"/>
      <c r="O253" s="74"/>
      <c r="P253" s="74"/>
      <c r="Q253" s="74"/>
      <c r="R253" s="74"/>
      <c r="S253" s="161"/>
    </row>
    <row r="254" spans="2:19" ht="12.75">
      <c r="B254"/>
      <c r="C254" s="195"/>
      <c r="G254" s="191"/>
      <c r="H254" s="189" t="s">
        <v>280</v>
      </c>
      <c r="I254" s="186"/>
      <c r="J254" s="186"/>
      <c r="K254" s="186"/>
      <c r="M254" s="190"/>
      <c r="N254" s="74"/>
      <c r="O254" s="74"/>
      <c r="P254" s="74"/>
      <c r="Q254" s="74"/>
      <c r="R254" s="74"/>
      <c r="S254" s="161"/>
    </row>
    <row r="255" spans="2:19" ht="12.75">
      <c r="B255"/>
      <c r="C255" s="195"/>
      <c r="G255" s="191"/>
      <c r="H255" s="74"/>
      <c r="I255" s="192"/>
      <c r="J255" s="193"/>
      <c r="K255" s="190"/>
      <c r="L255" s="186"/>
      <c r="M255" s="74"/>
      <c r="N255" s="74"/>
      <c r="O255" s="74"/>
      <c r="P255" s="74"/>
      <c r="Q255" s="74"/>
      <c r="R255" s="74"/>
      <c r="S255" s="161"/>
    </row>
    <row r="256" spans="2:19" ht="12.75">
      <c r="B256"/>
      <c r="C256" s="195"/>
      <c r="G256" s="191"/>
      <c r="H256" s="74"/>
      <c r="I256" s="68" t="s">
        <v>281</v>
      </c>
      <c r="J256" s="194">
        <v>0</v>
      </c>
      <c r="K256" s="74"/>
      <c r="L256" s="190"/>
      <c r="M256" s="74"/>
      <c r="N256" s="74"/>
      <c r="O256" s="74"/>
      <c r="P256" s="74"/>
      <c r="Q256" s="74"/>
      <c r="R256" s="74"/>
      <c r="S256" s="161"/>
    </row>
    <row r="257" spans="2:19" ht="12.75">
      <c r="B257"/>
      <c r="C257" s="195"/>
      <c r="G257" s="191"/>
      <c r="H257" s="74"/>
      <c r="I257" s="74" t="s">
        <v>282</v>
      </c>
      <c r="J257" s="196">
        <v>0</v>
      </c>
      <c r="K257" s="74"/>
      <c r="L257" s="74"/>
      <c r="M257" s="74"/>
      <c r="N257" s="74"/>
      <c r="O257" s="74"/>
      <c r="P257" s="74"/>
      <c r="Q257" s="74"/>
      <c r="R257" s="74"/>
      <c r="S257" s="161"/>
    </row>
    <row r="258" spans="2:19" ht="12.75">
      <c r="B258"/>
      <c r="C258" s="195"/>
      <c r="G258" s="191"/>
      <c r="H258" s="74"/>
      <c r="I258" s="74" t="s">
        <v>283</v>
      </c>
      <c r="J258" s="196">
        <v>0</v>
      </c>
      <c r="K258" s="74"/>
      <c r="L258" s="74"/>
      <c r="M258" s="74"/>
      <c r="N258" s="74"/>
      <c r="O258" s="74"/>
      <c r="P258" s="74"/>
      <c r="Q258" s="74"/>
      <c r="R258" s="74"/>
      <c r="S258" s="161"/>
    </row>
    <row r="259" spans="2:19" ht="12.75">
      <c r="B259"/>
      <c r="C259" s="195"/>
      <c r="G259" s="191"/>
      <c r="H259" s="74"/>
      <c r="I259" s="74" t="s">
        <v>284</v>
      </c>
      <c r="J259" s="196">
        <v>0</v>
      </c>
      <c r="K259" s="74"/>
      <c r="L259" s="74"/>
      <c r="M259" s="74"/>
      <c r="N259" s="74"/>
      <c r="O259" s="74"/>
      <c r="P259" s="74"/>
      <c r="Q259" s="74"/>
      <c r="R259" s="74"/>
      <c r="S259" s="161"/>
    </row>
    <row r="260" spans="2:19" ht="12.75">
      <c r="B260"/>
      <c r="C260" s="195"/>
      <c r="G260" s="191"/>
      <c r="H260" s="74"/>
      <c r="I260" s="74" t="s">
        <v>285</v>
      </c>
      <c r="J260" s="196">
        <v>0</v>
      </c>
      <c r="K260" s="74"/>
      <c r="L260" s="74"/>
      <c r="M260" s="74"/>
      <c r="N260" s="74"/>
      <c r="O260" s="74"/>
      <c r="P260" s="74"/>
      <c r="Q260" s="74"/>
      <c r="R260" s="74"/>
      <c r="S260" s="161"/>
    </row>
    <row r="261" spans="2:19" ht="12.75">
      <c r="B261"/>
      <c r="C261" s="195"/>
      <c r="G261" s="191"/>
      <c r="H261" s="74"/>
      <c r="I261" s="74" t="s">
        <v>286</v>
      </c>
      <c r="J261" s="196">
        <v>0</v>
      </c>
      <c r="K261" s="74"/>
      <c r="L261" s="74"/>
      <c r="M261" s="74"/>
      <c r="N261" s="74"/>
      <c r="O261" s="74"/>
      <c r="P261" s="74"/>
      <c r="Q261" s="74"/>
      <c r="R261" s="74"/>
      <c r="S261" s="161"/>
    </row>
    <row r="262" spans="2:19" ht="12.75">
      <c r="B262"/>
      <c r="C262" s="195"/>
      <c r="G262" s="191"/>
      <c r="H262" s="74"/>
      <c r="I262" s="74" t="s">
        <v>287</v>
      </c>
      <c r="J262" s="197">
        <v>0</v>
      </c>
      <c r="K262" s="74"/>
      <c r="L262" s="74"/>
      <c r="M262" s="74"/>
      <c r="N262" s="74"/>
      <c r="O262" s="74"/>
      <c r="P262" s="74"/>
      <c r="Q262" s="74"/>
      <c r="R262" s="74"/>
      <c r="S262" s="161"/>
    </row>
    <row r="263" spans="2:19" ht="12.75">
      <c r="B263"/>
      <c r="C263" s="195"/>
      <c r="G263" s="191"/>
      <c r="H263" s="74" t="s">
        <v>288</v>
      </c>
      <c r="I263" s="74"/>
      <c r="J263" s="196">
        <f>SUM(J256:J262)</f>
        <v>0</v>
      </c>
      <c r="K263" s="74"/>
      <c r="L263" s="74"/>
      <c r="M263" s="74"/>
      <c r="N263" s="74"/>
      <c r="O263" s="74"/>
      <c r="P263" s="74"/>
      <c r="Q263" s="74"/>
      <c r="R263" s="74"/>
      <c r="S263" s="161"/>
    </row>
    <row r="264" spans="2:19" ht="12.75">
      <c r="B264"/>
      <c r="C264" s="195"/>
      <c r="G264" s="191"/>
      <c r="H264" s="74"/>
      <c r="I264" s="74"/>
      <c r="J264" s="196"/>
      <c r="K264" s="74"/>
      <c r="L264" s="74"/>
      <c r="M264" s="74"/>
      <c r="N264" s="74"/>
      <c r="O264" s="74"/>
      <c r="P264" s="74"/>
      <c r="Q264" s="74"/>
      <c r="R264" s="74"/>
      <c r="S264" s="161"/>
    </row>
    <row r="265" spans="2:19" ht="12.75">
      <c r="B265"/>
      <c r="C265" s="195"/>
      <c r="G265" s="191"/>
      <c r="H265" s="74"/>
      <c r="I265" s="74" t="s">
        <v>289</v>
      </c>
      <c r="J265" s="196">
        <v>0</v>
      </c>
      <c r="K265" s="74"/>
      <c r="L265" s="74"/>
      <c r="M265" s="74"/>
      <c r="N265" s="74"/>
      <c r="O265" s="74"/>
      <c r="P265" s="74"/>
      <c r="Q265" s="74"/>
      <c r="R265" s="74"/>
      <c r="S265" s="161"/>
    </row>
    <row r="266" spans="2:19" ht="12.75">
      <c r="B266"/>
      <c r="C266" s="195"/>
      <c r="G266" s="191"/>
      <c r="H266" s="74"/>
      <c r="I266" s="74" t="s">
        <v>290</v>
      </c>
      <c r="J266" s="196">
        <v>0</v>
      </c>
      <c r="K266" s="74"/>
      <c r="L266" s="74"/>
      <c r="M266" s="74"/>
      <c r="N266" s="74"/>
      <c r="O266" s="74"/>
      <c r="P266" s="74"/>
      <c r="Q266" s="74"/>
      <c r="R266" s="74"/>
      <c r="S266" s="161"/>
    </row>
    <row r="267" spans="2:19" ht="12.75">
      <c r="B267"/>
      <c r="C267" s="195"/>
      <c r="G267" s="191"/>
      <c r="H267" s="74"/>
      <c r="I267" s="74" t="s">
        <v>291</v>
      </c>
      <c r="J267" s="196">
        <v>0</v>
      </c>
      <c r="K267" s="74"/>
      <c r="L267" s="74"/>
      <c r="M267" s="74"/>
      <c r="N267" s="74"/>
      <c r="O267" s="74"/>
      <c r="P267" s="74"/>
      <c r="Q267" s="74"/>
      <c r="R267" s="74"/>
      <c r="S267" s="161"/>
    </row>
    <row r="268" spans="2:19" ht="12.75">
      <c r="B268"/>
      <c r="C268" s="195"/>
      <c r="G268" s="191"/>
      <c r="H268" s="74"/>
      <c r="I268" s="74" t="s">
        <v>292</v>
      </c>
      <c r="J268" s="196">
        <v>0</v>
      </c>
      <c r="K268" s="74"/>
      <c r="L268" s="74"/>
      <c r="M268" s="74"/>
      <c r="N268" s="74"/>
      <c r="O268" s="74"/>
      <c r="P268" s="74"/>
      <c r="Q268" s="74"/>
      <c r="R268" s="74"/>
      <c r="S268" s="161"/>
    </row>
    <row r="269" spans="2:19" ht="12.75">
      <c r="B269" s="45"/>
      <c r="C269" s="198"/>
      <c r="G269" s="191"/>
      <c r="H269" s="74"/>
      <c r="I269" s="74" t="s">
        <v>293</v>
      </c>
      <c r="J269" s="196">
        <v>0</v>
      </c>
      <c r="K269" s="74"/>
      <c r="L269" s="74"/>
      <c r="M269" s="74"/>
      <c r="N269" s="74"/>
      <c r="O269" s="74"/>
      <c r="P269" s="74"/>
      <c r="Q269" s="74"/>
      <c r="R269" s="74"/>
      <c r="S269" s="161"/>
    </row>
    <row r="270" spans="2:19" ht="12.75">
      <c r="B270"/>
      <c r="C270" s="195"/>
      <c r="G270" s="191"/>
      <c r="H270" s="74"/>
      <c r="I270" s="74" t="s">
        <v>294</v>
      </c>
      <c r="J270" s="196">
        <v>0</v>
      </c>
      <c r="K270" s="74"/>
      <c r="L270" s="74"/>
      <c r="M270" s="74"/>
      <c r="N270" s="74"/>
      <c r="O270" s="74"/>
      <c r="P270" s="74"/>
      <c r="Q270" s="74"/>
      <c r="R270" s="74"/>
      <c r="S270" s="161"/>
    </row>
    <row r="271" spans="2:19" ht="12.75">
      <c r="B271"/>
      <c r="C271" s="195"/>
      <c r="G271" s="191"/>
      <c r="H271" s="74"/>
      <c r="I271" s="74" t="s">
        <v>295</v>
      </c>
      <c r="J271" s="196">
        <v>0</v>
      </c>
      <c r="K271" s="74"/>
      <c r="L271" s="74"/>
      <c r="M271" s="74"/>
      <c r="N271" s="74"/>
      <c r="O271" s="74"/>
      <c r="P271" s="74"/>
      <c r="Q271" s="74"/>
      <c r="R271" s="74"/>
      <c r="S271" s="161"/>
    </row>
    <row r="272" spans="2:19" ht="12.75">
      <c r="B272"/>
      <c r="C272" s="195"/>
      <c r="G272" s="191"/>
      <c r="H272" s="74"/>
      <c r="I272" s="74" t="s">
        <v>296</v>
      </c>
      <c r="J272" s="196">
        <v>0</v>
      </c>
      <c r="K272" s="74"/>
      <c r="L272" s="74"/>
      <c r="M272" s="74"/>
      <c r="N272" s="74"/>
      <c r="O272" s="74"/>
      <c r="P272" s="74"/>
      <c r="Q272" s="74"/>
      <c r="R272" s="74"/>
      <c r="S272" s="161"/>
    </row>
    <row r="273" spans="2:19" ht="12.75">
      <c r="B273"/>
      <c r="C273" s="195"/>
      <c r="G273" s="191"/>
      <c r="H273" s="74"/>
      <c r="I273" s="74" t="s">
        <v>297</v>
      </c>
      <c r="J273" s="197">
        <v>0</v>
      </c>
      <c r="K273" s="74"/>
      <c r="L273" s="74"/>
      <c r="M273" s="74"/>
      <c r="N273" s="74"/>
      <c r="O273" s="74"/>
      <c r="P273" s="74"/>
      <c r="Q273" s="74" t="s">
        <v>299</v>
      </c>
      <c r="R273" s="74"/>
      <c r="S273" s="161"/>
    </row>
    <row r="274" spans="2:19" ht="12.75">
      <c r="B274"/>
      <c r="C274" s="195"/>
      <c r="G274" s="191"/>
      <c r="H274" s="74"/>
      <c r="I274" s="74"/>
      <c r="J274" s="196">
        <f>SUM(J263:J273)</f>
        <v>0</v>
      </c>
      <c r="K274" s="74"/>
      <c r="L274" s="74"/>
      <c r="M274" s="74"/>
      <c r="N274" s="74"/>
      <c r="O274" s="74"/>
      <c r="P274" s="196">
        <v>-31732</v>
      </c>
      <c r="Q274" s="74"/>
      <c r="R274" s="74"/>
      <c r="S274" s="161"/>
    </row>
    <row r="275" spans="2:19" ht="12.75">
      <c r="B275"/>
      <c r="C275" s="195"/>
      <c r="G275" s="191"/>
      <c r="H275" s="74" t="s">
        <v>298</v>
      </c>
      <c r="I275" s="74"/>
      <c r="J275" s="196"/>
      <c r="K275" s="74"/>
      <c r="L275" s="74"/>
      <c r="M275" s="74"/>
      <c r="N275" s="74"/>
      <c r="O275" s="74"/>
      <c r="P275" s="196"/>
      <c r="Q275" s="74"/>
      <c r="R275" s="74"/>
      <c r="S275" s="161"/>
    </row>
    <row r="276" spans="2:19" ht="12.75">
      <c r="B276"/>
      <c r="C276" s="195"/>
      <c r="G276" s="191"/>
      <c r="H276" s="74"/>
      <c r="I276" s="74"/>
      <c r="J276" s="196"/>
      <c r="K276" s="74"/>
      <c r="L276" s="74"/>
      <c r="M276" s="74"/>
      <c r="N276" s="74"/>
      <c r="O276" s="74"/>
      <c r="P276" s="196"/>
      <c r="Q276" s="74" t="s">
        <v>38</v>
      </c>
      <c r="R276" s="74"/>
      <c r="S276" s="161"/>
    </row>
    <row r="277" spans="2:19" ht="12.75">
      <c r="B277"/>
      <c r="C277" s="195"/>
      <c r="G277" s="191"/>
      <c r="H277" s="74"/>
      <c r="I277" s="74" t="s">
        <v>300</v>
      </c>
      <c r="J277" s="199">
        <v>-862</v>
      </c>
      <c r="K277" s="74"/>
      <c r="L277" s="74"/>
      <c r="M277" s="74"/>
      <c r="N277" s="74"/>
      <c r="O277" s="74"/>
      <c r="P277" s="196">
        <f>K286</f>
        <v>-4368</v>
      </c>
      <c r="Q277" s="74" t="s">
        <v>304</v>
      </c>
      <c r="R277" s="74"/>
      <c r="S277" s="161"/>
    </row>
    <row r="278" spans="2:19" ht="12.75">
      <c r="B278"/>
      <c r="C278" s="195"/>
      <c r="G278" s="191"/>
      <c r="H278" s="74"/>
      <c r="I278" s="200" t="s">
        <v>300</v>
      </c>
      <c r="J278" s="201">
        <v>-1</v>
      </c>
      <c r="K278" s="74"/>
      <c r="L278" s="74"/>
      <c r="M278" s="74"/>
      <c r="N278" s="74" t="s">
        <v>302</v>
      </c>
      <c r="O278" s="74"/>
      <c r="P278" s="197">
        <v>-2500</v>
      </c>
      <c r="Q278" s="74"/>
      <c r="R278" s="74"/>
      <c r="S278" s="161"/>
    </row>
    <row r="279" spans="2:19" ht="12.75">
      <c r="B279"/>
      <c r="C279" s="195"/>
      <c r="G279" s="191"/>
      <c r="H279" s="74"/>
      <c r="I279" s="200" t="s">
        <v>301</v>
      </c>
      <c r="J279" s="201">
        <v>-1</v>
      </c>
      <c r="K279" s="74"/>
      <c r="L279" s="74"/>
      <c r="M279" s="74"/>
      <c r="N279" s="74"/>
      <c r="O279" s="196"/>
      <c r="P279" s="74"/>
      <c r="Q279" s="74" t="s">
        <v>308</v>
      </c>
      <c r="R279" s="74"/>
      <c r="S279" s="161"/>
    </row>
    <row r="280" spans="2:19" ht="12.75">
      <c r="B280"/>
      <c r="C280"/>
      <c r="G280" s="191"/>
      <c r="H280" s="74"/>
      <c r="I280" s="137" t="s">
        <v>303</v>
      </c>
      <c r="J280" s="202">
        <v>-1500</v>
      </c>
      <c r="K280" s="74"/>
      <c r="L280" s="74"/>
      <c r="M280" s="74"/>
      <c r="N280" s="74" t="s">
        <v>306</v>
      </c>
      <c r="O280" s="74"/>
      <c r="P280" s="196">
        <f>SUM(P274:P278)</f>
        <v>-38600</v>
      </c>
      <c r="Q280" s="74"/>
      <c r="R280" s="74"/>
      <c r="S280" s="161"/>
    </row>
    <row r="281" spans="2:19" ht="12.75">
      <c r="B281"/>
      <c r="C281"/>
      <c r="G281" s="191"/>
      <c r="H281" s="74"/>
      <c r="I281" s="200" t="s">
        <v>305</v>
      </c>
      <c r="J281" s="201">
        <v>-1</v>
      </c>
      <c r="K281" s="74"/>
      <c r="L281" s="74"/>
      <c r="M281" s="196">
        <v>525707</v>
      </c>
      <c r="N281" s="74"/>
      <c r="O281" s="74"/>
      <c r="P281" s="74"/>
      <c r="Q281" s="74"/>
      <c r="R281" s="74"/>
      <c r="S281" s="161"/>
    </row>
    <row r="282" spans="2:19" ht="12.75">
      <c r="B282"/>
      <c r="C282"/>
      <c r="G282" s="191"/>
      <c r="H282" s="74"/>
      <c r="I282" s="200" t="s">
        <v>307</v>
      </c>
      <c r="J282" s="201">
        <v>-1</v>
      </c>
      <c r="K282" s="74"/>
      <c r="L282" s="74"/>
      <c r="M282" s="196"/>
      <c r="N282" s="74"/>
      <c r="O282" s="74"/>
      <c r="P282" s="203">
        <f>P280+M286</f>
        <v>-6867</v>
      </c>
      <c r="Q282" s="74"/>
      <c r="R282" s="74"/>
      <c r="S282" s="204">
        <f>22000+P282</f>
        <v>15133</v>
      </c>
    </row>
    <row r="283" spans="2:19" ht="12.75">
      <c r="B283"/>
      <c r="C283"/>
      <c r="G283" s="191"/>
      <c r="H283" s="74"/>
      <c r="I283" s="137" t="s">
        <v>309</v>
      </c>
      <c r="J283" s="202">
        <v>-1000</v>
      </c>
      <c r="K283" s="74"/>
      <c r="L283" s="74"/>
      <c r="M283" s="196"/>
      <c r="N283" s="74"/>
      <c r="O283" s="74"/>
      <c r="P283" s="74"/>
      <c r="Q283" s="74"/>
      <c r="R283" s="74"/>
      <c r="S283" s="161"/>
    </row>
    <row r="284" spans="2:19" ht="12.75">
      <c r="B284"/>
      <c r="C284"/>
      <c r="G284" s="191"/>
      <c r="H284" s="74"/>
      <c r="I284" s="200" t="s">
        <v>310</v>
      </c>
      <c r="J284" s="201">
        <v>-1</v>
      </c>
      <c r="K284" s="74"/>
      <c r="L284" s="74"/>
      <c r="M284" s="196">
        <v>493974</v>
      </c>
      <c r="N284" s="74"/>
      <c r="O284" s="74"/>
      <c r="P284" s="74"/>
      <c r="Q284" s="74"/>
      <c r="R284" s="74"/>
      <c r="S284" s="161"/>
    </row>
    <row r="285" spans="2:19" ht="12.75">
      <c r="B285" s="45"/>
      <c r="C285" s="45"/>
      <c r="G285" s="191"/>
      <c r="H285" s="74"/>
      <c r="I285" s="137" t="s">
        <v>311</v>
      </c>
      <c r="J285" s="202">
        <v>-1000</v>
      </c>
      <c r="K285" s="74"/>
      <c r="L285" s="74"/>
      <c r="M285" s="196"/>
      <c r="N285" s="74"/>
      <c r="O285" s="74"/>
      <c r="P285" s="74"/>
      <c r="Q285" s="74"/>
      <c r="R285" s="74"/>
      <c r="S285" s="161"/>
    </row>
    <row r="286" spans="2:19" ht="12.75">
      <c r="B286"/>
      <c r="C286"/>
      <c r="G286" s="191"/>
      <c r="H286" s="74"/>
      <c r="I286" s="200" t="s">
        <v>102</v>
      </c>
      <c r="J286" s="201">
        <v>-1</v>
      </c>
      <c r="K286" s="203">
        <f>SUM(J277:J286)</f>
        <v>-4368</v>
      </c>
      <c r="L286" s="74"/>
      <c r="M286" s="196">
        <f>M281-M284</f>
        <v>31733</v>
      </c>
      <c r="N286" s="74"/>
      <c r="O286" s="74"/>
      <c r="P286" s="74"/>
      <c r="Q286" s="74"/>
      <c r="R286" s="74"/>
      <c r="S286" s="161"/>
    </row>
    <row r="287" spans="2:19" ht="12.75">
      <c r="B287"/>
      <c r="C287"/>
      <c r="G287" s="191"/>
      <c r="H287" s="74"/>
      <c r="I287" s="74" t="s">
        <v>312</v>
      </c>
      <c r="J287" s="197">
        <f>-M286-K286</f>
        <v>-27365</v>
      </c>
      <c r="K287" s="203"/>
      <c r="L287" s="74"/>
      <c r="M287" s="74"/>
      <c r="N287" s="74"/>
      <c r="O287" s="74"/>
      <c r="P287" s="74"/>
      <c r="Q287" s="74"/>
      <c r="R287" s="74"/>
      <c r="S287" s="161"/>
    </row>
    <row r="288" spans="2:19" ht="12.75">
      <c r="B288"/>
      <c r="C288"/>
      <c r="G288" s="191"/>
      <c r="H288" s="74" t="s">
        <v>313</v>
      </c>
      <c r="I288" s="74"/>
      <c r="J288" s="196">
        <f>SUM(J274:J287)</f>
        <v>-31733</v>
      </c>
      <c r="K288" s="74"/>
      <c r="L288" s="74"/>
      <c r="M288" s="74"/>
      <c r="N288" s="74"/>
      <c r="O288" s="74"/>
      <c r="P288" s="74"/>
      <c r="Q288" s="74"/>
      <c r="R288" s="74"/>
      <c r="S288" s="161"/>
    </row>
    <row r="289" spans="2:19" ht="12.75">
      <c r="B289"/>
      <c r="C289"/>
      <c r="G289" s="191"/>
      <c r="H289" s="74"/>
      <c r="I289" s="74"/>
      <c r="J289" s="196"/>
      <c r="K289" s="74"/>
      <c r="L289" s="74"/>
      <c r="M289" s="203">
        <f>M286+K286</f>
        <v>27365</v>
      </c>
      <c r="N289" s="74"/>
      <c r="O289" s="207"/>
      <c r="P289" s="207"/>
      <c r="Q289" s="207"/>
      <c r="R289" s="207"/>
      <c r="S289" s="153"/>
    </row>
    <row r="290" spans="2:19" ht="12.75">
      <c r="B290"/>
      <c r="C290"/>
      <c r="G290" s="206"/>
      <c r="H290" s="74"/>
      <c r="I290" s="74" t="s">
        <v>314</v>
      </c>
      <c r="J290" s="196">
        <v>3915</v>
      </c>
      <c r="K290" s="74"/>
      <c r="L290" s="74"/>
      <c r="M290" s="203"/>
      <c r="N290" s="74"/>
      <c r="S290" s="153"/>
    </row>
    <row r="291" spans="2:19" ht="12.75">
      <c r="B291" s="45"/>
      <c r="C291" s="45"/>
      <c r="H291" s="205" t="s">
        <v>315</v>
      </c>
      <c r="I291" s="74"/>
      <c r="J291" s="196"/>
      <c r="K291" s="74"/>
      <c r="L291" s="74"/>
      <c r="M291" s="203"/>
      <c r="N291" s="207"/>
    </row>
    <row r="292" spans="2:19" ht="13.5" thickBot="1">
      <c r="B292"/>
      <c r="C292"/>
      <c r="H292" s="207"/>
      <c r="I292" s="74"/>
      <c r="J292" s="208">
        <f>SUM(J288:J291)</f>
        <v>-27818</v>
      </c>
      <c r="K292" s="74"/>
      <c r="L292" s="74"/>
      <c r="M292" s="207"/>
    </row>
    <row r="293" spans="2:19" ht="13.5" thickTop="1">
      <c r="B293" s="66"/>
      <c r="C293" s="66"/>
      <c r="I293" s="207"/>
      <c r="J293" s="197"/>
      <c r="K293" s="207"/>
      <c r="L293" s="74"/>
      <c r="M293" s="74"/>
    </row>
    <row r="294" spans="2:19" ht="12.75">
      <c r="B294"/>
      <c r="C294"/>
      <c r="J294" s="209"/>
      <c r="L294" s="207"/>
      <c r="M294" s="74"/>
    </row>
    <row r="295" spans="2:19" ht="12.75">
      <c r="B295"/>
      <c r="C295"/>
      <c r="J295" s="209"/>
      <c r="L295" s="74"/>
      <c r="M295" s="74"/>
    </row>
    <row r="296" spans="2:19" ht="12.75">
      <c r="B296"/>
      <c r="C296"/>
      <c r="J296" s="209">
        <f>551878-11621</f>
        <v>540257</v>
      </c>
      <c r="L296" s="74"/>
      <c r="M296" s="74"/>
    </row>
    <row r="297" spans="2:19" ht="12.75">
      <c r="B297"/>
      <c r="C297"/>
      <c r="J297" s="209"/>
      <c r="L297" s="74"/>
    </row>
    <row r="298" spans="2:19" ht="12.75">
      <c r="B298"/>
      <c r="C298"/>
      <c r="J298" s="209"/>
      <c r="L298" s="74"/>
    </row>
    <row r="299" spans="2:19" ht="12.75">
      <c r="B299"/>
      <c r="C299"/>
      <c r="J299" s="209"/>
      <c r="L299" s="74"/>
    </row>
    <row r="300" spans="2:19" ht="12.75">
      <c r="B300"/>
      <c r="C300"/>
      <c r="J300" s="209"/>
    </row>
    <row r="301" spans="2:19" ht="12.75">
      <c r="B301"/>
      <c r="C301"/>
      <c r="J301" s="209"/>
    </row>
    <row r="302" spans="2:19" ht="12.75">
      <c r="B302"/>
      <c r="C302"/>
      <c r="J302" s="209"/>
    </row>
    <row r="303" spans="2:19" ht="12.75">
      <c r="B303"/>
      <c r="C303"/>
      <c r="J303" s="209"/>
    </row>
    <row r="304" spans="2:19" ht="12.75">
      <c r="B304"/>
      <c r="C304"/>
      <c r="J304" s="209"/>
    </row>
    <row r="305" spans="2:10" ht="12.75">
      <c r="B305"/>
      <c r="C305"/>
      <c r="J305" s="209"/>
    </row>
    <row r="306" spans="2:10" ht="12.75">
      <c r="B306"/>
      <c r="C306"/>
      <c r="J306" s="209"/>
    </row>
    <row r="307" spans="2:10" ht="12.75">
      <c r="B307"/>
      <c r="C307"/>
      <c r="J307" s="209"/>
    </row>
    <row r="308" spans="2:10" ht="12.75">
      <c r="B308"/>
      <c r="C308"/>
      <c r="J308" s="209"/>
    </row>
    <row r="309" spans="2:10" ht="12.75">
      <c r="B309"/>
      <c r="C309"/>
      <c r="J309" s="209"/>
    </row>
    <row r="310" spans="2:10" ht="12.75">
      <c r="B310"/>
      <c r="C310"/>
      <c r="J310" s="209"/>
    </row>
    <row r="311" spans="2:10" ht="12.75">
      <c r="B311" s="210"/>
      <c r="C311" s="210"/>
      <c r="J311" s="209"/>
    </row>
    <row r="312" spans="2:10" ht="12.75">
      <c r="B312" s="210"/>
      <c r="C312" s="210"/>
      <c r="J312" s="209"/>
    </row>
    <row r="313" spans="2:10" ht="12.75">
      <c r="B313"/>
      <c r="C313"/>
      <c r="J313" s="209"/>
    </row>
    <row r="314" spans="2:10" ht="12.75">
      <c r="B314"/>
      <c r="C314"/>
      <c r="J314" s="209"/>
    </row>
    <row r="315" spans="2:10">
      <c r="J315" s="209"/>
    </row>
    <row r="316" spans="2:10">
      <c r="J316" s="209"/>
    </row>
    <row r="317" spans="2:10">
      <c r="J317" s="209"/>
    </row>
    <row r="318" spans="2:10">
      <c r="J318" s="209"/>
    </row>
    <row r="319" spans="2:10">
      <c r="J319" s="209"/>
    </row>
    <row r="320" spans="2:10">
      <c r="J320" s="209"/>
    </row>
    <row r="321" spans="10:10">
      <c r="J321" s="209"/>
    </row>
    <row r="322" spans="10:10">
      <c r="J322" s="209"/>
    </row>
    <row r="323" spans="10:10">
      <c r="J323" s="209"/>
    </row>
    <row r="324" spans="10:10">
      <c r="J324" s="209"/>
    </row>
    <row r="325" spans="10:10">
      <c r="J325" s="209"/>
    </row>
    <row r="326" spans="10:10">
      <c r="J326" s="209"/>
    </row>
    <row r="327" spans="10:10">
      <c r="J327" s="209"/>
    </row>
    <row r="328" spans="10:10">
      <c r="J328" s="209"/>
    </row>
    <row r="329" spans="10:10">
      <c r="J329" s="209"/>
    </row>
    <row r="330" spans="10:10">
      <c r="J330" s="209"/>
    </row>
    <row r="331" spans="10:10">
      <c r="J331" s="209"/>
    </row>
    <row r="332" spans="10:10">
      <c r="J332" s="209"/>
    </row>
    <row r="333" spans="10:10">
      <c r="J333" s="209"/>
    </row>
    <row r="334" spans="10:10">
      <c r="J334" s="209"/>
    </row>
    <row r="335" spans="10:10">
      <c r="J335" s="209"/>
    </row>
    <row r="336" spans="10:10">
      <c r="J336" s="209"/>
    </row>
    <row r="337" spans="10:10">
      <c r="J337" s="209"/>
    </row>
    <row r="338" spans="10:10">
      <c r="J338" s="209"/>
    </row>
    <row r="339" spans="10:10">
      <c r="J339" s="209"/>
    </row>
    <row r="340" spans="10:10">
      <c r="J340" s="209"/>
    </row>
    <row r="341" spans="10:10">
      <c r="J341" s="209"/>
    </row>
    <row r="342" spans="10:10">
      <c r="J342" s="209"/>
    </row>
    <row r="343" spans="10:10">
      <c r="J343" s="209"/>
    </row>
    <row r="344" spans="10:10">
      <c r="J344" s="209"/>
    </row>
    <row r="345" spans="10:10">
      <c r="J345" s="209"/>
    </row>
    <row r="346" spans="10:10">
      <c r="J346" s="209"/>
    </row>
    <row r="347" spans="10:10">
      <c r="J347" s="209"/>
    </row>
    <row r="348" spans="10:10">
      <c r="J348" s="209"/>
    </row>
    <row r="349" spans="10:10">
      <c r="J349" s="209"/>
    </row>
    <row r="350" spans="10:10">
      <c r="J350" s="209"/>
    </row>
    <row r="351" spans="10:10">
      <c r="J351" s="209"/>
    </row>
    <row r="352" spans="10:10">
      <c r="J352" s="209"/>
    </row>
    <row r="353" spans="10:10">
      <c r="J353" s="209"/>
    </row>
    <row r="354" spans="10:10">
      <c r="J354" s="209"/>
    </row>
    <row r="355" spans="10:10">
      <c r="J355" s="209"/>
    </row>
    <row r="356" spans="10:10">
      <c r="J356" s="209"/>
    </row>
    <row r="357" spans="10:10">
      <c r="J357" s="209"/>
    </row>
    <row r="358" spans="10:10">
      <c r="J358" s="209"/>
    </row>
    <row r="359" spans="10:10">
      <c r="J359" s="209"/>
    </row>
    <row r="360" spans="10:10">
      <c r="J360" s="209"/>
    </row>
    <row r="361" spans="10:10">
      <c r="J361" s="209"/>
    </row>
    <row r="362" spans="10:10">
      <c r="J362" s="209"/>
    </row>
    <row r="363" spans="10:10">
      <c r="J363" s="209"/>
    </row>
    <row r="364" spans="10:10">
      <c r="J364" s="209"/>
    </row>
    <row r="365" spans="10:10">
      <c r="J365" s="209"/>
    </row>
    <row r="366" spans="10:10">
      <c r="J366" s="209"/>
    </row>
    <row r="367" spans="10:10">
      <c r="J367" s="209"/>
    </row>
    <row r="368" spans="10:10">
      <c r="J368" s="209"/>
    </row>
    <row r="369" spans="10:10">
      <c r="J369" s="209"/>
    </row>
    <row r="370" spans="10:10">
      <c r="J370" s="209"/>
    </row>
    <row r="371" spans="10:10">
      <c r="J371" s="209"/>
    </row>
    <row r="372" spans="10:10">
      <c r="J372" s="209"/>
    </row>
    <row r="373" spans="10:10">
      <c r="J373" s="209"/>
    </row>
    <row r="374" spans="10:10">
      <c r="J374" s="209"/>
    </row>
    <row r="375" spans="10:10">
      <c r="J375" s="209"/>
    </row>
    <row r="376" spans="10:10">
      <c r="J376" s="209"/>
    </row>
    <row r="377" spans="10:10">
      <c r="J377" s="209"/>
    </row>
    <row r="378" spans="10:10">
      <c r="J378" s="209"/>
    </row>
    <row r="379" spans="10:10">
      <c r="J379" s="209"/>
    </row>
    <row r="380" spans="10:10">
      <c r="J380" s="209"/>
    </row>
    <row r="381" spans="10:10">
      <c r="J381" s="209"/>
    </row>
    <row r="382" spans="10:10">
      <c r="J382" s="209"/>
    </row>
    <row r="383" spans="10:10">
      <c r="J383" s="209"/>
    </row>
    <row r="384" spans="10:10">
      <c r="J384" s="209"/>
    </row>
    <row r="385" spans="10:10">
      <c r="J385" s="209"/>
    </row>
    <row r="386" spans="10:10">
      <c r="J386" s="209"/>
    </row>
    <row r="387" spans="10:10">
      <c r="J387" s="209"/>
    </row>
    <row r="388" spans="10:10">
      <c r="J388" s="209"/>
    </row>
    <row r="389" spans="10:10">
      <c r="J389" s="209"/>
    </row>
    <row r="390" spans="10:10">
      <c r="J390" s="209"/>
    </row>
    <row r="391" spans="10:10">
      <c r="J391" s="209"/>
    </row>
    <row r="392" spans="10:10">
      <c r="J392" s="209"/>
    </row>
    <row r="393" spans="10:10">
      <c r="J393" s="209"/>
    </row>
    <row r="394" spans="10:10">
      <c r="J394" s="209"/>
    </row>
    <row r="395" spans="10:10">
      <c r="J395" s="209"/>
    </row>
    <row r="396" spans="10:10">
      <c r="J396" s="209"/>
    </row>
  </sheetData>
  <mergeCells count="6">
    <mergeCell ref="A139:C139"/>
    <mergeCell ref="K6:L6"/>
    <mergeCell ref="I31:J31"/>
    <mergeCell ref="I36:J36"/>
    <mergeCell ref="I43:J43"/>
    <mergeCell ref="A31:D31"/>
  </mergeCells>
  <printOptions horizontalCentered="1" verticalCentered="1"/>
  <pageMargins left="0.25" right="0.25" top="0.75" bottom="0.25" header="0" footer="0.25"/>
  <pageSetup scale="60" orientation="portrait" horizontalDpi="4294967292" r:id="rId1"/>
  <headerFooter alignWithMargins="0">
    <oddFooter>&amp;L&amp;8Tx Desk Logistics - Daren Farmer&amp;R&amp;8&amp;D
&amp;T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36</vt:i4>
      </vt:variant>
    </vt:vector>
  </HeadingPairs>
  <TitlesOfParts>
    <vt:vector size="45" baseType="lpstr">
      <vt:lpstr>Jan</vt:lpstr>
      <vt:lpstr>Feb Prelim</vt:lpstr>
      <vt:lpstr>Feb</vt:lpstr>
      <vt:lpstr>Mar</vt:lpstr>
      <vt:lpstr>Mar (2)</vt:lpstr>
      <vt:lpstr>Mar prebid</vt:lpstr>
      <vt:lpstr>Apr</vt:lpstr>
      <vt:lpstr>May</vt:lpstr>
      <vt:lpstr>Jun</vt:lpstr>
      <vt:lpstr>Apr!Base</vt:lpstr>
      <vt:lpstr>Feb!Base</vt:lpstr>
      <vt:lpstr>'Feb Prelim'!Base</vt:lpstr>
      <vt:lpstr>Jan!Base</vt:lpstr>
      <vt:lpstr>Jun!Base</vt:lpstr>
      <vt:lpstr>Mar!Base</vt:lpstr>
      <vt:lpstr>'Mar (2)'!Base</vt:lpstr>
      <vt:lpstr>'Mar prebid'!Base</vt:lpstr>
      <vt:lpstr>May!Base</vt:lpstr>
      <vt:lpstr>Apr!industrial</vt:lpstr>
      <vt:lpstr>Feb!industrial</vt:lpstr>
      <vt:lpstr>'Feb Prelim'!industrial</vt:lpstr>
      <vt:lpstr>Jan!industrial</vt:lpstr>
      <vt:lpstr>Jun!industrial</vt:lpstr>
      <vt:lpstr>Mar!industrial</vt:lpstr>
      <vt:lpstr>'Mar (2)'!industrial</vt:lpstr>
      <vt:lpstr>'Mar prebid'!industrial</vt:lpstr>
      <vt:lpstr>May!industrial</vt:lpstr>
      <vt:lpstr>Apr!Industrials</vt:lpstr>
      <vt:lpstr>Feb!Industrials</vt:lpstr>
      <vt:lpstr>'Feb Prelim'!Industrials</vt:lpstr>
      <vt:lpstr>Jan!Industrials</vt:lpstr>
      <vt:lpstr>Jun!Industrials</vt:lpstr>
      <vt:lpstr>Mar!Industrials</vt:lpstr>
      <vt:lpstr>'Mar (2)'!Industrials</vt:lpstr>
      <vt:lpstr>'Mar prebid'!Industrials</vt:lpstr>
      <vt:lpstr>May!Industrials</vt:lpstr>
      <vt:lpstr>Apr!Print_Area</vt:lpstr>
      <vt:lpstr>Feb!Print_Area</vt:lpstr>
      <vt:lpstr>'Feb Prelim'!Print_Area</vt:lpstr>
      <vt:lpstr>Jan!Print_Area</vt:lpstr>
      <vt:lpstr>Jun!Print_Area</vt:lpstr>
      <vt:lpstr>Mar!Print_Area</vt:lpstr>
      <vt:lpstr>'Mar (2)'!Print_Area</vt:lpstr>
      <vt:lpstr>'Mar prebid'!Print_Area</vt:lpstr>
      <vt:lpstr>May!Print_Area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Daren Farmer</dc:creator>
  <cp:lastModifiedBy>Jan Havlíček</cp:lastModifiedBy>
  <cp:lastPrinted>2000-05-24T19:31:27Z</cp:lastPrinted>
  <dcterms:created xsi:type="dcterms:W3CDTF">1999-12-09T16:38:20Z</dcterms:created>
  <dcterms:modified xsi:type="dcterms:W3CDTF">2023-09-17T20:48:08Z</dcterms:modified>
</cp:coreProperties>
</file>